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bookViews>
    <workbookView activeTab="0"/>
  </bookViews>
  <sheets>
    <sheet name="Summary" sheetId="1" r:id="rId1"/>
    <sheet name="Inputs" sheetId="2" r:id="rId2"/>
    <sheet name="Benchmark" sheetId="3" r:id="rId3"/>
    <sheet name="Synergies" sheetId="4" r:id="rId4"/>
    <sheet name="Platform" sheetId="5" r:id="rId5"/>
    <sheet name="Funding" sheetId="6" r:id="rId6"/>
    <sheet name="Accretion" sheetId="7" r:id="rId7"/>
    <sheet name="Returns" sheetId="8" r:id="rId8"/>
  </sheets>
  <calcPr/>
  <extLst>
    <ext xmlns:xccaches="urn:twentyai:ccalc:caches" uri="{3C5F2E7A-9B41-4D6E-A8C2-19409CCA1C01}">
      <xccaches:writer/>
    </ext>
  </extLst>
</workbook>
</file>

<file path=xl/comments2.xml><?xml version="1.0" encoding="utf-8"?>
<comments xmlns="http://schemas.openxmlformats.org/spreadsheetml/2006/main">
  <authors>
    <author>Compound</author>
  </authors>
  <commentList>
    <comment ref="C100" authorId="0">
      <text>
        <r>
          <t xml:space="preserve">4.04 Rate_Card_and_Pricing_Book_FY26_v4 p. 2</t>
        </r>
      </text>
    </comment>
    <comment ref="C12" authorId="0">
      <text>
        <r>
          <t xml:space="preserve">2.06 FY26_Budget_and_Long-Range_Plan_FY26-FY30_v3.2 (2. P&amp;L (FY26-FY30) C17:G17)</t>
        </r>
      </text>
    </comment>
    <comment ref="C17" authorId="0">
      <text>
        <r>
          <t xml:space="preserve">Cited for C17:C20
11.10 Staple_Financing_Indicative_Terms_2026.06 p. 1</t>
        </r>
      </text>
    </comment>
    <comment ref="C21" authorId="0">
      <text>
        <r>
          <t xml:space="preserve">11.10 Staple_Financing_Indicative_Terms_2026.06 p. 3</t>
        </r>
      </text>
    </comment>
    <comment ref="C22" authorId="0">
      <text>
        <r>
          <t xml:space="preserve">11.10 Staple_Financing_Indicative_Terms_2026.06 p. 1</t>
        </r>
      </text>
    </comment>
    <comment ref="C23" authorId="0">
      <text>
        <r>
          <t xml:space="preserve">Cited for C23:C24
11.10 Staple_Financing_Indicative_Terms_2026.06 p. 1</t>
        </r>
      </text>
    </comment>
    <comment ref="C26" authorId="0">
      <text>
        <r>
          <t xml:space="preserve">Cited for C26:C27
11.10 Staple_Financing_Indicative_Terms_2026.06 p. 1</t>
        </r>
      </text>
    </comment>
    <comment ref="C28" authorId="0">
      <text>
        <r>
          <t xml:space="preserve">11.10 Staple_Financing_Indicative_Terms_2026.06 p. 4</t>
        </r>
      </text>
    </comment>
    <comment ref="C29" authorId="0">
      <text>
        <r>
          <t xml:space="preserve">Cited for C29:C30
11.10 Staple_Financing_Indicative_Terms_2026.06 p. 4</t>
        </r>
      </text>
    </comment>
    <comment ref="C31" authorId="0">
      <text>
        <r>
          <t xml:space="preserve">11.10 Staple_Financing_Indicative_Terms_2026.06 p. 4</t>
        </r>
      </text>
    </comment>
    <comment ref="C32" authorId="0">
      <text>
        <r>
          <t xml:space="preserve">Cited for C32:C33
11.10 Staple_Financing_Indicative_Terms_2026.06 p. 2</t>
        </r>
      </text>
    </comment>
    <comment ref="C34" authorId="0">
      <text>
        <r>
          <t xml:space="preserve">Cited for C34:C35
11.10 Staple_Financing_Indicative_Terms_2026.06 p. 2</t>
        </r>
      </text>
    </comment>
    <comment ref="C36" authorId="0">
      <text>
        <r>
          <t xml:space="preserve">Cited for C36:C39
11.10 Staple_Financing_Indicative_Terms_2026.06 p. 2</t>
        </r>
      </text>
    </comment>
    <comment ref="C40" authorId="0">
      <text>
        <r>
          <t xml:space="preserve">11.10 Staple_Financing_Indicative_Terms_2026.06 p. 2</t>
        </r>
      </text>
    </comment>
    <comment ref="C41" authorId="0">
      <text>
        <r>
          <t xml:space="preserve">11.10 Staple_Financing_Indicative_Terms_2026.06 p. 3</t>
        </r>
      </text>
    </comment>
    <comment ref="C42" authorId="0">
      <text>
        <r>
          <t xml:space="preserve">12.04 QA-041_Tax_Structure_Overview p. 1</t>
        </r>
      </text>
    </comment>
    <comment ref="C46" authorId="0">
      <text>
        <r>
          <t xml:space="preserve">Cited for C46:C48
9.07 A&amp;R_Credit_Agreement_2024_Conformed p. 16</t>
        </r>
      </text>
    </comment>
    <comment ref="C49" authorId="0">
      <text>
        <r>
          <t xml:space="preserve">9.07 A&amp;R_Credit_Agreement_2024_Conformed p. 49</t>
        </r>
      </text>
    </comment>
    <comment ref="C50" authorId="0">
      <text>
        <r>
          <t xml:space="preserve">9.07 A&amp;R_Credit_Agreement_2024_Conformed p. 12</t>
        </r>
      </text>
    </comment>
    <comment ref="C51" authorId="0">
      <text>
        <r>
          <t xml:space="preserve">9.07 A&amp;R_Credit_Agreement_2024_Conformed p. 12</t>
        </r>
      </text>
    </comment>
  </commentList>
</comments>
</file>

<file path=xl/comments3.xml><?xml version="1.0" encoding="utf-8"?>
<comments xmlns="http://schemas.openxmlformats.org/spreadsheetml/2006/main">
  <authors>
    <author>Compound</author>
  </authors>
  <commentList>
    <comment ref="D10" authorId="0">
      <text>
        <r>
          <t xml:space="preserve">Cited for D10:D11
Appraisal Report - NOVA I p. 4</t>
        </r>
      </text>
    </comment>
    <comment ref="D31" authorId="0">
      <text>
        <r>
          <t xml:space="preserve">Appraisal Report - NOVA I p. 4</t>
        </r>
      </text>
    </comment>
    <comment ref="D35" authorId="0">
      <text>
        <r>
          <t xml:space="preserve">Appraisal Report - NOVA I p. 13</t>
        </r>
      </text>
    </comment>
    <comment ref="D43" authorId="0">
      <text>
        <r>
          <t xml:space="preserve">4.04 Rate_Card_and_Pricing_Book_FY26_v4 p. 1</t>
        </r>
      </text>
    </comment>
    <comment ref="D44" authorId="0">
      <text>
        <r>
          <t xml:space="preserve">4.04 Rate_Card_and_Pricing_Book_FY26_v4 p. 1</t>
        </r>
      </text>
    </comment>
    <comment ref="E10" authorId="0">
      <text>
        <r>
          <t xml:space="preserve">Cited for E10:E11
Appraisal Report - DFW I p. 4</t>
        </r>
      </text>
    </comment>
    <comment ref="E31" authorId="0">
      <text>
        <r>
          <t xml:space="preserve">Appraisal Report - DFW I p. 4</t>
        </r>
      </text>
    </comment>
    <comment ref="E35" authorId="0">
      <text>
        <r>
          <t xml:space="preserve">Appraisal Report - DFW I p. 13</t>
        </r>
      </text>
    </comment>
    <comment ref="F10" authorId="0">
      <text>
        <r>
          <t xml:space="preserve">Cited for F10:F11
Appraisal Report - PHX I p. 4</t>
        </r>
      </text>
    </comment>
    <comment ref="F31" authorId="0">
      <text>
        <r>
          <t xml:space="preserve">Appraisal Report - PHX I p. 4</t>
        </r>
      </text>
    </comment>
    <comment ref="F35" authorId="0">
      <text>
        <r>
          <t xml:space="preserve">Appraisal Report - PHX I p. 13</t>
        </r>
      </text>
    </comment>
    <comment ref="G10" authorId="0">
      <text>
        <r>
          <t xml:space="preserve">Cited for G10:G11
Appraisal Report - ATL I p. 4</t>
        </r>
      </text>
    </comment>
    <comment ref="G31" authorId="0">
      <text>
        <r>
          <t xml:space="preserve">Appraisal Report - ATL I p. 4</t>
        </r>
      </text>
    </comment>
    <comment ref="G35" authorId="0">
      <text>
        <r>
          <t xml:space="preserve">Appraisal Report - ATL I p. 13</t>
        </r>
      </text>
    </comment>
    <comment ref="H10" authorId="0">
      <text>
        <r>
          <t xml:space="preserve">Cited for H10:H11
Appraisal Report - CMH I p. 4</t>
        </r>
      </text>
    </comment>
    <comment ref="H31" authorId="0">
      <text>
        <r>
          <t xml:space="preserve">Appraisal Report - CMH I p. 4</t>
        </r>
      </text>
    </comment>
    <comment ref="H35" authorId="0">
      <text>
        <r>
          <t xml:space="preserve">Appraisal Report - CMH I p. 13</t>
        </r>
      </text>
    </comment>
    <comment ref="I10" authorId="0">
      <text>
        <r>
          <t xml:space="preserve">Cited for I10:I11
Appraisal Report - RNO I p. 4</t>
        </r>
      </text>
    </comment>
    <comment ref="I14" authorId="0">
      <text>
        <r>
          <t xml:space="preserve">Cited for D14:I17
3.05 NOI_by_Campus_FY23-FY25 (FY25 NOI by Campus B4:G12)</t>
        </r>
      </text>
    </comment>
    <comment ref="I28" authorId="0">
      <text>
        <r>
          <t xml:space="preserve">Cited for D28:I29
3.07 Power_Cost_and_Reimbursement_Analysis_FY25 (FY25 Power Analysis F4:G9)</t>
        </r>
      </text>
    </comment>
    <comment ref="I31" authorId="0">
      <text>
        <r>
          <t xml:space="preserve">Appraisal Report - RNO I p. 4</t>
        </r>
      </text>
    </comment>
    <comment ref="I35" authorId="0">
      <text>
        <r>
          <t xml:space="preserve">Appraisal Report - RNO I p. 13</t>
        </r>
      </text>
    </comment>
    <comment ref="K10" authorId="0">
      <text>
        <r>
          <t xml:space="preserve">Appraisal Report - DFW I p. 15</t>
        </r>
      </text>
    </comment>
    <comment ref="K31" authorId="0">
      <text>
        <r>
          <t xml:space="preserve">Appraisal Report - DFW I p. 15</t>
        </r>
      </text>
    </comment>
    <comment ref="K34" authorId="0">
      <text>
        <r>
          <t xml:space="preserve">Appraisal Report - DFW I p. 15</t>
        </r>
      </text>
    </comment>
    <comment ref="L10" authorId="0">
      <text>
        <r>
          <t xml:space="preserve">Cited for L10:L11
2.06 FY26_Budget_and_Long-Range_Plan_FY26-FY30_v3.2 (1. Assumptions B7:B8)</t>
        </r>
      </text>
    </comment>
    <comment ref="L14" authorId="0">
      <text>
        <r>
          <t xml:space="preserve">Cited for L14:L17
2.06 FY26_Budget_and_Long-Range_Plan_FY26-FY30_v3.2 (2. P&amp;L (FY26-FY30) B6:B17)</t>
        </r>
      </text>
    </comment>
    <comment ref="L19" authorId="0">
      <text>
        <r>
          <t xml:space="preserve">2.06 FY26_Budget_and_Long-Range_Plan_FY26-FY30_v3.2 (2. P&amp;L (FY26-FY30) B6:B17)</t>
        </r>
      </text>
    </comment>
    <comment ref="L28" authorId="0">
      <text>
        <r>
          <t xml:space="preserve">Cited for L28:L29
3.07 Power_Cost_and_Reimbursement_Analysis_FY25 (FY25 Power Analysis F10:G10)</t>
        </r>
      </text>
    </comment>
  </commentList>
</comments>
</file>

<file path=xl/comments4.xml><?xml version="1.0" encoding="utf-8"?>
<comments xmlns="http://schemas.openxmlformats.org/spreadsheetml/2006/main">
  <authors>
    <author>Compound</author>
  </authors>
  <commentList>
    <comment ref="C102" authorId="0">
      <text>
        <r>
          <t xml:space="preserve">2.06 FY26_Budget_and_Long-Range_Plan_FY26-FY30_v3.2 (4. Capacity &amp; Leasing D18)</t>
        </r>
      </text>
    </comment>
    <comment ref="C115" authorId="0">
      <text>
        <r>
          <t xml:space="preserve">2.06 FY26_Budget_and_Long-Range_Plan_FY26-FY30_v3.2 (7. G&amp;A Build D6:D19)</t>
        </r>
      </text>
    </comment>
    <comment ref="C116" authorId="0">
      <text>
        <r>
          <t xml:space="preserve">2.06 FY26_Budget_and_Long-Range_Plan_FY26-FY30_v3.2 (4. Capacity &amp; Leasing D32)</t>
        </r>
      </text>
    </comment>
    <comment ref="C123" authorId="0">
      <text>
        <r>
          <t xml:space="preserve">3.05 NOI_by_Campus_FY23-FY25 (FY25 NOI by Campus B4:G12)</t>
        </r>
      </text>
    </comment>
    <comment ref="C124" authorId="0">
      <text>
        <r>
          <t xml:space="preserve">2.06 FY26_Budget_and_Long-Range_Plan_FY26-FY30_v3.2 (4. Capacity &amp; Leasing B22:G22)</t>
        </r>
      </text>
    </comment>
    <comment ref="C129" authorId="0">
      <text>
        <r>
          <t xml:space="preserve">Cited for C129:C130
4.04 Rate_Card_and_Pricing_Book_FY26_v4 p. 2</t>
        </r>
      </text>
    </comment>
    <comment ref="C135" authorId="0">
      <text>
        <r>
          <t xml:space="preserve">9.05 Vendor_List_and_Key_Agreements (Vendor List A23:E23)</t>
        </r>
      </text>
    </comment>
    <comment ref="C141" authorId="0">
      <text>
        <r>
          <t xml:space="preserve">2.06 FY26_Budget_and_Long-Range_Plan_FY26-FY30_v3.2 (4. Capacity &amp; Leasing D8:G8)</t>
        </r>
      </text>
    </comment>
    <comment ref="C142" authorId="0">
      <text>
        <r>
          <t xml:space="preserve">2.06 FY26_Budget_and_Long-Range_Plan_FY26-FY30_v3.2 (4. Capacity &amp; Leasing B22:G22)</t>
        </r>
      </text>
    </comment>
    <comment ref="C144" authorId="0">
      <text>
        <r>
          <t xml:space="preserve">Cited for C144:C145
4.03 Leasing_Pipeline_Report_2026.05.29 (Summary C18:D18)</t>
        </r>
      </text>
    </comment>
    <comment ref="C147" authorId="0">
      <text>
        <r>
          <t xml:space="preserve">4.04 Rate_Card_and_Pricing_Book_FY26_v4 p. 1</t>
        </r>
      </text>
    </comment>
    <comment ref="C90" authorId="0">
      <text>
        <r>
          <t xml:space="preserve">3.07 Power_Cost_and_Reimbursement_Analysis_FY25 (FY25 Power Analysis F4:G9)</t>
        </r>
      </text>
    </comment>
    <comment ref="E104" authorId="0">
      <text>
        <r>
          <t xml:space="preserve">Cited for E104:E112
2.06 FY26_Budget_and_Long-Range_Plan_FY26-FY30_v3.2 (7. G&amp;A Build D6:D19)</t>
        </r>
      </text>
    </comment>
    <comment ref="F157" authorId="0">
      <text>
        <r>
          <t xml:space="preserve">9.05 Vendor_List_and_Key_Agreements (Vendor List A5:E7)</t>
        </r>
      </text>
    </comment>
    <comment ref="F158" authorId="0">
      <text>
        <r>
          <t xml:space="preserve">9.05 Vendor_List_and_Key_Agreements (Vendor List A12:E12)</t>
        </r>
      </text>
    </comment>
    <comment ref="F159" authorId="0">
      <text>
        <r>
          <t xml:space="preserve">9.05 Vendor_List_and_Key_Agreements (Vendor List A13:E18)</t>
        </r>
      </text>
    </comment>
  </commentList>
</comments>
</file>

<file path=xl/comments5.xml><?xml version="1.0" encoding="utf-8"?>
<comments xmlns="http://schemas.openxmlformats.org/spreadsheetml/2006/main">
  <authors>
    <author>Compound</author>
  </authors>
  <commentList>
    <comment ref="G24" authorId="0">
      <text>
        <r>
          <t xml:space="preserve">Cited for C24:G24
2.06 FY26_Budget_and_Long-Range_Plan_FY26-FY30_v3.2 (2. P&amp;L (FY26-FY30) C17:G17)</t>
        </r>
      </text>
    </comment>
    <comment ref="G25" authorId="0">
      <text>
        <r>
          <t xml:space="preserve">Cited for D25:G25
2.06 FY26_Budget_and_Long-Range_Plan_FY26-FY30_v3.2 (3. Development Capex C12:F12)</t>
        </r>
      </text>
    </comment>
    <comment ref="G26" authorId="0">
      <text>
        <r>
          <t xml:space="preserve">Cited for D26:G26
2.06 FY26_Budget_and_Long-Range_Plan_FY26-FY30_v3.2 (8. Maintenance Capex D17:G17)</t>
        </r>
      </text>
    </comment>
  </commentList>
</comments>
</file>

<file path=xl/sharedStrings.xml><?xml version="1.0" encoding="utf-8"?>
<sst xmlns="http://schemas.openxmlformats.org/spreadsheetml/2006/main" count="782" uniqueCount="782">
  <si>
    <t>Item</t>
  </si>
  <si>
    <t>DATES AND VALUATION</t>
  </si>
  <si>
    <t>Platform closing date</t>
  </si>
  <si>
    <t>Add-on closing date</t>
  </si>
  <si>
    <t>Exit date</t>
  </si>
  <si>
    <t>Platform valuation multiple (LTM Adj. EBITDA): entry, add-on close and exit</t>
  </si>
  <si>
    <t>FY26 budget Adjusted EBITDA (platform entry LTM)</t>
  </si>
  <si>
    <t>Cash on balance sheet at platform close (held as minimum cash)</t>
  </si>
  <si>
    <t>Platform unit price at entry</t>
  </si>
  <si>
    <t>STAPLE FINANCING (11.10), FUNDS THE PLATFORM AT CLOSE</t>
  </si>
  <si>
    <t>Term loan</t>
  </si>
  <si>
    <t>Term loan OID (issue price)</t>
  </si>
  <si>
    <t>Term loan margin over Term SOFR</t>
  </si>
  <si>
    <t>Term SOFR floor</t>
  </si>
  <si>
    <t>Term SOFR (staple illustrative rate, held flat)</t>
  </si>
  <si>
    <t>Term loan amortisation (% of original principal a year)</t>
  </si>
  <si>
    <t>DDTL commitment (fully drawn in FY27 for PHX II / ATL II)</t>
  </si>
  <si>
    <t>DDTL OID on funding (issue price)</t>
  </si>
  <si>
    <t>DDTL draw date (single draw)</t>
  </si>
  <si>
    <t>Revolver commitment</t>
  </si>
  <si>
    <t>Revolver margin over Term SOFR</t>
  </si>
  <si>
    <t>Revolver unused fee</t>
  </si>
  <si>
    <t>Arrangement fee: term loan and DDTL (% of commitments)</t>
  </si>
  <si>
    <t>Arrangement fee: revolver (% of commitments)</t>
  </si>
  <si>
    <t>Agency fee</t>
  </si>
  <si>
    <t>DDTL ticking fee from day 61 (% of margin)</t>
  </si>
  <si>
    <t>DDTL ticking fee from day 121 (% of margin)</t>
  </si>
  <si>
    <t>Revolver springing covenant: max first-lien net leverage</t>
  </si>
  <si>
    <t>Springing test trigger (revolver usage)</t>
  </si>
  <si>
    <t>Incremental free-and-clear floor</t>
  </si>
  <si>
    <t>Incremental free-and-clear: % of Consolidated EBITDA</t>
  </si>
  <si>
    <t>MFN protection (all-in yield cushion)</t>
  </si>
  <si>
    <t>MFN period after closing</t>
  </si>
  <si>
    <t>Cap on run-rate and cost-saving add-backs (% of Consolidated EBITDA)</t>
  </si>
  <si>
    <t>Minimum cash equity (% of pro forma capitalisation)</t>
  </si>
  <si>
    <t>Entity-level federal income tax rate</t>
  </si>
  <si>
    <t>Ironvale and its subsidiaries are disregarded LLCs under a partnership parent, so no entity-level income tax is modelled. Texas franchise tax, Ohio CAT and Nevada commerce tax are unquantified in 12.04 and assumed inside opex.</t>
  </si>
  <si>
    <t>EXISTING A&amp;R CREDIT AGREEMENT (9.07), INCUMBENT LENDERS BENCHMARK</t>
  </si>
  <si>
    <t>Incremental ratio prong: max Total Net Leverage</t>
  </si>
  <si>
    <t>Financial covenant (s.7.11): max Total Net Leverage</t>
  </si>
  <si>
    <t>Cap on non-recurring and run-rate add-backs (% of Consolidated EBITDA)</t>
  </si>
  <si>
    <t>Unrestricted cash netting cap</t>
  </si>
  <si>
    <t>Free-and-clear used after Amendment No. 1</t>
  </si>
  <si>
    <t>ADD-ON FINANCING (DEAL-TEAM ASSUMPTIONS)</t>
  </si>
  <si>
    <t>Incremental term loan margin over Term SOFR</t>
  </si>
  <si>
    <t>Incremental term loan OID (issue price)</t>
  </si>
  <si>
    <t>Incremental term loan arrangement fee</t>
  </si>
  <si>
    <t>Incremental term loan amortisation (% a year)</t>
  </si>
  <si>
    <t>OID amortisation convention for all-in yield (years)</t>
  </si>
  <si>
    <t>Case C: incremental term loan as % of total uses</t>
  </si>
  <si>
    <t>Rate on platform funding plug (revolver, then development debt)</t>
  </si>
  <si>
    <t>PROJECT LARIAT SPEC, LTM FY27 (ILLUSTRATIVE)</t>
  </si>
  <si>
    <t>Commissioned critical IT</t>
  </si>
  <si>
    <t>Leased critical IT</t>
  </si>
  <si>
    <t>Wholesale leased (2 tenants, NNN, power passed through)</t>
  </si>
  <si>
    <t>Wholesale rate</t>
  </si>
  <si>
    <t>Colocation leased (29 tenants, power bundled)</t>
  </si>
  <si>
    <t>Colocation all-in rate</t>
  </si>
  <si>
    <t>Tenants</t>
  </si>
  <si>
    <t>Average IT load (% of leased MW)</t>
  </si>
  <si>
    <t>PUE</t>
  </si>
  <si>
    <t>All-in utility rate</t>
  </si>
  <si>
    <t>Lease and colocation revenue</t>
  </si>
  <si>
    <t>Metered power reimbursements</t>
  </si>
  <si>
    <t>Interconnection and cross-connects</t>
  </si>
  <si>
    <t>Managed and other</t>
  </si>
  <si>
    <t>Total revenue ($M)</t>
  </si>
  <si>
    <t>Power at cost</t>
  </si>
  <si>
    <t>Site operating expenses</t>
  </si>
  <si>
    <t>Property taxes and insurance</t>
  </si>
  <si>
    <t>General and administrative</t>
  </si>
  <si>
    <t>Adjusted EBITDA ($M)</t>
  </si>
  <si>
    <t>Site opex: staff</t>
  </si>
  <si>
    <t>Site opex: maintenance contracts</t>
  </si>
  <si>
    <t>Site opex: security</t>
  </si>
  <si>
    <t>Site opex: other</t>
  </si>
  <si>
    <t>G&amp;A: CEO, CFO and COO</t>
  </si>
  <si>
    <t>G&amp;A: finance and billing</t>
  </si>
  <si>
    <t>G&amp;A: sales and marketing</t>
  </si>
  <si>
    <t>G&amp;A: audit and tax</t>
  </si>
  <si>
    <t>G&amp;A: legal</t>
  </si>
  <si>
    <t>G&amp;A: IT and ERP</t>
  </si>
  <si>
    <t>G&amp;A: office</t>
  </si>
  <si>
    <t>G&amp;A: D&amp;O and insurance</t>
  </si>
  <si>
    <t>G&amp;A: other</t>
  </si>
  <si>
    <t>Maintenance capex</t>
  </si>
  <si>
    <t>Standalone lease-up of vacant space</t>
  </si>
  <si>
    <t>Standalone lease-up rate</t>
  </si>
  <si>
    <t>Rent escalator (DFW standard)</t>
  </si>
  <si>
    <t>Site cost escalator</t>
  </si>
  <si>
    <t>Purchase multiple (LTM Adj. EBITDA, cash-free, debt-free), base</t>
  </si>
  <si>
    <t>Purchase multiple, live (Returns sensitivity override if set)</t>
  </si>
  <si>
    <t>Transaction costs (% of price)</t>
  </si>
  <si>
    <t>Synergy capture, base</t>
  </si>
  <si>
    <t>Synergy capture, live (Returns sensitivity override if set)</t>
  </si>
  <si>
    <t>Value</t>
  </si>
  <si>
    <t>Unit</t>
  </si>
  <si>
    <t>date</t>
  </si>
  <si>
    <t>x</t>
  </si>
  <si>
    <t>$M</t>
  </si>
  <si>
    <t>$/unit</t>
  </si>
  <si>
    <t>% of par</t>
  </si>
  <si>
    <t>%</t>
  </si>
  <si>
    <t>$M a year</t>
  </si>
  <si>
    <t>months</t>
  </si>
  <si>
    <t>years</t>
  </si>
  <si>
    <t>MW</t>
  </si>
  <si>
    <t>$/kW/mo</t>
  </si>
  <si>
    <t>#</t>
  </si>
  <si>
    <t>$/kWh</t>
  </si>
  <si>
    <t>MW a year</t>
  </si>
  <si>
    <t>Basis</t>
  </si>
  <si>
    <t>Illustrative</t>
  </si>
  <si>
    <t>Data room</t>
  </si>
  <si>
    <t>Assumption</t>
  </si>
  <si>
    <t>Source</t>
  </si>
  <si>
    <t>Platform assumption (illustrative)</t>
  </si>
  <si>
    <t>2.06 FY26 Budget &amp; LRP v3.2, tab 2 P&amp;L, cell C17</t>
  </si>
  <si>
    <t>Deal-team convention for per-unit metrics</t>
  </si>
  <si>
    <t>11.10 Staple Indicative Terms, p.1, section 2</t>
  </si>
  <si>
    <t>11.10 Staple, p.1, section 2</t>
  </si>
  <si>
    <t>11.10 Staple, p.3, illustrative credit statistics</t>
  </si>
  <si>
    <t>Deal-team assumption: one draw at mid-year</t>
  </si>
  <si>
    <t>11.10 Staple, p.4, section 5</t>
  </si>
  <si>
    <t>11.10 Staple, p.2, DDTL availability</t>
  </si>
  <si>
    <t>11.10 Staple, p.2, financial covenant</t>
  </si>
  <si>
    <t>11.10 Staple, p.2, incremental facilities</t>
  </si>
  <si>
    <t>11.10 Staple, p.2, Consolidated EBITDA</t>
  </si>
  <si>
    <t>11.10 Staple, p.3, condition (b)</t>
  </si>
  <si>
    <t>12.04 Tax Structure Overview, p.1, section 2</t>
  </si>
  <si>
    <t>9.07 A&amp;R Credit Agreement, p.16, "Incremental Cap"</t>
  </si>
  <si>
    <t>9.07, p.16, "Incremental Cap"</t>
  </si>
  <si>
    <t>9.07, p.49, Section 7.11</t>
  </si>
  <si>
    <t>9.07, p.12, "Consolidated EBITDA" proviso</t>
  </si>
  <si>
    <t>9.07, p.12, "Consolidated Total Net Debt"</t>
  </si>
  <si>
    <t>Assumed nil: the 2025 incremental was made under Amendment No. 1 itself (9.07 Schedule 2.01)</t>
  </si>
  <si>
    <t>Assumption: 25 bps over the staple term loan</t>
  </si>
  <si>
    <t>Assumption: staple level</t>
  </si>
  <si>
    <t>Assumption: matches the staple term loan</t>
  </si>
  <si>
    <t>Market convention for MFN yield tests</t>
  </si>
  <si>
    <t>Recommended mix, see Funding tab</t>
  </si>
  <si>
    <t>Term loan all-in rate applied to the plug for simplicity</t>
  </si>
  <si>
    <t>Lariat spec (illustrative)</t>
  </si>
  <si>
    <t>Lariat spec (illustrative): 2 wholesale + 29 colocation</t>
  </si>
  <si>
    <t>Sum of detail below</t>
  </si>
  <si>
    <t>Ties to the $15.1M in the spec</t>
  </si>
  <si>
    <t>4.04 Rate Card FY26 v4, p.2, section 5 escalators</t>
  </si>
  <si>
    <t>Reads the sensitivity override on Returns</t>
  </si>
  <si>
    <t>Deal-team assumption</t>
  </si>
  <si>
    <t>Metric</t>
  </si>
  <si>
    <t>CAPACITY</t>
  </si>
  <si>
    <t>Commissioned critical IT (MW)</t>
  </si>
  <si>
    <t>Leased critical IT (MW, 31-Mar-26)</t>
  </si>
  <si>
    <t>Occupancy</t>
  </si>
  <si>
    <t>FY25 CAMPUS P&amp;L (LARIAT: LTM FY27)</t>
  </si>
  <si>
    <t>Campus NOI ($M)</t>
  </si>
  <si>
    <t>Adj. EBITDA margin</t>
  </si>
  <si>
    <t>UNIT ECONOMICS</t>
  </si>
  <si>
    <t>Revenue per leased MW ($M)</t>
  </si>
  <si>
    <t>Revenue excl. power reimbursements per leased MW ($M)</t>
  </si>
  <si>
    <t>NOI per commissioned MW ($M)</t>
  </si>
  <si>
    <t>NOI per leased MW ($M)</t>
  </si>
  <si>
    <t>NOI margin on total revenue</t>
  </si>
  <si>
    <t>NOI margin excl. power reimbursements</t>
  </si>
  <si>
    <t>Cross-connect revenue per leased MW ($k)</t>
  </si>
  <si>
    <t>All-in utility rate ($/kWh)</t>
  </si>
  <si>
    <t>PRICE AND VALUE</t>
  </si>
  <si>
    <t>Price paid / appraised value ($M)</t>
  </si>
  <si>
    <t>Value per commissioned MW ($M)</t>
  </si>
  <si>
    <t>Value per leased MW ($M)</t>
  </si>
  <si>
    <t>Cap rate on NOI (NOI / value)</t>
  </si>
  <si>
    <t>Appraiser concluded cap rate</t>
  </si>
  <si>
    <t>EV / LTM Adj. EBITDA (x)</t>
  </si>
  <si>
    <t>SPEC INTEGRITY CHECKS (LARIAT)</t>
  </si>
  <si>
    <t>Check</t>
  </si>
  <si>
    <t>Lease and colocation revenue from MW x rate ($M)</t>
  </si>
  <si>
    <t>Power at cost from load x PUE x rate ($M)</t>
  </si>
  <si>
    <t>Wholesale share of power vs reimbursements ($M)</t>
  </si>
  <si>
    <t>Colocation rate excl. bundled power ($/kW/mo)</t>
  </si>
  <si>
    <t>Wholesale rate vs DFW 3-10 MW band low end ($/kW/mo)</t>
  </si>
  <si>
    <t>Lariat (illustrative)</t>
  </si>
  <si>
    <t>Rebuilt from spec</t>
  </si>
  <si>
    <t>NOVA I</t>
  </si>
  <si>
    <t>Spec P&amp;L</t>
  </si>
  <si>
    <t>DFW I</t>
  </si>
  <si>
    <t>Difference</t>
  </si>
  <si>
    <t>PHX I</t>
  </si>
  <si>
    <t>ATL I</t>
  </si>
  <si>
    <t>CMH I</t>
  </si>
  <si>
    <t>RNO I</t>
  </si>
  <si>
    <t>Six-campus median</t>
  </si>
  <si>
    <t>Carrollton sale (Sale 3)</t>
  </si>
  <si>
    <t>Voltaic platform FY25A</t>
  </si>
  <si>
    <t>7.08 appraisals p.4 (Salient Facts); Sale 3 per DFW I appraisal p.15; platform 2.06 tab 1 B7</t>
  </si>
  <si>
    <t>7.08 appraisals p.4; platform 2.06 tab 1 B8</t>
  </si>
  <si>
    <t>3.05 NOI by Campus, FY25 tab, row 7; platform 2.06 tab 2 B10</t>
  </si>
  <si>
    <t>3.05 FY25 tab, row 5; 2.06 tab 2 B7</t>
  </si>
  <si>
    <t>3.05 FY25 tab, row 6; 2.06 tab 2 B8</t>
  </si>
  <si>
    <t>3.05 FY25 tab, row 12 (ties to appraisals p.4); 2.06 tab 2 B14. Lariat NOI before G&amp;A</t>
  </si>
  <si>
    <t>Campuses carry no G&amp;A, so no campus EBITDA</t>
  </si>
  <si>
    <t>2.06 tab 2 B17</t>
  </si>
  <si>
    <t>Lariat colocation bundles power, so its figure still carries $5.4M of bundled power cost recovery</t>
  </si>
  <si>
    <t>DFW I at 72.1% matches the appraisal p.12</t>
  </si>
  <si>
    <t>3.07 Power Analysis FY25, column G</t>
  </si>
  <si>
    <t>3.07 Power Analysis FY25, column F</t>
  </si>
  <si>
    <t>Lariat at 15.0x LTM; 7.08 appraisals p.4 (as-is value, 31-Mar-26)</t>
  </si>
  <si>
    <t>Appraisals: FY25 NOI / as-is value; Sale 3 as reported</t>
  </si>
  <si>
    <t>7.08 appraisals p.13, direct capitalization</t>
  </si>
  <si>
    <t>Platform at the illustrative 18.0x</t>
  </si>
  <si>
    <t>Spec column shows the portfolio enterprise colo in-place rate, 4.04 p.1</t>
  </si>
  <si>
    <t>4.04 p.1: DFW 3-10 MW band $112-122</t>
  </si>
  <si>
    <t>US$ millions</t>
  </si>
  <si>
    <t>LARIAT STANDALONE PROJECTION (ILLUSTRATIVE)</t>
  </si>
  <si>
    <t>Years after LTM FY27</t>
  </si>
  <si>
    <t>Rent escalation index</t>
  </si>
  <si>
    <t>Site cost escalation index</t>
  </si>
  <si>
    <t>Standalone lease-up, cumulative (MW, year end)</t>
  </si>
  <si>
    <t>Average lease-up MW in year</t>
  </si>
  <si>
    <t>In-place lease and colocation revenue</t>
  </si>
  <si>
    <t>Lease-up revenue</t>
  </si>
  <si>
    <t>Adjusted EBITDA, standalone ($M)</t>
  </si>
  <si>
    <t>SYNERGY 1: POWER PROCUREMENT</t>
  </si>
  <si>
    <t>Lariat all-in utility rate ($/kWh)</t>
  </si>
  <si>
    <t>DFW I effective rate, TXU fixed-plus-pass-through with ERCOT 4CP ($/kWh)</t>
  </si>
  <si>
    <t>Rate saving ($/kWh)</t>
  </si>
  <si>
    <t>Hours a year</t>
  </si>
  <si>
    <t>Bundled colocation energy (GWh)</t>
  </si>
  <si>
    <t>Wholesale pass-through energy (GWh)</t>
  </si>
  <si>
    <t>Saving on bundled colocation power</t>
  </si>
  <si>
    <t>Saving on wholesale power</t>
  </si>
  <si>
    <t>Share of wholesale saving kept</t>
  </si>
  <si>
    <t>Run-rate EBITDA synergy: power ($M)</t>
  </si>
  <si>
    <t>SYNERGY 2: G&amp;A, LINE BY LINE</t>
  </si>
  <si>
    <t>Voltaic commissioned MW, FY27E</t>
  </si>
  <si>
    <t>Lariat G&amp;A line</t>
  </si>
  <si>
    <t>CEO, CFO and COO</t>
  </si>
  <si>
    <t>Finance and billing</t>
  </si>
  <si>
    <t>Sales and marketing</t>
  </si>
  <si>
    <t>Audit and tax</t>
  </si>
  <si>
    <t>Legal</t>
  </si>
  <si>
    <t>IT and ERP</t>
  </si>
  <si>
    <t>Office</t>
  </si>
  <si>
    <t>D&amp;O and insurance</t>
  </si>
  <si>
    <t>Other</t>
  </si>
  <si>
    <t>Total G&amp;A ($M)</t>
  </si>
  <si>
    <t>Run-rate EBITDA synergy: G&amp;A ($M)</t>
  </si>
  <si>
    <t>Voltaic FY27E G&amp;A</t>
  </si>
  <si>
    <t>Voltaic leased MW, FY27E</t>
  </si>
  <si>
    <t>Voltaic G&amp;A per leased MW ($k)</t>
  </si>
  <si>
    <t>Lariat standalone G&amp;A per leased MW ($k)</t>
  </si>
  <si>
    <t>Lariat G&amp;A on the platform per leased MW ($k)</t>
  </si>
  <si>
    <t>SYNERGY 3: INTERCONNECTION (DARK-FIBRE TIE TO DFW I)</t>
  </si>
  <si>
    <t>Lariat cross-connect revenue per leased MW ($k)</t>
  </si>
  <si>
    <t>DFW I interconnection revenue, FY25</t>
  </si>
  <si>
    <t>DFW I leased MW, FY25A</t>
  </si>
  <si>
    <t>DFW I cross-connect revenue per leased MW ($k)</t>
  </si>
  <si>
    <t>Gap per leased MW ($k)</t>
  </si>
  <si>
    <t>Lariat tenants (#)</t>
  </si>
  <si>
    <t>Diverse dark-fibre ties to DFW I sold per tenant (#)</t>
  </si>
  <si>
    <t>Inter-building tie, monthly fee ($)</t>
  </si>
  <si>
    <t>Diverse-path premium</t>
  </si>
  <si>
    <t>Monthly fee per diverse tie ($)</t>
  </si>
  <si>
    <t>Tie revenue a year</t>
  </si>
  <si>
    <t>Lariat cross-connect revenue per leased MW after ($k)</t>
  </si>
  <si>
    <t>Share of the gap to DFW I closed</t>
  </si>
  <si>
    <t>Bluebonnet Dallas metro ring spend, FY25 (DFW I)</t>
  </si>
  <si>
    <t>Lariat route lease as % of the DFW I ring spend</t>
  </si>
  <si>
    <t>Dark-fibre route lease to Lariat (opex)</t>
  </si>
  <si>
    <t>Run-rate EBITDA synergy: interconnection ($M)</t>
  </si>
  <si>
    <t>SYNERGY 4: CROSS-SELL OF DFW OVERFLOW INTO LARIAT VACANCY</t>
  </si>
  <si>
    <t>DFW I commissioned MW, FY27E</t>
  </si>
  <si>
    <t>DFW I leased MW, FY27E (flat to FY30E)</t>
  </si>
  <si>
    <t>DFW I occupancy, FY27E onward</t>
  </si>
  <si>
    <t>DFW I active pipeline (MW)</t>
  </si>
  <si>
    <t>DFW I risk-weighted pipeline (MW)</t>
  </si>
  <si>
    <t>Implied average probability</t>
  </si>
  <si>
    <t>DFW rate card, 1-3 MW wholesale, low end ($/kW/mo)</t>
  </si>
  <si>
    <t>Risk-weighted overflow placed in Lariat (MW in year)</t>
  </si>
  <si>
    <t>Cross-sell MW leased, cumulative (year end)</t>
  </si>
  <si>
    <t>Average cross-sell MW in year</t>
  </si>
  <si>
    <t>Cross-sell revenue</t>
  </si>
  <si>
    <t>EBITDA flow-through on cross-sell revenue</t>
  </si>
  <si>
    <t>Cross-sell EBITDA ($M)</t>
  </si>
  <si>
    <t>SYNERGY 5: SITE OPERATING COSTS (SERVICE-CONTRACT CONSOLIDATION)</t>
  </si>
  <si>
    <t>Lariat site cost</t>
  </si>
  <si>
    <t>Maintenance contracts</t>
  </si>
  <si>
    <t>Security</t>
  </si>
  <si>
    <t>Other site costs</t>
  </si>
  <si>
    <t>Site staff</t>
  </si>
  <si>
    <t>Run-rate EBITDA synergy: site costs ($M)</t>
  </si>
  <si>
    <t>COSTS TO ACHIEVE</t>
  </si>
  <si>
    <t>Timing of opex costs (% in year)</t>
  </si>
  <si>
    <t>Timing of capex costs (% in year)</t>
  </si>
  <si>
    <t>Severance and retention (x annual cost of roles cut)</t>
  </si>
  <si>
    <t>Severance and retention (opex)</t>
  </si>
  <si>
    <t>Systems, billing and ERP migration (opex)</t>
  </si>
  <si>
    <t>Contract exits and rebranding (opex)</t>
  </si>
  <si>
    <t>Costs to achieve: opex ($M)</t>
  </si>
  <si>
    <t>Dark-fibre route build and MMR tie-in (capex)</t>
  </si>
  <si>
    <t>IT, network and access-control integration (capex)</t>
  </si>
  <si>
    <t>Costs to achieve: capex ($M)</t>
  </si>
  <si>
    <t>SYNERGY PHASING AND LARIAT PRO FORMA EBITDA</t>
  </si>
  <si>
    <t>Phasing (% of run-rate)</t>
  </si>
  <si>
    <t>Synergy capture</t>
  </si>
  <si>
    <t>Power procurement</t>
  </si>
  <si>
    <t>G&amp;A</t>
  </si>
  <si>
    <t>Site operating costs</t>
  </si>
  <si>
    <t>Interconnection</t>
  </si>
  <si>
    <t>Cross-sell</t>
  </si>
  <si>
    <t>EBITDA synergies ($M)</t>
  </si>
  <si>
    <t>of which cost savings (add-back candidates)</t>
  </si>
  <si>
    <t>Lariat pro forma Adj. EBITDA ($M)</t>
  </si>
  <si>
    <t>Synergies as % of Lariat LTM EBITDA</t>
  </si>
  <si>
    <t>Costs to achieve: opex</t>
  </si>
  <si>
    <t>Costs to achieve: capex</t>
  </si>
  <si>
    <t>Lariat LTM ($M)</t>
  </si>
  <si>
    <t>Run-rate</t>
  </si>
  <si>
    <t>Voltaic benchmark line (2.06 tab 7)</t>
  </si>
  <si>
    <t>Corporate payroll &amp; benefits</t>
  </si>
  <si>
    <t>Audit, tax &amp; accounting advisory</t>
  </si>
  <si>
    <t>Legal, general corporate</t>
  </si>
  <si>
    <t>IT, ERP &amp; software licences</t>
  </si>
  <si>
    <t>Dallas HQ rent &amp; office costs</t>
  </si>
  <si>
    <t>D&amp;O, EPL &amp; fiduciary insurance</t>
  </si>
  <si>
    <t>Bank charges, franchise taxes &amp; other</t>
  </si>
  <si>
    <t>Saving</t>
  </si>
  <si>
    <t>Voltaic FY27E ($M)</t>
  </si>
  <si>
    <t>Run-rate ($M)</t>
  </si>
  <si>
    <t>Voltaic $k per MW</t>
  </si>
  <si>
    <t>Voltaic contract (9.05)</t>
  </si>
  <si>
    <t>Marginal factor</t>
  </si>
  <si>
    <t>Platform adds ($M)</t>
  </si>
  <si>
    <t>Net saving ($M)</t>
  </si>
  <si>
    <t>Spec: 0.6 MW a year of the vacant 4.8 MW</t>
  </si>
  <si>
    <t>Mid-year convention</t>
  </si>
  <si>
    <t>Escalates at the DFW 2.75% (4.04)</t>
  </si>
  <si>
    <t>At $125/kW/mo, NNN</t>
  </si>
  <si>
    <t/>
  </si>
  <si>
    <t/>
  </si>
  <si>
    <t>Spec (illustrative)</t>
  </si>
  <si>
    <t>3.07 Power Analysis FY25, cell G5; TXU and 4CP per 6.01 p.1</t>
  </si>
  <si>
    <t>Both campuses are on Oncor delivery, so the TXU supply and 4CP program extend to Lariat</t>
  </si>
  <si>
    <t>10.2 MW x 70% load x PUE 1.42</t>
  </si>
  <si>
    <t>9.0 MW x 70% load x PUE 1.42</t>
  </si>
  <si>
    <t>Lariat bears this cost inside its $185 all-in rate, so the saving is kept</t>
  </si>
  <si>
    <t>Passed to the two NNN tenants at cost</t>
  </si>
  <si>
    <t>Wholesale leases pass power through at cost, as Voltaic's own leases do (4.04 s.4)</t>
  </si>
  <si>
    <t/>
  </si>
  <si>
    <t>2.06 tab 4, cell D18</t>
  </si>
  <si>
    <t>2.06 tab 7, column D. Platform C-suite absorbs; no add</t>
  </si>
  <si>
    <t>2.06 tab 7, column D. Billing onto platform ERP; 25% of average payroll per MW</t>
  </si>
  <si>
    <t>2.06 tab 7, column D. Lariat accounts into the platform sales team; 15% of average payroll per MW</t>
  </si>
  <si>
    <t>2.06 tab 7, column D. Audit scope grows pro rata with MW</t>
  </si>
  <si>
    <t>2.06 tab 7, column D. Pro rata with MW</t>
  </si>
  <si>
    <t>2.06 tab 7, column D. Licences pro rata with MW</t>
  </si>
  <si>
    <t>2.06 tab 7, column D. Dallas HQ is 16 miles away; office closes</t>
  </si>
  <si>
    <t/>
  </si>
  <si>
    <t>2.06 tab 7, cell D19</t>
  </si>
  <si>
    <t>2.06 tab 4, cell D32</t>
  </si>
  <si>
    <t>Marginal cost, below the platform average because the C-suite and HQ are fixed</t>
  </si>
  <si>
    <t>3.05 FY25 tab, cell C6</t>
  </si>
  <si>
    <t>2.06 tab 4, cell B22</t>
  </si>
  <si>
    <t>DFW I MMR-B has 5 carriers and the Bluebonnet Dallas metro ring (12.02)</t>
  </si>
  <si>
    <t>Assumption: one diverse pair to the DFW I carrier ecosystem per tenant, two for redundancy</t>
  </si>
  <si>
    <t>4.04 p.2, section 3 fee schedule</t>
  </si>
  <si>
    <t>4.04 p.2, section 3</t>
  </si>
  <si>
    <t/>
  </si>
  <si>
    <t>Cross-check: a conservative share of the gap</t>
  </si>
  <si>
    <t>9.05 Vendor List, cell D23; agreement to Feb-2027, renew before close</t>
  </si>
  <si>
    <t>Assumption: one 16-mile pair route vs two DFW I ring paths (12.02)</t>
  </si>
  <si>
    <t>2.06 tab 4, cell D8</t>
  </si>
  <si>
    <t>2.06 tab 4, cells D22:G22</t>
  </si>
  <si>
    <t>Nearly full: the plan adds no DFW I leasing after FY27</t>
  </si>
  <si>
    <t>4.03 Pipeline 29-May-26, Summary tab C18 (4 opportunities)</t>
  </si>
  <si>
    <t>4.03 Summary tab D18; LOI 75% / Negotiation 50% / Proposal 25% / Prospect 10%</t>
  </si>
  <si>
    <t>4.04 p.1, section 1: DFW 1-3 MW band $122-132</t>
  </si>
  <si>
    <t>Assumption: the current risk-weighted DFW pipeline recurs each year and DFW I cannot take it</t>
  </si>
  <si>
    <t>Capped by vacancy left after standalone lease-up</t>
  </si>
  <si>
    <t>NNN, power passed through</t>
  </si>
  <si>
    <t>Assumption: incremental site cost on already-commissioned space</t>
  </si>
  <si>
    <t>9.05 rows 5-7: Caterpillar ($14.2M), Vertiv, Schneider fleet service, all campuses; Caterpillar renews Dec-2027</t>
  </si>
  <si>
    <t>9.05 row 12: Aegis 24x7 guarding, all campuses, assignable on notice</t>
  </si>
  <si>
    <t>9.05 rows 13-18: fire and life safety, chiller, water, NETA testing, grounds</t>
  </si>
  <si>
    <t>A staffed campus stays staffed: no saving taken</t>
  </si>
  <si>
    <t/>
  </si>
  <si>
    <t>On the CEO/CFO/COO, finance and sales savings</t>
  </si>
  <si>
    <t>Column C is the total</t>
  </si>
  <si>
    <t/>
  </si>
  <si>
    <t>Sensitivity driver (Returns grid)</t>
  </si>
  <si>
    <t>Ramps with leasing; no run-rate figure</t>
  </si>
  <si>
    <t>Run-rate column: cost and interconnection synergies only</t>
  </si>
  <si>
    <t>Interconnection and cross-sell are uncontracted revenue, not add-backs</t>
  </si>
  <si>
    <t>Run-rate column: LTM plus run-rate synergies</t>
  </si>
  <si>
    <t>Below Adjusted EBITDA (non-recurring)</t>
  </si>
  <si>
    <t>SOURCES AND USES AT PLATFORM CLOSE, 31-DEC-2026 (ILLUSTRATIVE)</t>
  </si>
  <si>
    <t>Enterprise value (18.0x FY26 budget Adj. EBITDA)</t>
  </si>
  <si>
    <t>Cash to balance sheet</t>
  </si>
  <si>
    <t>Term loan OID</t>
  </si>
  <si>
    <t>Arrangement fee: term loan and DDTL</t>
  </si>
  <si>
    <t>Arrangement fee: revolver</t>
  </si>
  <si>
    <t>Total uses ($M)</t>
  </si>
  <si>
    <t>Sponsor equity (plug)</t>
  </si>
  <si>
    <t>Total sources ($M)</t>
  </si>
  <si>
    <t>Equity % of pro forma capitalisation vs 40% minimum</t>
  </si>
  <si>
    <t>Platform units issued (m)</t>
  </si>
  <si>
    <t>First-lien net leverage at closing (staple ratio-prong level)</t>
  </si>
  <si>
    <t>PLATFORM PLAN AND NET DEBT ROLL-FORWARD</t>
  </si>
  <si>
    <t>Adjusted EBITDA (2.06 plan) ($M)</t>
  </si>
  <si>
    <t>Development capex (2.06 plan)</t>
  </si>
  <si>
    <t>Maintenance capex (2.06 plan)</t>
  </si>
  <si>
    <t>(-) Maintenance capex</t>
  </si>
  <si>
    <t>(-) Development capex</t>
  </si>
  <si>
    <t>(-) Entity-level income tax</t>
  </si>
  <si>
    <t>Unlevered free cash flow ($M)</t>
  </si>
  <si>
    <t>TERM LOAN</t>
  </si>
  <si>
    <t>Opening balance</t>
  </si>
  <si>
    <t>Scheduled amortisation</t>
  </si>
  <si>
    <t>Closing balance</t>
  </si>
  <si>
    <t>All-in rate</t>
  </si>
  <si>
    <t>Interest</t>
  </si>
  <si>
    <t>DDTL (PHX II / ATL II)</t>
  </si>
  <si>
    <t>Draw</t>
  </si>
  <si>
    <t>Share of year outstanding</t>
  </si>
  <si>
    <t>OID on DDTL funding</t>
  </si>
  <si>
    <t>Ticking fee on undrawn DDTL</t>
  </si>
  <si>
    <t>REVOLVER AND FUNDING PLUG</t>
  </si>
  <si>
    <t>Cash flow before the funding plug</t>
  </si>
  <si>
    <t>Plug opening balance</t>
  </si>
  <si>
    <t>Plug rate</t>
  </si>
  <si>
    <t>Plug draw / (repayment)</t>
  </si>
  <si>
    <t>Plug interest</t>
  </si>
  <si>
    <t>Plug closing balance</t>
  </si>
  <si>
    <t>of which revolver drawn</t>
  </si>
  <si>
    <t>of which development debt above the revolver</t>
  </si>
  <si>
    <t>Revolver usage</t>
  </si>
  <si>
    <t>Change in cash</t>
  </si>
  <si>
    <t>Cash, closing</t>
  </si>
  <si>
    <t>CREDIT STATISTICS AND EQUITY VALUE</t>
  </si>
  <si>
    <t>Total debt ($M)</t>
  </si>
  <si>
    <t>Net debt ($M)</t>
  </si>
  <si>
    <t>Total net leverage (x LTM Adj. EBITDA)</t>
  </si>
  <si>
    <t>First-lien net leverage (x)</t>
  </si>
  <si>
    <t>Cash interest</t>
  </si>
  <si>
    <t>Interest coverage (x Adj. EBITDA)</t>
  </si>
  <si>
    <t>Levered free cash flow ($M)</t>
  </si>
  <si>
    <t>Enterprise value at 18.0x LTM Adj. EBITDA</t>
  </si>
  <si>
    <t>Equity value ($M)</t>
  </si>
  <si>
    <t>Equity value per platform unit ($)</t>
  </si>
  <si>
    <t>Sponsor MOIC on platform equity (x)</t>
  </si>
  <si>
    <t>99.0 issue price</t>
  </si>
  <si>
    <t>2.25% of commitments (11.10 s.5)</t>
  </si>
  <si>
    <t>1.75% of commitments</t>
  </si>
  <si>
    <t>DDTL and revolver undrawn at close</t>
  </si>
  <si>
    <t>Staple condition (b): passes</t>
  </si>
  <si>
    <t>At $10.00 a unit</t>
  </si>
  <si>
    <t>Term loan less cash over FY26 budget EBITDA</t>
  </si>
  <si>
    <t>2.06 tab 2, cells C17:G17</t>
  </si>
  <si>
    <t>2.06 tab 3, cells C12:F12 (shown positive in source)</t>
  </si>
  <si>
    <t>2.06 tab 8, cells D17:G17</t>
  </si>
  <si>
    <t>Nil: disregarded LLCs under a partnership parent (12.04)</t>
  </si>
  <si>
    <t>1.00% a year</t>
  </si>
  <si>
    <t>Term SOFR 3.75% + 3.00%</t>
  </si>
  <si>
    <t>On average balance</t>
  </si>
  <si>
    <t>Fully drawn in FY27 (platform assumption)</t>
  </si>
  <si>
    <t>Drawn 30-Jun-27</t>
  </si>
  <si>
    <t>1.00% a year from first draw</t>
  </si>
  <si>
    <t>Same pricing as the term loan</t>
  </si>
  <si>
    <t>99.0 on funding</t>
  </si>
  <si>
    <t>50% of margin from day 61, 100% from day 121 until the draw</t>
  </si>
  <si>
    <t>On opening undrawn commitment</t>
  </si>
  <si>
    <t>Revolver first, then development debt above the $150.0M commitment</t>
  </si>
  <si>
    <t>Solved in closed form: interest on opening balance plus half a year on the draw, no circularity</t>
  </si>
  <si>
    <t>Needs incremental capacity (see Funding)</t>
  </si>
  <si>
    <t>Springing 8.00x covenant tested above 35%</t>
  </si>
  <si>
    <t>All senior secured first-lien</t>
  </si>
  <si>
    <t>Same as total: no junior debt</t>
  </si>
  <si>
    <t>Excludes fees and OID</t>
  </si>
  <si>
    <t>After capex, interest and fees; before debt draws and amortisation</t>
  </si>
  <si>
    <t>If exited at the year end</t>
  </si>
  <si>
    <t>ADD-ON SOURCES AND USES AT 31-DEC-2027</t>
  </si>
  <si>
    <t>Lariat LTM Adj. EBITDA (illustrative)</t>
  </si>
  <si>
    <t>Purchase multiple (x)</t>
  </si>
  <si>
    <t>Purchase price, cash-free and debt-free</t>
  </si>
  <si>
    <t>Transaction costs</t>
  </si>
  <si>
    <t>Fees and OID on incremental TL (% of principal)</t>
  </si>
  <si>
    <t>Financing fees and OID</t>
  </si>
  <si>
    <t>Incremental term loan</t>
  </si>
  <si>
    <t>New sponsor equity</t>
  </si>
  <si>
    <t>Incremental debt / Lariat LTM EBITDA (x)</t>
  </si>
  <si>
    <t>Debt share of total uses</t>
  </si>
  <si>
    <t>PRO FORMA CREDIT STATISTICS AT CLOSE</t>
  </si>
  <si>
    <t>Platform net debt, 31-Dec-27</t>
  </si>
  <si>
    <t>Pro forma net debt ($M)</t>
  </si>
  <si>
    <t>Platform LTM Adj. EBITDA, FY27</t>
  </si>
  <si>
    <t>Pro forma LTM Adj. EBITDA ($M)</t>
  </si>
  <si>
    <t>Run-rate cost savings (add-back candidates)</t>
  </si>
  <si>
    <t>Run-rate synergies incl. interconnection</t>
  </si>
  <si>
    <t>Pro forma total net leverage (x LTM)</t>
  </si>
  <si>
    <t>Pro forma total net leverage incl. run-rate synergies (x)</t>
  </si>
  <si>
    <t>Pro forma first-lien net leverage (x LTM)</t>
  </si>
  <si>
    <t>STAPLE (11.10) INCREMENTAL AND COVENANT TESTS</t>
  </si>
  <si>
    <t>Run-rate add-backs allowed (capped at 20%)</t>
  </si>
  <si>
    <t>Headroom under the 20% cap</t>
  </si>
  <si>
    <t>Consolidated EBITDA, pro forma ($M)</t>
  </si>
  <si>
    <t>Free-and-clear amount: greater of $300M and 100% of Consolidated EBITDA</t>
  </si>
  <si>
    <t>Closing first-lien net leverage level (x)</t>
  </si>
  <si>
    <t>Platform first-lien net leverage before the add-on (x)</t>
  </si>
  <si>
    <t>Ratio-prong capacity at the closing level</t>
  </si>
  <si>
    <t>Incremental under the ratio prong</t>
  </si>
  <si>
    <t>Incremental under the free-and-clear basket</t>
  </si>
  <si>
    <t>Free-and-clear headroom after the add-on ($M)</t>
  </si>
  <si>
    <t>Incremental permitted?</t>
  </si>
  <si>
    <t>Incremental all-in spread (margin + OID over 4 years)</t>
  </si>
  <si>
    <t>Term loan all-in spread</t>
  </si>
  <si>
    <t>Difference vs the 0.50% MFN cushion</t>
  </si>
  <si>
    <t>Months from platform close to add-on close</t>
  </si>
  <si>
    <t>MFN outcome</t>
  </si>
  <si>
    <t>DDTL undrawn at add-on close</t>
  </si>
  <si>
    <t>Can the DDTL fund the add-on?</t>
  </si>
  <si>
    <t>Revolver usage at add-on close</t>
  </si>
  <si>
    <t>Springing covenant tested?</t>
  </si>
  <si>
    <t>Headroom to the 8.00x springing covenant (x)</t>
  </si>
  <si>
    <t>EXISTING A&amp;R CREDIT AGREEMENT (9.07) TESTS, INCUMBENT BENCHMARK</t>
  </si>
  <si>
    <t>Non-recurring and run-rate add-backs allowed (capped at 15%)</t>
  </si>
  <si>
    <t>Headroom under the 15% cap</t>
  </si>
  <si>
    <t>Platform Consolidated Total Net Debt (cash netting capped at $150M)</t>
  </si>
  <si>
    <t>Pro forma Consolidated Total Net Debt</t>
  </si>
  <si>
    <t>Pro forma Total Net Leverage (x)</t>
  </si>
  <si>
    <t>Free-and-clear amount: greater of $150M and 75% of Consolidated EBITDA</t>
  </si>
  <si>
    <t>Ratio-prong capacity at 6.75x (proceeds not netted)</t>
  </si>
  <si>
    <t>Basket used</t>
  </si>
  <si>
    <t>Permitted acquisition, s.7.02(g): pro forma compliance with 7.50x</t>
  </si>
  <si>
    <t>Headroom to the 7.50x covenant (x)</t>
  </si>
  <si>
    <t>EBITDA cushion to the covenant</t>
  </si>
  <si>
    <t>PLATFORM FY28 DEVELOPMENT FUNDING AFTER THE ADD-ON</t>
  </si>
  <si>
    <t>FY28 development debt needed above the revolver</t>
  </si>
  <si>
    <t>FY28 ratio-prong capacity at the closing level, pro forma</t>
  </si>
  <si>
    <t>Free-and-clear headroom left after the add-on</t>
  </si>
  <si>
    <t>Incremental capacity available in FY28 ($M)</t>
  </si>
  <si>
    <t>Cushion / (shortfall)</t>
  </si>
  <si>
    <t>Case A: all incremental TL</t>
  </si>
  <si>
    <t>Case B: leverage-neutral</t>
  </si>
  <si>
    <t>Case C: recommended mix</t>
  </si>
  <si>
    <t>2.0% of price</t>
  </si>
  <si>
    <t>A: all debt. B: platform net leverage at 31-Dec-27 x Lariat LTM EBITDA. C: 50% of total uses</t>
  </si>
  <si>
    <t>Issued at the platform mark at 31-Dec-27</t>
  </si>
  <si>
    <t>Platform tab roll-forward</t>
  </si>
  <si>
    <t>Uses fully funded; no cash change</t>
  </si>
  <si>
    <t>Power, G&amp;A and site costs</t>
  </si>
  <si>
    <t>All debt is first-lien</t>
  </si>
  <si>
    <t>Cap measured on Consolidated EBITDA before add-backs</t>
  </si>
  <si>
    <t>Not binding</t>
  </si>
  <si>
    <t>Lariat included on a pro forma basis</t>
  </si>
  <si>
    <t>Above the closing level: the FY27 DDTL and revolver draws used it up</t>
  </si>
  <si>
    <t>Closing level x Consolidated EBITDA less platform net debt</t>
  </si>
  <si>
    <t>Ratio prong used first to save the free-and-clear basket</t>
  </si>
  <si>
    <t>At the 12-month edge of the MFN window</t>
  </si>
  <si>
    <t>Within 50 bps either way</t>
  </si>
  <si>
    <t>Fully drawn in FY27</t>
  </si>
  <si>
    <t>Purpose is growth capex for new capacity at existing campuses or Borrower land (11.10 p.2); an acquisition does not qualify and nothing is left</t>
  </si>
  <si>
    <t>Not binding; one-off integration costs share this cap</t>
  </si>
  <si>
    <t>Lariat must also become a Mortgaged Property (s.6.13)</t>
  </si>
  <si>
    <t>Platform tab: PHX/ATL/San Antonio capex outruns cash flow</t>
  </si>
  <si>
    <t>Combined FY28 EBITDA and net debt before the new development debt</t>
  </si>
  <si>
    <t>AT THE ADD-ON CLOSE, 31-DEC-2027</t>
  </si>
  <si>
    <t>LTM Adj. EBITDA ($M)</t>
  </si>
  <si>
    <t>LTM Adj. EBITDA incl. run-rate synergies ($M)</t>
  </si>
  <si>
    <t>Total net leverage (x LTM)</t>
  </si>
  <si>
    <t>Total net leverage incl. run-rate synergies (x)</t>
  </si>
  <si>
    <t>First-lien net leverage (x LTM)</t>
  </si>
  <si>
    <t>Equity value at 18.0x LTM ($M)</t>
  </si>
  <si>
    <t>Platform mark per unit ($)</t>
  </si>
  <si>
    <t>Units outstanding (m)</t>
  </si>
  <si>
    <t>Equity value per unit ($)</t>
  </si>
  <si>
    <t>Equity value per unit incl. run-rate synergies at 18.0x ($)</t>
  </si>
  <si>
    <t>FY28 (FIRST YEAR OF OWNERSHIP)</t>
  </si>
  <si>
    <t>FY28 Adj. EBITDA ($M)</t>
  </si>
  <si>
    <t>FY28 cash interest</t>
  </si>
  <si>
    <t>FY28 interest coverage (x)</t>
  </si>
  <si>
    <t>FY28 levered free cash flow ($M)</t>
  </si>
  <si>
    <t>Platform standalone</t>
  </si>
  <si>
    <t>Case A</t>
  </si>
  <si>
    <t>Case B</t>
  </si>
  <si>
    <t>Case C</t>
  </si>
  <si>
    <t>Run-rate cost and interconnection synergies at 100%; cross-sell excluded</t>
  </si>
  <si>
    <t>New equity issued at this mark</t>
  </si>
  <si>
    <t>Lariat with phased synergies (50% in FY28)</t>
  </si>
  <si>
    <t>Incremental TL interest net of the interest credit on retained cash</t>
  </si>
  <si>
    <t>After capex, costs to achieve, interest and fees</t>
  </si>
  <si>
    <t>ADD-ON UNLEVERED CASH FLOWS (ALL CASES)</t>
  </si>
  <si>
    <t>Lariat standalone Adj. EBITDA</t>
  </si>
  <si>
    <t>EBITDA synergies (phased)</t>
  </si>
  <si>
    <t>(-) Costs to achieve: opex</t>
  </si>
  <si>
    <t>(-) Costs to achieve: capex</t>
  </si>
  <si>
    <t>CASE A: ALL INCREMENTAL TERM LOAN</t>
  </si>
  <si>
    <t>Incremental term loan, opening</t>
  </si>
  <si>
    <t>Incremental term loan, closing</t>
  </si>
  <si>
    <t>Interest on incremental term loan</t>
  </si>
  <si>
    <t>Interest credit on retained cash (repays the platform plug)</t>
  </si>
  <si>
    <t>Net cash interest</t>
  </si>
  <si>
    <t>Cumulative cash retained (after amortisation)</t>
  </si>
  <si>
    <t>Add-on net debt ($M)</t>
  </si>
  <si>
    <t>Add-on equity value at 18.0x LTM</t>
  </si>
  <si>
    <t>Add-on equity cash flow ($M)</t>
  </si>
  <si>
    <t>Equity IRR to 31-Dec-30</t>
  </si>
  <si>
    <t>Equity MOIC to 31-Dec-30 (x)</t>
  </si>
  <si>
    <t>IRR if exited at the year end</t>
  </si>
  <si>
    <t>MOIC if exited at the year end (x)</t>
  </si>
  <si>
    <t>CASE B: LEVERAGE-NEUTRAL</t>
  </si>
  <si>
    <t>CASE C: RECOMMENDED MIX</t>
  </si>
  <si>
    <t>VALUE-CREATION BRIDGE: ADD-ON EQUITY, 31-DEC-2027 TO 31-DEC-2030</t>
  </si>
  <si>
    <t>Equity invested</t>
  </si>
  <si>
    <t>(-) Transaction costs, financing fees and OID</t>
  </si>
  <si>
    <t>(+) Multiple arbitrage: purchase multiple to 18.0x on LTM EBITDA</t>
  </si>
  <si>
    <t>(+) Growth: standalone EBITDA growth to FY30 at 18.0x</t>
  </si>
  <si>
    <t>(+) Synergies: FY30 synergies at 18.0x</t>
  </si>
  <si>
    <t>(+) Debt paydown from cash flow, before costs to achieve</t>
  </si>
  <si>
    <t>(-) Costs to achieve, opex and capex</t>
  </si>
  <si>
    <t>Exit equity value, 31-Dec-30 ($M)</t>
  </si>
  <si>
    <t>Exit equity value from the cash flows</t>
  </si>
  <si>
    <t>PLATFORM EXIT EQUITY VALUE AND SPONSOR MOIC, 31-DEC-2030</t>
  </si>
  <si>
    <t>Platform exit equity value, standalone</t>
  </si>
  <si>
    <t>Add-on exit equity value</t>
  </si>
  <si>
    <t>Total exit equity value ($M)</t>
  </si>
  <si>
    <t>Sponsor equity invested</t>
  </si>
  <si>
    <t>Sponsor MOIC (x)</t>
  </si>
  <si>
    <t>Change in exit equity value vs standalone</t>
  </si>
  <si>
    <t>Change in sponsor MOIC (x)</t>
  </si>
  <si>
    <t>Exit equity value per unit ($)</t>
  </si>
  <si>
    <t>SENSITIVITY: CASE C ADD-ON EQUITY IRR BY PURCHASE MULTIPLE AND SYNERGY CAPTURE</t>
  </si>
  <si>
    <t>Sensitivity override: purchase multiple (leave blank)</t>
  </si>
  <si>
    <t>Sensitivity override: synergy capture (leave blank)</t>
  </si>
  <si>
    <t>Purchase multiple (rows) / synergy capture (columns)</t>
  </si>
  <si>
    <t>Standalone</t>
  </si>
  <si>
    <t>Nil (12.04)</t>
  </si>
  <si>
    <t>Term SOFR + 3.25%</t>
  </si>
  <si>
    <t>Invested at close; no interim distributions; exit 31-Dec-30</t>
  </si>
  <si>
    <t>n.m. where no new equity is invested</t>
  </si>
  <si>
    <t>Platform equity at 31-Dec-26 plus new add-on equity</t>
  </si>
  <si>
    <t>The data table writes here; blank means the Inputs base case</t>
  </si>
  <si>
    <t>Project Lariat: inputs</t>
  </si>
  <si>
    <t>All inputs sit on this tab. Blue = hardcoded; yellow fill = deal-team or illustrative assumption; no fill = data-room figure, cited in column F. Black = formula.</t>
  </si>
  <si>
    <t>Figures labelled Illustrative are the deal team's spec for Lariat and the platform: the data room has no bolt-on. US$ millions unless a unit says otherwise.</t>
  </si>
  <si>
    <t>Sanity check: Lariat against DFW I and the six campus appraisals</t>
  </si>
  <si>
    <t>Verdict: plausible as a price for this cost structure, cheap against asset value. Diligence the discount: tenant credit and lease terms, Oncor capacity headroom, building condition and the colocation contracts' power terms. Lariat column is illustrative.</t>
  </si>
  <si>
    <t>Lariat operating build and synergies</t>
  </si>
  <si>
    <t/>
  </si>
  <si>
    <t/>
  </si>
  <si>
    <t>Platform sources and uses and net debt roll-forward</t>
  </si>
  <si>
    <t>Platform figures are the deal team's illustrative brief on the 2.06 management plan, financed with the 11.10 staple. No entity-level income tax (12.04). Cash held at $50.0M.</t>
  </si>
  <si>
    <t>Funding and debt capacity</t>
  </si>
  <si>
    <t>Recommendation, Case C: 50% incremental term loan, 50% new sponsor equity at the platform mark. It keeps leverage near 5.0x and preserves the free-and-clear basket the FY28 build programme needs.</t>
  </si>
  <si>
    <t>Accretion / dilution</t>
  </si>
  <si>
    <t/>
  </si>
  <si>
    <t>Returns</t>
  </si>
  <si>
    <t>Project Lariat: add-on acquisition of a Carrollton, TX colocation campus by the Voltaic platform</t>
  </si>
  <si>
    <t>Lariat and platform figures are illustrative (deal-team spec); data-room inputs are cited on each tab. US$ millions unless a unit says otherwise. Add-on closes 31-Dec-27; exit 31-Dec-30.</t>
  </si>
  <si>
    <t>THE ANSWER</t>
  </si>
  <si>
    <t>DEAL SNAPSHOT</t>
  </si>
  <si>
    <t>Purchase price ($M)</t>
  </si>
  <si>
    <t>Cap rate on NOI</t>
  </si>
  <si>
    <t>Run-rate synergies, before cross-sell ($M)</t>
  </si>
  <si>
    <t>FY30 pro forma Adj. EBITDA ($M)</t>
  </si>
  <si>
    <t>BY FUNDING CASE</t>
  </si>
  <si>
    <t>Incremental term loan ($M)</t>
  </si>
  <si>
    <t>New sponsor equity ($M)</t>
  </si>
  <si>
    <t>Pro forma net leverage, LTM (x)</t>
  </si>
  <si>
    <t>Pro forma net leverage incl. run-rate synergies (x)</t>
  </si>
  <si>
    <t>Equity value per unit at close ($)</t>
  </si>
  <si>
    <t>Add-on equity IRR to Dec-30</t>
  </si>
  <si>
    <t>Add-on equity MOIC to Dec-30 (x)</t>
  </si>
  <si>
    <t>Platform sponsor MOIC at exit (x)</t>
  </si>
  <si>
    <t>Staple free-and-clear headroom after the add-on ($M)</t>
  </si>
  <si>
    <t>FY28 incremental capacity cushion ($M)</t>
  </si>
  <si>
    <t>Lariat figures are an illustrative spec, not data-room facts. Case A invests no new equity, so its IRR and MOIC are n.m. Tabs: Inputs, Benchmark (sanity check), Synergies, Platform (net debt roll required for the tests), Funding, Accretion, Returns.</t>
  </si>
  <si>
    <t>Lariat</t>
  </si>
  <si>
    <t>Case A: all term loan</t>
  </si>
  <si>
    <t>Benchmark</t>
  </si>
  <si>
    <t>Benchmark basis</t>
  </si>
  <si>
    <t>15.0x LTM, cash-free and debt-free</t>
  </si>
  <si>
    <t>Platform mark (illustrative)</t>
  </si>
  <si>
    <t>Median of six 7.08 appraisals</t>
  </si>
  <si>
    <t/>
  </si>
  <si>
    <t/>
  </si>
  <si>
    <t>Case C: recommended</t>
  </si>
  <si>
    <t>Pro forma</t>
  </si>
  <si>
    <t>Accretive / dilutive</t>
  </si>
  <si>
    <t>Purchase multiple (x LTM)</t>
  </si>
  <si>
    <t>Corner: Case C IRR (base). Live data table; base case at 15.0x / 100% capture.</t>
  </si>
  <si>
    <t>Utility rate escalator (Lariat all-in $/kWh)</t>
  </si>
  <si>
    <t>Deal-team assumption: same 3.0% a year as site costs</t>
  </si>
  <si>
    <t>Utility rate escalation index</t>
  </si>
  <si>
    <t>Lariat all-in $/kWh at 3.0% a year (Inputs, deal-team assumption)</t>
  </si>
  <si>
    <t>Wholesale share of power: rises with the utility rate and passes through (EBITDA-neutral); power on new NNN leases is left out</t>
  </si>
  <si>
    <t>Escalates with the utility rate (3.0% a year); the colocation share is borne inside the bundled rate</t>
  </si>
  <si>
    <t>Rate saving as % of Lariat's rate</t>
  </si>
  <si>
    <t>Held at today's share: the saving is applied to the escalated rate gap (utility index, row 13)</t>
  </si>
  <si>
    <t/>
  </si>
  <si>
    <t>Costs to achieve (opex and capex) / run-rate cost synergies (x)</t>
  </si>
  <si>
    <t/>
  </si>
  <si>
    <t>AT EXIT, 31-DEC-2030</t>
  </si>
  <si>
    <t>Exit equity value at 18.0x LTM, platform incl. add-on ($M)</t>
  </si>
  <si>
    <t>Exit equity value per platform unit ($)</t>
  </si>
  <si>
    <t>Change vs standalone ($ per unit)</t>
  </si>
  <si>
    <t>Add-on equity IRR to 31-Dec-30 (attributed view)</t>
  </si>
  <si>
    <t>Returns tab rows 85-87: platform standalone exit equity plus add-on exit equity</t>
  </si>
  <si>
    <t>As at the add-on close; no further issuance to exit</t>
  </si>
  <si>
    <t>What existing unit holders get at exit</t>
  </si>
  <si>
    <t>Per-unit change against the standalone platform</t>
  </si>
  <si>
    <t>Return on the new add-on equity only (Returns tab); n.m. in Case A, which issues no units</t>
  </si>
  <si>
    <t>Equity value per unit at exit, 31-Dec-30 ($)</t>
  </si>
  <si>
    <t>A PE platform has no EPS: the test runs on EBITDA, net debt, leverage, coverage, levered FCF and equity value per unit at 18.0x, with new equity issued at the platform mark at 31-Dec-27. The exit per-unit block is what existing unit holders get; the add-on equity IRR is an attributed view.</t>
  </si>
  <si>
    <t>SYNERGY BUILD</t>
  </si>
  <si>
    <t>Each line is driver × unit rate = run-rate ($M); FY columns are run-rate × phase-in × capture (power also × the utility index). Yellow = assumption; G&amp;A headcounts are illustrative (Lariat is a fictional spec). Inputs and benchmarks sit in the support blocks below.</t>
  </si>
  <si>
    <t>Synergy</t>
  </si>
  <si>
    <t>Gross G&amp;A removed</t>
  </si>
  <si>
    <t>Less: platform adds</t>
  </si>
  <si>
    <t>Net G&amp;A synergy</t>
  </si>
  <si>
    <t>Gross saving: all Lariat energy at DFW I's contract rate</t>
  </si>
  <si>
    <t>Less: share passed through to wholesale tenants</t>
  </si>
  <si>
    <t>Net power synergy (EBITDA)</t>
  </si>
  <si>
    <t>Tie revenue: diverse dark-fibre ties to DFW I</t>
  </si>
  <si>
    <t>Less: dark-fibre route lease to Lariat</t>
  </si>
  <si>
    <t>Net interconnection synergy</t>
  </si>
  <si>
    <t>Memo: Lariat cross-connect revenue per leased MW, before ties</t>
  </si>
  <si>
    <t>Memo: Lariat cross-connect revenue per leased MW, after ties</t>
  </si>
  <si>
    <t>Memo: DFW I cross-connect revenue per leased MW</t>
  </si>
  <si>
    <t>Cross-sell (DFW overflow into Lariat vacancy)</t>
  </si>
  <si>
    <t>DFW I pipeline at rate-card rent</t>
  </si>
  <si>
    <t>× probability: risk-weighted revenue</t>
  </si>
  <si>
    <t>× flow-through: EBITDA per annual pipeline cohort</t>
  </si>
  <si>
    <t>Cross-sell MW leased, average in year (ramp)</t>
  </si>
  <si>
    <t>Cross-sell EBITDA by year</t>
  </si>
  <si>
    <t>Site service contracts</t>
  </si>
  <si>
    <t>Net site synergy</t>
  </si>
  <si>
    <t>PHASE-IN, SYNERGIES BY YEAR AND COSTS TO ACHIEVE</t>
  </si>
  <si>
    <t>Phase-in (% of run-rate)</t>
  </si>
  <si>
    <t>Utility rate escalation index (power only)</t>
  </si>
  <si>
    <t>Total EBITDA synergies ($M)</t>
  </si>
  <si>
    <t>Net synergies after costs to achieve ($M)</t>
  </si>
  <si>
    <t>Driver (quantity and unit)</t>
  </si>
  <si>
    <t>Unit rate (value and unit)</t>
  </si>
  <si>
    <t>Source or assumption</t>
  </si>
  <si>
    <t>Assumption: 3 roles (illustrative). Cost per role = spec $ line ÷ headcount, so the spec line is reproduced. Platform C-suite absorbs</t>
  </si>
  <si>
    <t>Assumption: 6 roles (illustrative); cost per role implied from the spec line. Billing moves onto the platform ERP</t>
  </si>
  <si>
    <t>Assumption: 4 roles (illustrative); cost per role implied from the spec line. Accounts move to the platform sales team</t>
  </si>
  <si>
    <t>Spec cost line (illustrative): Lariat's standalone audit and tax engagement ends</t>
  </si>
  <si>
    <t>Spec cost line (illustrative)</t>
  </si>
  <si>
    <t>Spec cost line (illustrative): standalone licences end on migration</t>
  </si>
  <si>
    <t>Spec cost line (illustrative): Dallas HQ is 16 miles away; office closes</t>
  </si>
  <si>
    <t>Spec cost line (illustrative): moves under the platform program</t>
  </si>
  <si>
    <t>Ties to the spec's G&amp;A (Inputs, G&amp;A detail)</t>
  </si>
  <si>
    <t>Lariat commissioned MW × Voltaic FY27E G&amp;A per MW (2.06 tab 7 lines ÷ 316 MW, 2.06 tab 4), weighted by each line's marginal factor (rows 104-112: C-suite and office 0%, finance 25%, sales 15%, other lines 100%)</t>
  </si>
  <si>
    <t>Saving on the 10.2 MW of bundled colocation. FY columns escalate with the utility index; TXU supply is renewed only through 2028 (6.01), so FY29 onward assumes renewal on similar terms</t>
  </si>
  <si>
    <t>Spec: $1.1M interconnection revenue ÷ 19.2 MW leased (illustrative)</t>
  </si>
  <si>
    <t>3.05 NOI by Campus, FY25 tab C6 ($4.3M) ÷ 33.8 MW leased (2.06 tab 4, B22)</t>
  </si>
  <si>
    <t>4.03 Summary D18 ÷ C18: 0.6 MW risk-weighted (LOI 75%, Negotiation 50%, Proposal 25%, Prospect 10%)</t>
  </si>
  <si>
    <t>Assumption: incremental site cost on commissioned space. Run-rate shown per annual cohort; left out of the run-rate total (uncontracted)</t>
  </si>
  <si>
    <t>One risk-weighted cohort a year × phase-in × capture, cumulative, mid-year, capped by vacancy after standalone lease-up (rows 148-150)</t>
  </si>
  <si>
    <t>Average MW × rent per MW-yr × rent index (2.75%, 4.04) × flow-through</t>
  </si>
  <si>
    <t>9.05 rows 5-7: Caterpillar ($14.2M, renews Dec-27), Vertiv, Schneider fleet service, all campuses; saving % is an assumption</t>
  </si>
  <si>
    <t>9.05 row 12: Aegis 24x7 guarding ($6.1M), all campuses, assignable on notice; saving % is an assumption</t>
  </si>
  <si>
    <t>9.05 rows 13-18: fire and life safety, chiller, water, NETA testing, grounds ($1.8M+); saving % is an assumption</t>
  </si>
  <si>
    <t/>
  </si>
  <si>
    <t>Sensitivity driver (Returns grid); base 100%</t>
  </si>
  <si>
    <t>Row 71</t>
  </si>
  <si>
    <t>Run-rate total excludes cross-sell</t>
  </si>
  <si>
    <t>Rows 164-170: severance and retention, systems migration, contract exits. Run-rate column is the total; nil before close</t>
  </si>
  <si>
    <t>Rows 171-173: dark-fibre route build and MMR tie-in, IT integration. Run-rate column is the total</t>
  </si>
  <si>
    <t>From SYNERGY BUILD (row 27): net of the wholesale pass-through</t>
  </si>
  <si>
    <t>From SYNERGY BUILD (row 22): net of what the platform adds</t>
  </si>
  <si>
    <t>From SYNERGY BUILD (row 30). Install fees (NRC) left out</t>
  </si>
  <si>
    <t>From SYNERGY BUILD (row 31)</t>
  </si>
  <si>
    <t>From SYNERGY BUILD (row 42)</t>
  </si>
  <si>
    <t>Lines from SYNERGY BUILD (rows 45-48); saving percentages are deal-team assumptions; 9.05 gives fleet spend, not unit prices</t>
  </si>
  <si>
    <t>From SYNERGY BUILD phase-in row (row 52)</t>
  </si>
  <si>
    <t>Rows 179-183 read the SYNERGY BUILD by-year rows (55-59); run-rate column at capture</t>
  </si>
  <si>
    <t>Total one-off costs to achieve over run-rate power, G&amp;A and site savings (row 185)</t>
  </si>
  <si>
    <t>Lariat figures are illustrative. G&amp;A headcounts, saving rates, tie counts, flow-through and costs to achieve are deal-team assumptions (yellow); Voltaic benchmarks are cited in column J of the support blocks. The SYNERGY BUILD (rows 7-63) feeds the phasing block (rows 175-190) and every other tab.</t>
  </si>
  <si>
    <t>Synergies tab, SYNERGY BUILD (driver × rate)</t>
  </si>
  <si>
    <t>Standalone growth plus phased synergies (SYNERGY BUILD)</t>
  </si>
  <si>
    <t>FY27 nil: the add-on closes 31-Dec-27. FY28 50%: the platform contracts Lariat joins renew or run out within FY28 (9.05: Caterpillar Dec-27, Ledgerstone ERP Jan-28, Vertiv Jun-28) and 75% of the severance and migration cost falls in FY28. 100% from FY29.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</si>
</sst>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164" formatCode="dd-mmm-yy"/>
    <numFmt numFmtId="165" formatCode="0.0&quot;x&quot;_);(0.0&quot;x&quot;);&quot;–&quot;_)"/>
    <numFmt numFmtId="166" formatCode="#,##0.0_);(#,##0.0);&quot;–&quot;_)"/>
    <numFmt numFmtId="167" formatCode="$#,##0.00_);($#,##0.00)"/>
    <numFmt numFmtId="168" formatCode="0.00%_);(0.00%);&quot;–&quot;_)"/>
    <numFmt numFmtId="169" formatCode="0.000%_);(0.000%);&quot;–&quot;_)"/>
    <numFmt numFmtId="170" formatCode="0.0%_);(0.0%);&quot;–&quot;_)"/>
    <numFmt numFmtId="171" formatCode="#,##0_);(#,##0);&quot;–&quot;_)"/>
    <numFmt numFmtId="172" formatCode="$#,##0_);($#,##0)"/>
    <numFmt numFmtId="173" formatCode="#,##0.00_);(#,##0.00);&quot;–&quot;_)"/>
    <numFmt numFmtId="174" formatCode="$0.0000_);($0.0000)"/>
    <numFmt numFmtId="175" formatCode="0.000_);(0.000)"/>
    <numFmt numFmtId="176" formatCode="&quot;LTM FY&quot;yy"/>
    <numFmt numFmtId="177" formatCode="&quot;FY&quot;yy&quot;E&quot;"/>
    <numFmt numFmtId="178" formatCode="&quot;Close&quot; mmm-yy"/>
    <numFmt numFmtId="179" formatCode="0.0%_);(0.0%)"/>
    <numFmt numFmtId="180" formatCode="0.0&quot;x&quot;"/>
    <numFmt numFmtId="181" formatCode="0.00&quot;x&quot;_);(0.00&quot;x&quot;);&quot;–&quot;_)"/>
    <numFmt numFmtId="182" formatCode="0.00&quot;x&quot;_);(0.00&quot;x&quot;)"/>
    <numFmt numFmtId="183" formatCode="$#,##0.00"/>
    <numFmt numFmtId="184" formatCode="0.00_);(0.00);&quot;–&quot;_)"/>
    <numFmt numFmtId="185" formatCode="0.000"/>
    <numFmt numFmtId="186" formatCode="0&quot; roles&quot;"/>
    <numFmt numFmtId="187" formatCode="&quot;$&quot;#,##0&quot;k / role&quot;"/>
    <numFmt numFmtId="188" formatCode="0&quot; engagement&quot;"/>
    <numFmt numFmtId="189" formatCode="&quot;$&quot;#,##0&quot;k / line&quot;"/>
    <numFmt numFmtId="190" formatCode="0&quot; cost line&quot;"/>
    <numFmt numFmtId="191" formatCode="0&quot; lease&quot;"/>
    <numFmt numFmtId="192" formatCode="0&quot; policy set&quot;"/>
    <numFmt numFmtId="193" formatCode="0&quot; roles cut&quot;"/>
    <numFmt numFmtId="194" formatCode="0.0&quot; MW&quot;"/>
    <numFmt numFmtId="195" formatCode="&quot;$&quot;0.0&quot;k / MW&quot;;(&quot;$&quot;0.0&quot;k / MW&quot;)"/>
    <numFmt numFmtId="196" formatCode="#,##0&quot; MWh&quot;"/>
    <numFmt numFmtId="197" formatCode="&quot;$&quot;0.00&quot; / MWh&quot;"/>
    <numFmt numFmtId="198" formatCode="&quot;$&quot;0.00&quot; / MWh&quot;;(&quot;$&quot;0.00&quot; / MWh&quot;)"/>
    <numFmt numFmtId="199" formatCode="#,##0&quot; ties&quot;"/>
    <numFmt numFmtId="200" formatCode="&quot;$&quot;#,##0&quot; / tie / yr&quot;"/>
    <numFmt numFmtId="201" formatCode="0&quot; route&quot;"/>
    <numFmt numFmtId="202" formatCode="&quot;$&quot;0.00&quot;M / yr&quot;;(&quot;$&quot;0.00&quot;M / yr&quot;)"/>
    <numFmt numFmtId="203" formatCode="&quot;$&quot;#,##0&quot;k / MW&quot;"/>
    <numFmt numFmtId="204" formatCode="&quot;$&quot;0.000&quot;M / MW-yr&quot;"/>
    <numFmt numFmtId="205" formatCode="&quot;$&quot;0.00&quot;M revenue&quot;"/>
    <numFmt numFmtId="206" formatCode="0%&quot; probability&quot;"/>
    <numFmt numFmtId="207" formatCode="0%&quot; flow-through&quot;"/>
    <numFmt numFmtId="208" formatCode="&quot;$&quot;0.0&quot;M spend&quot;"/>
    <numFmt numFmtId="209" formatCode="0.0%&quot; saving&quot;"/>
  </numFmts>
  <fonts count="20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404040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i/>
      <sz val="10"/>
      <color rgb="FF646464"/>
      <name val="Arial"/>
      <family val="2"/>
    </font>
    <font>
      <sz val="10"/>
      <color rgb="FF0000FF"/>
      <name val="Arial"/>
      <family val="2"/>
    </font>
    <font>
      <b/>
      <i/>
      <sz val="10"/>
      <color rgb="FFFFFFFF"/>
      <name val="Arial"/>
      <family val="2"/>
    </font>
    <font>
      <b/>
      <i/>
      <sz val="10"/>
      <color rgb="FF646464"/>
      <name val="Arial"/>
      <family val="2"/>
    </font>
    <font>
      <b/>
      <i/>
      <sz val="10"/>
      <color rgb="FF404040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sz val="10"/>
      <color rgb="FF0000FF"/>
      <name val="Arial"/>
      <family val="2"/>
    </font>
    <font>
      <b/>
      <i/>
      <sz val="10"/>
      <color rgb="FF000000"/>
      <name val="Arial"/>
      <family val="2"/>
    </font>
    <font>
      <b/>
      <u val="singleAccounting"/>
      <sz val="10"/>
      <color rgb="FF000000"/>
      <name val="Arial"/>
      <family val="2"/>
    </font>
    <font>
      <b/>
      <u val="singleAccounting"/>
      <sz val="10"/>
      <color rgb="FF0000FF"/>
      <name val="Arial"/>
      <family val="2"/>
    </font>
    <font>
      <i/>
      <sz val="10"/>
      <color rgb="FF008000"/>
      <name val="Arial"/>
      <family val="2"/>
    </font>
    <font>
      <i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9E1F2"/>
        <bgColor indexed="64"/>
      </patternFill>
    </fill>
  </fills>
  <borders count="6">
    <border>
      <left/>
      <right/>
      <top/>
      <bottom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borderId="0" fillId="0" fontId="0" numFmtId="0" applyAlignment="1" applyFont="1" applyFill="1"/>
  </cellStyleXfs>
  <cellXfs count="155">
    <xf xfId="0" borderId="0" fillId="0" fontId="0" numFmtId="0"/>
    <xf xfId="0" borderId="0" fillId="0" fontId="1" numFmtId="0" applyFont="1"/>
    <xf xfId="0" borderId="0" fillId="0" fontId="2" numFmtId="0" applyFont="1"/>
    <xf xfId="0" borderId="0" fillId="0" fontId="3" numFmtId="0" applyFont="1"/>
    <xf xfId="0" borderId="0" fillId="0" fontId="4" numFmtId="0" applyFont="1"/>
    <xf xfId="0" borderId="0" fillId="0" fontId="0" numFmtId="165" applyAlignment="1">
      <alignment horizontal="right"/>
    </xf>
    <xf xfId="0" borderId="0" fillId="0" fontId="0" numFmtId="166" applyAlignment="1">
      <alignment horizontal="right"/>
    </xf>
    <xf xfId="0" borderId="0" fillId="0" fontId="0" numFmtId="167" applyAlignment="1">
      <alignment horizontal="right"/>
    </xf>
    <xf xfId="0" borderId="0" fillId="0" fontId="0" numFmtId="168" applyAlignment="1">
      <alignment horizontal="right"/>
    </xf>
    <xf xfId="0" borderId="0" fillId="0" fontId="0" numFmtId="170" applyAlignment="1">
      <alignment horizontal="right"/>
    </xf>
    <xf xfId="0" borderId="0" fillId="0" fontId="0" numFmtId="171" applyAlignment="1">
      <alignment horizontal="right"/>
    </xf>
    <xf xfId="0" borderId="0" fillId="0" fontId="0" numFmtId="172" applyAlignment="1">
      <alignment horizontal="right"/>
    </xf>
    <xf xfId="0" borderId="0" fillId="0" fontId="0" numFmtId="173" applyAlignment="1">
      <alignment horizontal="right"/>
    </xf>
    <xf xfId="0" borderId="0" fillId="0" fontId="0" numFmtId="174" applyAlignment="1">
      <alignment horizontal="right"/>
    </xf>
    <xf xfId="0" borderId="1" fillId="0" fontId="1" numFmtId="0" applyFont="1"/>
    <xf xfId="0" borderId="1" fillId="0" fontId="1" numFmtId="166" applyAlignment="1" applyFont="1">
      <alignment horizontal="right"/>
    </xf>
    <xf xfId="0" borderId="0" fillId="2" fontId="6" numFmtId="0" applyFont="1" applyFill="1"/>
    <xf xfId="0" borderId="0" fillId="0" fontId="7" numFmtId="0" applyFont="1"/>
    <xf xfId="0" borderId="0" fillId="0" fontId="8" numFmtId="166" applyAlignment="1" applyFont="1">
      <alignment horizontal="right"/>
    </xf>
    <xf xfId="0" borderId="0" fillId="0" fontId="8" numFmtId="168" applyAlignment="1" applyFont="1">
      <alignment horizontal="right"/>
    </xf>
    <xf xfId="0" borderId="0" fillId="0" fontId="8" numFmtId="169" applyAlignment="1" applyFont="1">
      <alignment horizontal="right"/>
    </xf>
    <xf xfId="0" borderId="0" fillId="0" fontId="8" numFmtId="170" applyAlignment="1" applyFont="1">
      <alignment horizontal="right"/>
    </xf>
    <xf xfId="0" borderId="0" fillId="0" fontId="8" numFmtId="171" applyAlignment="1" applyFont="1">
      <alignment horizontal="right"/>
    </xf>
    <xf xfId="0" borderId="0" fillId="0" fontId="8" numFmtId="172" applyAlignment="1" applyFont="1">
      <alignment horizontal="right"/>
    </xf>
    <xf xfId="0" borderId="0" fillId="0" fontId="8" numFmtId="173" applyAlignment="1" applyFont="1">
      <alignment horizontal="right"/>
    </xf>
    <xf xfId="0" borderId="0" fillId="0" fontId="8" numFmtId="174" applyAlignment="1" applyFont="1">
      <alignment horizontal="right"/>
    </xf>
    <xf xfId="0" borderId="0" fillId="3" fontId="8" numFmtId="164" applyAlignment="1" applyFont="1" applyFill="1">
      <alignment horizontal="right"/>
    </xf>
    <xf xfId="0" borderId="0" fillId="3" fontId="8" numFmtId="165" applyAlignment="1" applyFont="1" applyFill="1">
      <alignment horizontal="right"/>
    </xf>
    <xf xfId="0" borderId="0" fillId="3" fontId="8" numFmtId="166" applyAlignment="1" applyFont="1" applyFill="1">
      <alignment horizontal="right"/>
    </xf>
    <xf xfId="0" borderId="0" fillId="3" fontId="8" numFmtId="167" applyAlignment="1" applyFont="1" applyFill="1">
      <alignment horizontal="right"/>
    </xf>
    <xf xfId="0" borderId="0" fillId="3" fontId="8" numFmtId="168" applyAlignment="1" applyFont="1" applyFill="1">
      <alignment horizontal="right"/>
    </xf>
    <xf xfId="0" borderId="0" fillId="3" fontId="8" numFmtId="171" applyAlignment="1" applyFont="1" applyFill="1">
      <alignment horizontal="right"/>
    </xf>
    <xf xfId="0" borderId="0" fillId="3" fontId="8" numFmtId="170" applyAlignment="1" applyFont="1" applyFill="1">
      <alignment horizontal="right"/>
    </xf>
    <xf xfId="0" borderId="0" fillId="3" fontId="8" numFmtId="172" applyAlignment="1" applyFont="1" applyFill="1">
      <alignment horizontal="right"/>
    </xf>
    <xf xfId="0" borderId="0" fillId="3" fontId="8" numFmtId="173" applyAlignment="1" applyFont="1" applyFill="1">
      <alignment horizontal="right"/>
    </xf>
    <xf xfId="0" borderId="0" fillId="3" fontId="8" numFmtId="174" applyAlignment="1" applyFont="1" applyFill="1">
      <alignment horizontal="right"/>
    </xf>
    <xf xfId="0" borderId="0" fillId="2" fontId="9" numFmtId="0" applyFont="1" applyFill="1"/>
    <xf xfId="0" borderId="0" fillId="2" fontId="10" numFmtId="0" applyFont="1" applyFill="1"/>
    <xf xfId="0" borderId="0" fillId="0" fontId="11" numFmtId="0" applyFont="1"/>
    <xf xfId="0" borderId="0" fillId="0" fontId="3" numFmtId="170" applyAlignment="1" applyFont="1">
      <alignment horizontal="right"/>
    </xf>
    <xf xfId="0" borderId="0" fillId="0" fontId="0" numFmtId="0" applyAlignment="1">
      <alignment indent="1"/>
    </xf>
    <xf xfId="0" borderId="2" fillId="0" fontId="1" numFmtId="0" applyAlignment="1" applyFont="1">
      <alignment wrapText="1" vertical="bottom"/>
    </xf>
    <xf xfId="0" borderId="2" fillId="0" fontId="1" numFmtId="0" applyAlignment="1" applyFont="1">
      <alignment wrapText="1" horizontal="center" vertical="bottom"/>
    </xf>
    <xf xfId="0" borderId="0" fillId="0" fontId="12" numFmtId="166" applyAlignment="1" applyFont="1">
      <alignment horizontal="right"/>
    </xf>
    <xf xfId="0" borderId="1" fillId="0" fontId="13" numFmtId="166" applyAlignment="1" applyFont="1">
      <alignment horizontal="right"/>
    </xf>
    <xf xfId="0" borderId="1" fillId="0" fontId="14" numFmtId="166" applyAlignment="1" applyFont="1">
      <alignment horizontal="right"/>
    </xf>
    <xf xfId="0" borderId="0" fillId="0" fontId="12" numFmtId="174" applyAlignment="1" applyFont="1">
      <alignment horizontal="right"/>
    </xf>
    <xf xfId="0" borderId="0" fillId="0" fontId="12" numFmtId="173" applyAlignment="1" applyFont="1">
      <alignment horizontal="right"/>
    </xf>
    <xf xfId="0" borderId="0" fillId="0" fontId="12" numFmtId="165" applyAlignment="1" applyFont="1">
      <alignment horizontal="right"/>
    </xf>
    <xf xfId="0" borderId="0" fillId="0" fontId="12" numFmtId="172" applyAlignment="1" applyFont="1">
      <alignment horizontal="right"/>
    </xf>
    <xf xfId="0" borderId="2" fillId="0" fontId="10" numFmtId="0" applyAlignment="1" applyFont="1">
      <alignment wrapText="1" vertical="bottom"/>
    </xf>
    <xf xfId="0" borderId="0" fillId="0" fontId="0" numFmtId="175" applyAlignment="1">
      <alignment horizontal="right"/>
    </xf>
    <xf xfId="0" borderId="1" fillId="0" fontId="1" numFmtId="174" applyAlignment="1" applyFont="1">
      <alignment horizontal="right"/>
    </xf>
    <xf xfId="0" borderId="0" fillId="0" fontId="0" numFmtId="0" applyAlignment="1">
      <alignment horizontal="right"/>
    </xf>
    <xf xfId="0" borderId="1" fillId="0" fontId="1" numFmtId="171" applyAlignment="1" applyFont="1">
      <alignment horizontal="right"/>
    </xf>
    <xf xfId="0" borderId="0" fillId="0" fontId="16" numFmtId="176" applyAlignment="1" applyFont="1">
      <alignment horizontal="center"/>
    </xf>
    <xf xfId="0" borderId="0" fillId="0" fontId="16" numFmtId="177" applyAlignment="1" applyFont="1">
      <alignment horizontal="center"/>
    </xf>
    <xf xfId="0" borderId="0" fillId="0" fontId="12" numFmtId="171" applyAlignment="1" applyFont="1">
      <alignment horizontal="right"/>
    </xf>
    <xf xfId="0" borderId="0" fillId="0" fontId="12" numFmtId="170" applyAlignment="1" applyFont="1">
      <alignment horizontal="right"/>
    </xf>
    <xf xfId="0" borderId="1" fillId="3" fontId="14" numFmtId="166" applyAlignment="1" applyFont="1" applyFill="1">
      <alignment horizontal="right"/>
    </xf>
    <xf xfId="0" borderId="1" fillId="0" fontId="1" numFmtId="165" applyAlignment="1" applyFont="1">
      <alignment horizontal="right"/>
    </xf>
    <xf xfId="0" borderId="0" fillId="0" fontId="3" numFmtId="168" applyAlignment="1" applyFont="1">
      <alignment horizontal="right"/>
    </xf>
    <xf xfId="0" borderId="0" fillId="0" fontId="3" numFmtId="165" applyAlignment="1" applyFont="1">
      <alignment horizontal="right"/>
    </xf>
    <xf xfId="0" borderId="0" fillId="0" fontId="16" numFmtId="178" applyAlignment="1" applyFont="1">
      <alignment horizontal="center"/>
    </xf>
    <xf xfId="0" borderId="0" fillId="0" fontId="18" numFmtId="170" applyAlignment="1" applyFont="1">
      <alignment horizontal="right"/>
    </xf>
    <xf xfId="0" borderId="0" fillId="0" fontId="18" numFmtId="168" applyAlignment="1" applyFont="1">
      <alignment horizontal="right"/>
    </xf>
    <xf xfId="0" borderId="1" fillId="0" fontId="1" numFmtId="167" applyAlignment="1" applyFont="1">
      <alignment horizontal="right"/>
    </xf>
    <xf xfId="0" borderId="0" fillId="0" fontId="12" numFmtId="167" applyAlignment="1" applyFont="1">
      <alignment horizontal="right"/>
    </xf>
    <xf xfId="0" borderId="1" fillId="0" fontId="1" numFmtId="170" applyAlignment="1" applyFont="1">
      <alignment horizontal="right"/>
    </xf>
    <xf xfId="0" borderId="0" fillId="0" fontId="3" numFmtId="166" applyAlignment="1" applyFont="1">
      <alignment horizontal="right"/>
    </xf>
    <xf xfId="0" borderId="0" fillId="0" fontId="3" numFmtId="173" applyAlignment="1" applyFont="1">
      <alignment horizontal="right"/>
    </xf>
    <xf xfId="0" borderId="2" fillId="0" fontId="1" numFmtId="0" applyFont="1"/>
    <xf xfId="0" borderId="2" fillId="0" fontId="10" numFmtId="0" applyFont="1"/>
    <xf xfId="0" borderId="2" fillId="0" fontId="1" numFmtId="0" applyAlignment="1" applyFont="1">
      <alignment horizontal="center"/>
    </xf>
    <xf xfId="0" borderId="0" fillId="2" fontId="6" numFmtId="0" applyAlignment="1" applyFont="1" applyFill="1">
      <alignment horizontal="center"/>
    </xf>
    <xf xfId="0" borderId="0" fillId="0" fontId="0" numFmtId="0" applyAlignment="1">
      <alignment horizontal="center"/>
    </xf>
    <xf xfId="0" borderId="0" fillId="0" fontId="0" numFmtId="0" applyAlignment="1">
      <alignment horizontal="left"/>
    </xf>
    <xf xfId="0" borderId="0" fillId="0" fontId="7" numFmtId="166" applyAlignment="1" applyFont="1">
      <alignment horizontal="left"/>
    </xf>
    <xf xfId="0" borderId="0" fillId="0" fontId="7" numFmtId="165" applyAlignment="1" applyFont="1">
      <alignment horizontal="left"/>
    </xf>
    <xf xfId="0" borderId="0" fillId="0" fontId="7" numFmtId="173" applyAlignment="1" applyFont="1">
      <alignment horizontal="left"/>
    </xf>
    <xf xfId="0" borderId="0" fillId="0" fontId="7" numFmtId="170" applyAlignment="1" applyFont="1">
      <alignment horizontal="left"/>
    </xf>
    <xf xfId="0" borderId="1" fillId="0" fontId="1" numFmtId="166" applyAlignment="1" applyFont="1">
      <alignment horizontal="center"/>
    </xf>
    <xf xfId="0" borderId="0" fillId="0" fontId="0" numFmtId="166" applyAlignment="1">
      <alignment horizontal="center"/>
    </xf>
    <xf xfId="0" borderId="0" fillId="0" fontId="3" numFmtId="165" applyAlignment="1" applyFont="1">
      <alignment horizontal="center"/>
    </xf>
    <xf xfId="0" borderId="0" fillId="0" fontId="0" numFmtId="167" applyAlignment="1">
      <alignment horizontal="center"/>
    </xf>
    <xf xfId="0" borderId="1" fillId="0" fontId="1" numFmtId="167" applyAlignment="1" applyFont="1">
      <alignment horizontal="center"/>
    </xf>
    <xf xfId="0" borderId="0" fillId="0" fontId="16" numFmtId="0" applyAlignment="1" applyFont="1">
      <alignment horizontal="centerContinuous"/>
    </xf>
    <xf xfId="0" borderId="2" fillId="0" fontId="1" numFmtId="179" applyFont="1"/>
    <xf xfId="0" borderId="2" fillId="3" fontId="14" numFmtId="9" applyFont="1" applyFill="1"/>
    <xf xfId="0" borderId="3" fillId="3" fontId="8" numFmtId="180" applyAlignment="1" applyFont="1" applyFill="1">
      <alignment horizontal="right"/>
    </xf>
    <xf xfId="0" borderId="2" fillId="0" fontId="1" numFmtId="0" applyAlignment="1" applyFont="1">
      <alignment wrapText="1"/>
    </xf>
    <xf xfId="0" borderId="0" fillId="4" fontId="1" numFmtId="170" applyAlignment="1" applyFont="1" applyFill="1">
      <alignment horizontal="right"/>
    </xf>
    <xf xfId="0" borderId="0" fillId="0" fontId="12" numFmtId="181" applyAlignment="1" applyFont="1">
      <alignment horizontal="right"/>
    </xf>
    <xf xfId="0" borderId="0" fillId="0" fontId="0" numFmtId="181" applyAlignment="1">
      <alignment horizontal="right"/>
    </xf>
    <xf xfId="0" borderId="0" fillId="0" fontId="3" numFmtId="181" applyAlignment="1" applyFont="1">
      <alignment horizontal="right"/>
    </xf>
    <xf xfId="0" borderId="0" fillId="0" fontId="18" numFmtId="181" applyAlignment="1" applyFont="1">
      <alignment horizontal="right"/>
    </xf>
    <xf xfId="0" borderId="1" fillId="0" fontId="1" numFmtId="181" applyAlignment="1" applyFont="1">
      <alignment horizontal="right"/>
    </xf>
    <xf xfId="0" borderId="0" fillId="0" fontId="0" numFmtId="0" applyAlignment="1">
      <alignment wrapText="1" vertical="top"/>
    </xf>
    <xf xfId="0" borderId="0" fillId="0" fontId="7" numFmtId="0" applyAlignment="1" applyFont="1">
      <alignment wrapText="1" vertical="top"/>
    </xf>
    <xf xfId="0" borderId="0" fillId="0" fontId="4" numFmtId="0" applyAlignment="1" applyFont="1">
      <alignment wrapText="1" vertical="top"/>
    </xf>
    <xf xfId="0" borderId="0" fillId="0" fontId="8" numFmtId="39" applyAlignment="1" applyFont="1">
      <alignment horizontal="right"/>
    </xf>
    <xf xfId="0" borderId="0" fillId="0" fontId="8" numFmtId="182" applyAlignment="1" applyFont="1">
      <alignment horizontal="right"/>
    </xf>
    <xf xfId="0" borderId="4" fillId="0" fontId="1" numFmtId="0" applyFont="1"/>
    <xf xfId="0" borderId="4" fillId="0" fontId="1" numFmtId="167" applyAlignment="1" applyFont="1">
      <alignment horizontal="right"/>
    </xf>
    <xf xfId="0" borderId="4" fillId="0" fontId="1" numFmtId="0" applyAlignment="1" applyFont="1">
      <alignment horizontal="center"/>
    </xf>
    <xf xfId="0" borderId="0" fillId="0" fontId="3" numFmtId="0" applyAlignment="1" applyFont="1">
      <alignment horizontal="center"/>
    </xf>
    <xf xfId="0" borderId="5" fillId="0" fontId="1" numFmtId="0" applyAlignment="1" applyFont="1">
      <alignment wrapText="1"/>
    </xf>
    <xf xfId="0" borderId="5" fillId="0" fontId="1" numFmtId="0" applyAlignment="1" applyFont="1">
      <alignment wrapText="1" horizontal="center"/>
    </xf>
    <xf xfId="0" borderId="5" fillId="0" fontId="1" numFmtId="177" applyAlignment="1" applyFont="1">
      <alignment wrapText="1" horizontal="center"/>
    </xf>
    <xf xfId="0" borderId="5" fillId="0" fontId="1" numFmtId="0" applyAlignment="1" applyFont="1">
      <alignment wrapText="1" horizontal="left"/>
    </xf>
    <xf xfId="0" borderId="0" fillId="0" fontId="1" numFmtId="0" applyAlignment="1" applyFont="1">
      <alignment vertical="top"/>
    </xf>
    <xf xfId="0" borderId="0" fillId="0" fontId="0" numFmtId="0" applyAlignment="1">
      <alignment horizontal="right" vertical="top"/>
    </xf>
    <xf xfId="0" borderId="0" fillId="0" fontId="7" numFmtId="0" applyAlignment="1" applyFont="1">
      <alignment wrapText="1" horizontal="left" vertical="top"/>
    </xf>
    <xf xfId="0" borderId="0" fillId="0" fontId="0" numFmtId="0" applyAlignment="1">
      <alignment vertical="top" indent="1"/>
    </xf>
    <xf xfId="0" borderId="0" fillId="3" fontId="8" numFmtId="186" applyAlignment="1" applyFont="1" applyFill="1">
      <alignment horizontal="right" vertical="top"/>
    </xf>
    <xf xfId="0" borderId="0" fillId="0" fontId="0" numFmtId="187" applyAlignment="1">
      <alignment horizontal="right" vertical="top"/>
    </xf>
    <xf xfId="0" borderId="0" fillId="0" fontId="0" numFmtId="166" applyAlignment="1">
      <alignment horizontal="right" vertical="top"/>
    </xf>
    <xf xfId="0" borderId="0" fillId="3" fontId="8" numFmtId="188" applyAlignment="1" applyFont="1" applyFill="1">
      <alignment horizontal="right" vertical="top"/>
    </xf>
    <xf xfId="0" borderId="0" fillId="0" fontId="0" numFmtId="189" applyAlignment="1">
      <alignment horizontal="right" vertical="top"/>
    </xf>
    <xf xfId="0" borderId="0" fillId="3" fontId="8" numFmtId="190" applyAlignment="1" applyFont="1" applyFill="1">
      <alignment horizontal="right" vertical="top"/>
    </xf>
    <xf xfId="0" borderId="0" fillId="3" fontId="8" numFmtId="191" applyAlignment="1" applyFont="1" applyFill="1">
      <alignment horizontal="right" vertical="top"/>
    </xf>
    <xf xfId="0" borderId="0" fillId="3" fontId="8" numFmtId="192" applyAlignment="1" applyFont="1" applyFill="1">
      <alignment horizontal="right" vertical="top"/>
    </xf>
    <xf xfId="0" borderId="4" fillId="0" fontId="0" numFmtId="0" applyAlignment="1">
      <alignment vertical="top" indent="1"/>
    </xf>
    <xf xfId="0" borderId="4" fillId="0" fontId="0" numFmtId="193" applyAlignment="1">
      <alignment horizontal="right" vertical="top"/>
    </xf>
    <xf xfId="0" borderId="4" fillId="0" fontId="0" numFmtId="0" applyAlignment="1">
      <alignment horizontal="right" vertical="top"/>
    </xf>
    <xf xfId="0" borderId="4" fillId="0" fontId="0" numFmtId="166" applyAlignment="1">
      <alignment horizontal="right" vertical="top"/>
    </xf>
    <xf xfId="0" borderId="4" fillId="0" fontId="7" numFmtId="0" applyAlignment="1" applyFont="1">
      <alignment wrapText="1" horizontal="left" vertical="top"/>
    </xf>
    <xf xfId="0" borderId="0" fillId="0" fontId="12" numFmtId="194" applyAlignment="1" applyFont="1">
      <alignment horizontal="right" vertical="top"/>
    </xf>
    <xf xfId="0" borderId="0" fillId="0" fontId="0" numFmtId="195" applyAlignment="1">
      <alignment horizontal="right" vertical="top"/>
    </xf>
    <xf xfId="0" borderId="4" fillId="0" fontId="1" numFmtId="0" applyAlignment="1" applyFont="1">
      <alignment vertical="top"/>
    </xf>
    <xf xfId="0" borderId="4" fillId="0" fontId="1" numFmtId="0" applyAlignment="1" applyFont="1">
      <alignment horizontal="right" vertical="top"/>
    </xf>
    <xf xfId="0" borderId="4" fillId="0" fontId="1" numFmtId="166" applyAlignment="1" applyFont="1">
      <alignment horizontal="right" vertical="top"/>
    </xf>
    <xf xfId="0" borderId="0" fillId="0" fontId="0" numFmtId="0" applyAlignment="1">
      <alignment vertical="top"/>
    </xf>
    <xf xfId="0" borderId="0" fillId="0" fontId="0" numFmtId="196" applyAlignment="1">
      <alignment horizontal="right" vertical="top"/>
    </xf>
    <xf xfId="0" borderId="0" fillId="0" fontId="0" numFmtId="197" applyAlignment="1">
      <alignment horizontal="right" vertical="top"/>
    </xf>
    <xf xfId="0" borderId="0" fillId="0" fontId="0" numFmtId="198" applyAlignment="1">
      <alignment horizontal="right" vertical="top"/>
    </xf>
    <xf xfId="0" borderId="0" fillId="0" fontId="0" numFmtId="199" applyAlignment="1">
      <alignment horizontal="right" vertical="top"/>
    </xf>
    <xf xfId="0" borderId="0" fillId="0" fontId="0" numFmtId="200" applyAlignment="1">
      <alignment horizontal="right" vertical="top"/>
    </xf>
    <xf xfId="0" borderId="0" fillId="3" fontId="8" numFmtId="201" applyAlignment="1" applyFont="1" applyFill="1">
      <alignment horizontal="right" vertical="top"/>
    </xf>
    <xf xfId="0" borderId="0" fillId="0" fontId="0" numFmtId="202" applyAlignment="1">
      <alignment horizontal="right" vertical="top"/>
    </xf>
    <xf xfId="0" borderId="0" fillId="0" fontId="3" numFmtId="0" applyAlignment="1" applyFont="1">
      <alignment vertical="top" indent="1"/>
    </xf>
    <xf xfId="0" borderId="0" fillId="0" fontId="3" numFmtId="0" applyAlignment="1" applyFont="1">
      <alignment horizontal="right" vertical="top"/>
    </xf>
    <xf xfId="0" borderId="0" fillId="0" fontId="3" numFmtId="203" applyAlignment="1" applyFont="1">
      <alignment horizontal="right" vertical="top"/>
    </xf>
    <xf xfId="0" borderId="0" fillId="0" fontId="0" numFmtId="194" applyAlignment="1">
      <alignment horizontal="right" vertical="top"/>
    </xf>
    <xf xfId="0" borderId="0" fillId="0" fontId="0" numFmtId="204" applyAlignment="1">
      <alignment horizontal="right" vertical="top"/>
    </xf>
    <xf xfId="0" borderId="0" fillId="0" fontId="0" numFmtId="205" applyAlignment="1">
      <alignment horizontal="right" vertical="top"/>
    </xf>
    <xf xfId="0" borderId="0" fillId="0" fontId="0" numFmtId="206" applyAlignment="1">
      <alignment horizontal="right" vertical="top"/>
    </xf>
    <xf xfId="0" borderId="0" fillId="0" fontId="0" numFmtId="207" applyAlignment="1">
      <alignment horizontal="right" vertical="top"/>
    </xf>
    <xf xfId="0" borderId="0" fillId="0" fontId="0" numFmtId="184" applyAlignment="1">
      <alignment horizontal="right" vertical="top"/>
    </xf>
    <xf xfId="0" borderId="0" fillId="0" fontId="0" numFmtId="208" applyAlignment="1">
      <alignment horizontal="right" vertical="top"/>
    </xf>
    <xf xfId="0" borderId="0" fillId="0" fontId="0" numFmtId="209" applyAlignment="1">
      <alignment horizontal="right" vertical="top"/>
    </xf>
    <xf xfId="0" borderId="0" fillId="3" fontId="8" numFmtId="170" applyAlignment="1" applyFont="1" applyFill="1">
      <alignment horizontal="right" vertical="top"/>
    </xf>
    <xf xfId="0" borderId="0" fillId="0" fontId="12" numFmtId="170" applyAlignment="1" applyFont="1">
      <alignment horizontal="right" vertical="top"/>
    </xf>
    <xf xfId="0" borderId="0" fillId="0" fontId="0" numFmtId="185" applyAlignment="1">
      <alignment horizontal="right" vertical="top"/>
    </xf>
    <xf xfId="0" borderId="0" fillId="3" fontId="8" numFmtId="166" applyAlignment="1" applyFont="1" applyFill="1">
      <alignment horizontal="right" vertical="top"/>
    </xf>
  </cellXfs>
  <cellStyles count="1">
    <cellStyle xfId="0" name="normal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comments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comments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comments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comments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8"/>
  <sheetViews>
    <sheetView showGridLines="0" tabSelected="1" workbookViewId="0">
      <selection activeCell="A1" sqref="A1"/>
    </sheetView>
  </sheetViews>
  <cols>
    <col min="1" max="1" width="2.21875" customWidth="1"/>
    <col min="2" max="2" width="57.07421875" customWidth="1"/>
    <col min="3" max="6" width="18.07421875" customWidth="1"/>
  </cols>
  <sheetData>
    <row r="2">
      <c r="B2" t="s" s="2">
        <v>655</v>
      </c>
    </row>
    <row r="3" ht="28" customHeight="1">
      <c r="B3" t="s" s="99">
        <v>656</v>
      </c>
      <c r="C3" s="97"/>
      <c r="D3" s="97"/>
      <c r="E3" s="97"/>
      <c r="F3" s="97"/>
    </row>
    <row r="4">
      <c r="B4" s="4"/>
    </row>
    <row r="5">
      <c r="B5" t="s" s="36">
        <v>657</v>
      </c>
      <c r="C5" s="16"/>
      <c r="D5" s="16"/>
      <c r="E5" s="16"/>
      <c r="F5" s="16"/>
    </row>
    <row r="6" ht="46" customHeight="1">
      <c r="B6" t="str" s="97">
        <f>"1. Accretive. At "&amp;TEXT(Inputs!C11,"0.0x")&amp;" the add-on lifts equity value per platform unit in Case C from "&amp;TEXT(Accretion!C19,"$0.00")&amp;" to "&amp;TEXT(Accretion!F19,"$0.00")&amp;" at close ("&amp;TEXT(Accretion!F20,"$0.00")&amp;" with run-rate synergies) and from "&amp;TEXT(Accretion!C31,"$0.00")&amp;" to "&amp;TEXT(Accretion!F31,"$0.00")&amp;" at exit on 31-Dec-30: Lariat is bought at "&amp;TEXT(Inputs!C104,"0.0x")&amp;" and marked at "&amp;TEXT(Inputs!C11,"0.0x")&amp;". EBITDA, equity value and value per unit, at close and at exit, are accretive in all three cases."</f>
        <v>1. Accretive. At 18.0x the add-on lifts equity value per platform unit in Case C from $11.24 to $11.34 at close ($11.62 with run-rate synergies) and from $21.63 to $22.08 at exit on 31-Dec-30: Lariat is bought at 15.0x and marked at 18.0x. EBITDA, equity value and value per unit, at close and at exit, are accretive in all three cases.</v>
      </c>
      <c r="C6" s="97"/>
      <c r="D6" s="97"/>
      <c r="E6" s="97"/>
      <c r="F6" s="97"/>
    </row>
    <row r="7" ht="30" customHeight="1">
      <c r="B7" t="str" s="97">
        <f>"2. Leverage. Pro forma net leverage "&amp;TEXT(Funding!E30,"0.00x")&amp;" in Case C against "&amp;TEXT(Accretion!C13,"0.00x")&amp;" standalone (Case A "&amp;TEXT(Funding!C30,"0.00x")&amp;", Case B "&amp;TEXT(Funding!D30,"0.00x")&amp;"); all debt is first-lien. FY28 interest coverage "&amp;TEXT(Accretion!F25,"0.0x")&amp;" vs "&amp;TEXT(Accretion!C25,"0.0x")&amp;" standalone."</f>
        <v>2. Leverage. Pro forma net leverage 5.13x in Case C against 5.00x standalone (Case A 5.49x, Case B 5.00x); all debt is first-lien. FY28 interest coverage 3.3x vs 3.3x standalone.</v>
      </c>
      <c r="C7" s="97"/>
      <c r="D7" s="97"/>
      <c r="E7" s="97"/>
      <c r="F7" s="97"/>
    </row>
    <row r="8" ht="30" customHeight="1">
      <c r="B8" t="str" s="97">
        <f>"3. Funding (recommend Case C). "&amp;TEXT(Funding!E17,"$0.0")&amp;"M incremental term loan and "&amp;TEXT(Funding!E18,"$0.0")&amp;"M new sponsor equity at the platform mark. The staple ratio prong has only "&amp;TEXT(Funding!E41,"$0.0")&amp;"M of room, so "&amp;TEXT(Funding!E43,"$0.0")&amp;"M uses the free-and-clear basket, leaving "&amp;TEXT(Funding!E44,"$0.0")&amp;"M. The DDTL is fully drawn and cannot fund an acquisition."</f>
        <v>3. Funding (recommend Case C). $117.4M incremental term loan and $117.4M new sponsor equity at the platform mark. The staple ratio prong has only $22.4M of room, so $95.0M uses the free-and-clear basket, leaving $241.8M. The DDTL is fully drawn and cannot fund an acquisition.</v>
      </c>
      <c r="C8" s="97"/>
      <c r="D8" s="97"/>
      <c r="E8" s="97"/>
      <c r="F8" s="97"/>
    </row>
    <row r="9" ht="30" customHeight="1">
      <c r="B9" t="str" s="97">
        <f>"4. Returns. Existing unit holders gain "&amp;TEXT(Accretion!F32,"$0.00")&amp;" a unit at exit in Case C (Case B "&amp;TEXT(Accretion!E32,"$0.00")&amp;", Case A "&amp;TEXT(Accretion!D32,"$0.00")&amp;"). On the attributed view, Case C add-on equity earns "&amp;TEXT(Returns!C65,"0%")&amp;" IRR and "&amp;TEXT(Returns!C66,"0.00x")&amp;" MOIC to Dec-30 (Case B "&amp;TEXT(Returns!C48,"0%")&amp;", "&amp;TEXT(Returns!C49,"0.00x")&amp;"); platform exit equity rises "&amp;TEXT(Returns!F90,"$0")&amp;"M and sponsor MOIC from "&amp;TEXT(Returns!C89,"0.00x")&amp;" to "&amp;TEXT(Returns!F89,"0.00x")&amp;"."</f>
        <v>4. Returns. Existing unit holders gain $0.45 a unit at exit in Case C (Case B $0.37, Case A $0.67). On the attributed view, Case C add-on equity earns 50% IRR and 3.35x MOIC to Dec-30 (Case B 41%, 2.82x); platform exit equity rises $394M and sponsor MOIC from 2.16x to 2.20x.</v>
      </c>
      <c r="C9" s="97"/>
      <c r="D9" s="97"/>
      <c r="E9" s="97"/>
      <c r="F9" s="97"/>
    </row>
    <row r="10" ht="30" customHeight="1">
      <c r="B10" t="str" s="97">
        <f>"5. Main risk. Synergies reach "&amp;TEXT(Synergies!F187,"0%")&amp;" of Lariat's LTM EBITDA by FY30 (G&amp;A alone "&amp;TEXT(Synergies!C180,"$0.0")&amp;"M) and the return rests on re-rating one campus to 18.0x: at 0% capture and 15.0x the Case C IRR is "&amp;TEXT(Returns!D101,"0%")&amp;". All-debt Case A leaves only "&amp;TEXT(Funding!C77,"$0")&amp;"M of FY28 capacity cushion for platform development."</f>
        <v>5. Main risk. Synergies reach 51% of Lariat's LTM EBITDA by FY30 (G&amp;A alone $4.1M) and the return rests on re-rating one campus to 18.0x: at 0% capture and 15.0x the Case C IRR is 26%. All-debt Case A leaves only $39M of FY28 capacity cushion for platform development.</v>
      </c>
      <c r="C10" s="97"/>
      <c r="D10" s="97"/>
      <c r="E10" s="97"/>
      <c r="F10" s="97"/>
    </row>
    <row r="12">
      <c r="B12" t="s" s="16">
        <v>658</v>
      </c>
      <c r="C12" s="16"/>
      <c r="D12" s="16"/>
      <c r="E12" s="16"/>
      <c r="F12" s="16"/>
    </row>
    <row r="13">
      <c r="B13" t="s" s="41">
        <v>149</v>
      </c>
      <c r="C13" t="s" s="42">
        <v>675</v>
      </c>
      <c r="D13" t="s" s="42">
        <v>677</v>
      </c>
      <c r="E13" t="s" s="42">
        <v>678</v>
      </c>
      <c r="F13" s="42"/>
    </row>
    <row r="14">
      <c r="B14" t="s">
        <v>659</v>
      </c>
      <c r="C14" s="43">
        <f>Funding!E12</f>
        <v>226.50000000000009</v>
      </c>
      <c r="D14" s="6"/>
      <c r="E14" t="s" s="77">
        <v>679</v>
      </c>
      <c r="F14" s="6"/>
    </row>
    <row r="15">
      <c r="B15" t="s">
        <v>172</v>
      </c>
      <c r="C15" s="48">
        <f>Inputs!C104</f>
        <v>15</v>
      </c>
      <c r="D15" s="48">
        <f>Inputs!C11</f>
        <v>18</v>
      </c>
      <c r="E15" t="s" s="78">
        <v>680</v>
      </c>
      <c r="F15" s="5"/>
    </row>
    <row r="16">
      <c r="B16" t="s">
        <v>168</v>
      </c>
      <c r="C16" s="47">
        <f>Benchmark!C32</f>
        <v>9.437500000000004</v>
      </c>
      <c r="D16" s="47">
        <f>Benchmark!J32</f>
        <v>17.5</v>
      </c>
      <c r="E16" t="s" s="79">
        <v>681</v>
      </c>
      <c r="F16" s="12"/>
    </row>
    <row r="17">
      <c r="B17" t="s">
        <v>660</v>
      </c>
      <c r="C17" s="58">
        <f>Benchmark!C34</f>
        <v>0.08962472406181014</v>
      </c>
      <c r="D17" s="58">
        <f>Benchmark!J34</f>
        <v>0.061682539682539686</v>
      </c>
      <c r="E17" t="s" s="80">
        <v>681</v>
      </c>
      <c r="F17" s="9"/>
    </row>
    <row r="18">
      <c r="B18" t="s">
        <v>565</v>
      </c>
      <c r="C18" s="43">
        <f>Inputs!C83</f>
        <v>15.100000000000005</v>
      </c>
      <c r="D18" s="6"/>
      <c r="E18" t="s" s="77">
        <v>339</v>
      </c>
      <c r="F18" s="6"/>
    </row>
    <row r="19">
      <c r="B19" t="s">
        <v>661</v>
      </c>
      <c r="C19" s="43">
        <f>Synergies!C184</f>
        <v>5.9028892467297425</v>
      </c>
      <c r="D19" s="6"/>
      <c r="E19" t="s" s="77">
        <v>779</v>
      </c>
      <c r="F19" s="6"/>
    </row>
    <row r="20">
      <c r="B20" t="s">
        <v>662</v>
      </c>
      <c r="C20" s="43">
        <f>Synergies!F186</f>
        <v>26.359197679259786</v>
      </c>
      <c r="D20" s="6"/>
      <c r="E20" t="s" s="77">
        <v>780</v>
      </c>
      <c r="F20" s="6"/>
    </row>
    <row r="22">
      <c r="B22" t="s" s="16">
        <v>663</v>
      </c>
      <c r="C22" s="16"/>
      <c r="D22" s="16"/>
      <c r="E22" s="16"/>
      <c r="F22" s="16"/>
    </row>
    <row r="23">
      <c r="B23" t="s" s="41">
        <v>149</v>
      </c>
      <c r="C23" t="s" s="42">
        <v>676</v>
      </c>
      <c r="D23" t="s" s="42">
        <v>541</v>
      </c>
      <c r="E23" t="s" s="42">
        <v>684</v>
      </c>
      <c r="F23" t="s" s="42">
        <v>633</v>
      </c>
    </row>
    <row r="24">
      <c r="B24" t="s">
        <v>664</v>
      </c>
      <c r="C24" s="43">
        <f>Funding!C17</f>
        <v>238.79069767441868</v>
      </c>
      <c r="D24" s="43">
        <f>Funding!D17</f>
        <v>75.47857393776566</v>
      </c>
      <c r="E24" s="43">
        <f>Funding!E17</f>
        <v>117.42312579415506</v>
      </c>
      <c r="F24" s="6"/>
    </row>
    <row r="25">
      <c r="B25" t="s">
        <v>665</v>
      </c>
      <c r="C25" s="43">
        <f>Funding!C18</f>
        <v>0</v>
      </c>
      <c r="D25" s="43">
        <f>Funding!D18</f>
        <v>158.0044797152118</v>
      </c>
      <c r="E25" s="43">
        <f>Funding!E18</f>
        <v>117.42312579415508</v>
      </c>
      <c r="F25" s="6"/>
    </row>
    <row r="26">
      <c r="B26" t="s">
        <v>666</v>
      </c>
      <c r="C26" s="92">
        <f>Funding!C30</f>
        <v>5.491822141970606</v>
      </c>
      <c r="D26" s="92">
        <f>Funding!D30</f>
        <v>4.998581055481168</v>
      </c>
      <c r="E26" s="92">
        <f>Funding!E30</f>
        <v>5.125263483316835</v>
      </c>
      <c r="F26" s="92">
        <f>Accretion!C13</f>
        <v>4.998581055481168</v>
      </c>
    </row>
    <row r="27">
      <c r="B27" t="s">
        <v>667</v>
      </c>
      <c r="C27" s="92">
        <f>Funding!C31</f>
        <v>5.3956282549115056</v>
      </c>
      <c r="D27" s="92">
        <f>Funding!D31</f>
        <v>4.911026701192815</v>
      </c>
      <c r="E27" s="92">
        <f>Funding!E31</f>
        <v>5.035490179681513</v>
      </c>
      <c r="F27" s="93"/>
    </row>
    <row r="28">
      <c r="B28" t="s">
        <v>578</v>
      </c>
      <c r="C28" s="92">
        <f>Accretion!D25</f>
        <v>3.054797377582922</v>
      </c>
      <c r="D28" s="92">
        <f>Accretion!E25</f>
        <v>3.3398713751128564</v>
      </c>
      <c r="E28" s="92">
        <f>Accretion!F25</f>
        <v>3.261694974056343</v>
      </c>
      <c r="F28" s="92">
        <f>Accretion!C25</f>
        <v>3.3267064584690678</v>
      </c>
    </row>
    <row r="29">
      <c r="B29" t="s">
        <v>579</v>
      </c>
      <c r="C29" s="43">
        <f>Accretion!D26</f>
        <v>-199.82104230431977</v>
      </c>
      <c r="D29" s="43">
        <f>Accretion!E26</f>
        <v>-188.4463528860619</v>
      </c>
      <c r="E29" s="43">
        <f>Accretion!F26</f>
        <v>-191.36779092285943</v>
      </c>
      <c r="F29" s="43">
        <f>Accretion!C26</f>
        <v>-196.65592686703323</v>
      </c>
    </row>
    <row r="30">
      <c r="B30" t="s">
        <v>668</v>
      </c>
      <c r="C30" s="67">
        <f>Accretion!D19</f>
        <v>11.334255688514924</v>
      </c>
      <c r="D30" s="67">
        <f>Accretion!E19</f>
        <v>11.34489795113253</v>
      </c>
      <c r="E30" s="67">
        <f>Accretion!F19</f>
        <v>11.342240577318279</v>
      </c>
      <c r="F30" s="67">
        <f>Accretion!C19</f>
        <v>11.243916513091254</v>
      </c>
    </row>
    <row r="31">
      <c r="B31" t="s">
        <v>710</v>
      </c>
      <c r="C31" s="67">
        <f>Accretion!D31</f>
        <v>22.30309447054742</v>
      </c>
      <c r="D31" s="67">
        <f>Accretion!E31</f>
        <v>22.003620420530908</v>
      </c>
      <c r="E31" s="67">
        <f>Accretion!F31</f>
        <v>22.07839911441934</v>
      </c>
      <c r="F31" s="67">
        <f>Accretion!C31</f>
        <v>21.631584303090694</v>
      </c>
    </row>
    <row r="32">
      <c r="B32" t="s">
        <v>669</v>
      </c>
      <c r="C32" t="str" s="58">
        <f>Returns!C31</f>
        <v>n.m.</v>
      </c>
      <c r="D32" s="58">
        <f>Returns!C48</f>
        <v>0.4119096100330353</v>
      </c>
      <c r="E32" s="58">
        <f>Returns!C65</f>
        <v>0.4963268578052521</v>
      </c>
      <c r="F32" s="9"/>
    </row>
    <row r="33">
      <c r="B33" t="s">
        <v>670</v>
      </c>
      <c r="C33" t="str" s="92">
        <f>Returns!C32</f>
        <v>n.m.</v>
      </c>
      <c r="D33" s="92">
        <f>Returns!C49</f>
        <v>2.817287104445662</v>
      </c>
      <c r="E33" s="92">
        <f>Returns!C66</f>
        <v>3.3539682165184534</v>
      </c>
      <c r="F33" s="93"/>
    </row>
    <row r="34">
      <c r="B34" t="s">
        <v>671</v>
      </c>
      <c r="C34" s="92">
        <f>Returns!D89</f>
        <v>2.2303094470547418</v>
      </c>
      <c r="D34" s="92">
        <f>Returns!E89</f>
        <v>2.190272028765115</v>
      </c>
      <c r="E34" s="92">
        <f>Returns!F89</f>
        <v>2.200234939100203</v>
      </c>
      <c r="F34" s="92">
        <f>Returns!C89</f>
        <v>2.1631584303090694</v>
      </c>
    </row>
    <row r="35">
      <c r="B35" t="s">
        <v>672</v>
      </c>
      <c r="C35" s="43">
        <f>Funding!C44</f>
        <v>120.39924982433686</v>
      </c>
      <c r="D35" s="43">
        <f>Funding!D44</f>
        <v>283.7113735609899</v>
      </c>
      <c r="E35" s="43">
        <f>Funding!E44</f>
        <v>241.7668217046005</v>
      </c>
      <c r="F35" s="6"/>
    </row>
    <row r="36">
      <c r="B36" t="s">
        <v>673</v>
      </c>
      <c r="C36" s="43">
        <f>Funding!C77</f>
        <v>38.92301718516845</v>
      </c>
      <c r="D36" s="43">
        <f>Funding!D77</f>
        <v>376.92195407673256</v>
      </c>
      <c r="E36" s="43">
        <f>Funding!E77</f>
        <v>290.11141232715624</v>
      </c>
      <c r="F36" s="6"/>
    </row>
    <row r="38" ht="30" customHeight="1">
      <c r="B38" t="s" s="98">
        <v>674</v>
      </c>
      <c r="C38" s="97"/>
      <c r="D38" s="97"/>
      <c r="E38" s="97"/>
      <c r="F38" s="97"/>
    </row>
  </sheetData>
  <mergeCells count="7">
    <mergeCell ref="B6:F6"/>
    <mergeCell ref="B7:F7"/>
    <mergeCell ref="B8:F8"/>
    <mergeCell ref="B9:F9"/>
    <mergeCell ref="B10:F10"/>
    <mergeCell ref="B38:F38"/>
    <mergeCell ref="B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7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3" width="13.64453125" customWidth="1"/>
    <col min="4" max="4" width="11.359375" customWidth="1"/>
    <col min="5" max="5" width="13.21875" customWidth="1"/>
  </cols>
  <sheetData>
    <row r="2">
      <c r="B2" t="s" s="2">
        <v>640</v>
      </c>
    </row>
    <row r="3">
      <c r="B3" t="s" s="4">
        <v>641</v>
      </c>
    </row>
    <row r="4">
      <c r="B4" t="s" s="4">
        <v>642</v>
      </c>
    </row>
    <row r="5">
      <c r="B5" s="4"/>
    </row>
    <row r="6">
      <c r="B6" t="s" s="71">
        <v>0</v>
      </c>
      <c r="C6" t="s" s="73">
        <v>95</v>
      </c>
      <c r="D6" t="s" s="73">
        <v>96</v>
      </c>
      <c r="E6" t="s" s="73">
        <v>111</v>
      </c>
      <c r="F6" t="s" s="72">
        <v>115</v>
      </c>
    </row>
    <row r="7">
      <c r="B7" t="s" s="16">
        <v>1</v>
      </c>
      <c r="C7" s="16"/>
      <c r="D7" s="74"/>
      <c r="E7" s="74"/>
      <c r="F7" s="37"/>
    </row>
    <row r="8">
      <c r="B8" t="s">
        <v>2</v>
      </c>
      <c r="C8" s="26">
        <v>46387</v>
      </c>
      <c r="D8" t="s" s="75">
        <v>97</v>
      </c>
      <c r="E8" t="s" s="75">
        <v>112</v>
      </c>
      <c r="F8" t="s" s="17">
        <v>116</v>
      </c>
    </row>
    <row r="9">
      <c r="B9" t="s">
        <v>3</v>
      </c>
      <c r="C9" s="26">
        <v>46752</v>
      </c>
      <c r="D9" t="s" s="75">
        <v>97</v>
      </c>
      <c r="E9" t="s" s="75">
        <v>112</v>
      </c>
      <c r="F9" t="s" s="17">
        <v>116</v>
      </c>
    </row>
    <row r="10">
      <c r="B10" t="s">
        <v>4</v>
      </c>
      <c r="C10" s="26">
        <v>47848</v>
      </c>
      <c r="D10" t="s" s="75">
        <v>97</v>
      </c>
      <c r="E10" t="s" s="75">
        <v>112</v>
      </c>
      <c r="F10" t="s" s="17">
        <v>116</v>
      </c>
    </row>
    <row r="11">
      <c r="B11" t="s">
        <v>5</v>
      </c>
      <c r="C11" s="27">
        <v>18</v>
      </c>
      <c r="D11" t="s" s="75">
        <v>98</v>
      </c>
      <c r="E11" t="s" s="75">
        <v>112</v>
      </c>
      <c r="F11" t="s" s="17">
        <v>116</v>
      </c>
    </row>
    <row r="12">
      <c r="B12" t="s">
        <v>6</v>
      </c>
      <c r="C12" s="18">
        <v>272</v>
      </c>
      <c r="D12" t="s" s="75">
        <v>99</v>
      </c>
      <c r="E12" t="s" s="75">
        <v>113</v>
      </c>
      <c r="F12" t="s" s="17">
        <v>117</v>
      </c>
    </row>
    <row r="13">
      <c r="B13" t="s">
        <v>7</v>
      </c>
      <c r="C13" s="28">
        <v>50</v>
      </c>
      <c r="D13" t="s" s="75">
        <v>99</v>
      </c>
      <c r="E13" t="s" s="75">
        <v>112</v>
      </c>
      <c r="F13" t="s" s="17">
        <v>116</v>
      </c>
    </row>
    <row r="14">
      <c r="B14" t="s">
        <v>8</v>
      </c>
      <c r="C14" s="29">
        <v>10</v>
      </c>
      <c r="D14" t="s" s="75">
        <v>100</v>
      </c>
      <c r="E14" t="s" s="75">
        <v>114</v>
      </c>
      <c r="F14" t="s" s="17">
        <v>118</v>
      </c>
    </row>
    <row r="15">
      <c r="D15" s="75"/>
      <c r="E15" s="75"/>
      <c r="F15" s="17"/>
    </row>
    <row r="16">
      <c r="B16" t="s" s="16">
        <v>9</v>
      </c>
      <c r="C16" s="16"/>
      <c r="D16" s="74"/>
      <c r="E16" s="74"/>
      <c r="F16" s="37"/>
    </row>
    <row r="17">
      <c r="B17" t="s">
        <v>10</v>
      </c>
      <c r="C17" s="18">
        <v>1344</v>
      </c>
      <c r="D17" t="s" s="75">
        <v>99</v>
      </c>
      <c r="E17" t="s" s="75">
        <v>113</v>
      </c>
      <c r="F17" t="s" s="17">
        <v>119</v>
      </c>
    </row>
    <row r="18">
      <c r="B18" t="s">
        <v>11</v>
      </c>
      <c r="C18" s="18">
        <v>99</v>
      </c>
      <c r="D18" t="s" s="75">
        <v>101</v>
      </c>
      <c r="E18" t="s" s="75">
        <v>113</v>
      </c>
      <c r="F18" t="s" s="17">
        <v>120</v>
      </c>
    </row>
    <row r="19">
      <c r="B19" t="s">
        <v>12</v>
      </c>
      <c r="C19" s="19">
        <v>0.03</v>
      </c>
      <c r="D19" t="s" s="75">
        <v>102</v>
      </c>
      <c r="E19" t="s" s="75">
        <v>113</v>
      </c>
      <c r="F19" t="s" s="17">
        <v>120</v>
      </c>
    </row>
    <row r="20">
      <c r="B20" t="s">
        <v>13</v>
      </c>
      <c r="C20" s="19">
        <v>0.005</v>
      </c>
      <c r="D20" t="s" s="75">
        <v>102</v>
      </c>
      <c r="E20" t="s" s="75">
        <v>113</v>
      </c>
      <c r="F20" t="s" s="17">
        <v>120</v>
      </c>
    </row>
    <row r="21">
      <c r="B21" t="s">
        <v>14</v>
      </c>
      <c r="C21" s="19">
        <v>0.0375</v>
      </c>
      <c r="D21" t="s" s="75">
        <v>102</v>
      </c>
      <c r="E21" t="s" s="75">
        <v>113</v>
      </c>
      <c r="F21" t="s" s="17">
        <v>121</v>
      </c>
    </row>
    <row r="22">
      <c r="B22" t="s">
        <v>15</v>
      </c>
      <c r="C22" s="19">
        <v>0.01</v>
      </c>
      <c r="D22" t="s" s="75">
        <v>102</v>
      </c>
      <c r="E22" t="s" s="75">
        <v>113</v>
      </c>
      <c r="F22" t="s" s="17">
        <v>120</v>
      </c>
    </row>
    <row r="23">
      <c r="B23" t="s">
        <v>16</v>
      </c>
      <c r="C23" s="18">
        <v>250</v>
      </c>
      <c r="D23" t="s" s="75">
        <v>99</v>
      </c>
      <c r="E23" t="s" s="75">
        <v>113</v>
      </c>
      <c r="F23" t="s" s="17">
        <v>120</v>
      </c>
    </row>
    <row r="24">
      <c r="B24" t="s">
        <v>17</v>
      </c>
      <c r="C24" s="18">
        <v>99</v>
      </c>
      <c r="D24" t="s" s="75">
        <v>101</v>
      </c>
      <c r="E24" t="s" s="75">
        <v>113</v>
      </c>
      <c r="F24" t="s" s="17">
        <v>120</v>
      </c>
    </row>
    <row r="25">
      <c r="B25" t="s">
        <v>18</v>
      </c>
      <c r="C25" s="26">
        <v>46568</v>
      </c>
      <c r="D25" t="s" s="75">
        <v>97</v>
      </c>
      <c r="E25" t="s" s="75">
        <v>114</v>
      </c>
      <c r="F25" t="s" s="17">
        <v>122</v>
      </c>
    </row>
    <row r="26">
      <c r="B26" t="s">
        <v>19</v>
      </c>
      <c r="C26" s="18">
        <v>150</v>
      </c>
      <c r="D26" t="s" s="75">
        <v>99</v>
      </c>
      <c r="E26" t="s" s="75">
        <v>113</v>
      </c>
      <c r="F26" t="s" s="17">
        <v>120</v>
      </c>
    </row>
    <row r="27">
      <c r="B27" t="s">
        <v>20</v>
      </c>
      <c r="C27" s="19">
        <v>0.0275</v>
      </c>
      <c r="D27" t="s" s="75">
        <v>102</v>
      </c>
      <c r="E27" t="s" s="75">
        <v>113</v>
      </c>
      <c r="F27" t="s" s="17">
        <v>120</v>
      </c>
    </row>
    <row r="28">
      <c r="B28" t="s">
        <v>21</v>
      </c>
      <c r="C28" s="20">
        <v>0.00375</v>
      </c>
      <c r="D28" t="s" s="75">
        <v>102</v>
      </c>
      <c r="E28" t="s" s="75">
        <v>113</v>
      </c>
      <c r="F28" t="s" s="17">
        <v>123</v>
      </c>
    </row>
    <row r="29">
      <c r="B29" t="s">
        <v>22</v>
      </c>
      <c r="C29" s="19">
        <v>0.0225</v>
      </c>
      <c r="D29" t="s" s="75">
        <v>102</v>
      </c>
      <c r="E29" t="s" s="75">
        <v>113</v>
      </c>
      <c r="F29" t="s" s="17">
        <v>123</v>
      </c>
    </row>
    <row r="30">
      <c r="B30" t="s">
        <v>23</v>
      </c>
      <c r="C30" s="19">
        <v>0.0175</v>
      </c>
      <c r="D30" t="s" s="75">
        <v>102</v>
      </c>
      <c r="E30" t="s" s="75">
        <v>113</v>
      </c>
      <c r="F30" t="s" s="17">
        <v>123</v>
      </c>
    </row>
    <row r="31">
      <c r="B31" t="s">
        <v>24</v>
      </c>
      <c r="C31" s="100">
        <v>0.15</v>
      </c>
      <c r="D31" t="s" s="75">
        <v>103</v>
      </c>
      <c r="E31" t="s" s="75">
        <v>113</v>
      </c>
      <c r="F31" t="s" s="17">
        <v>123</v>
      </c>
    </row>
    <row r="32">
      <c r="B32" t="s">
        <v>25</v>
      </c>
      <c r="C32" s="21">
        <v>0.5</v>
      </c>
      <c r="D32" t="s" s="75">
        <v>102</v>
      </c>
      <c r="E32" t="s" s="75">
        <v>113</v>
      </c>
      <c r="F32" t="s" s="17">
        <v>124</v>
      </c>
    </row>
    <row r="33">
      <c r="B33" t="s">
        <v>26</v>
      </c>
      <c r="C33" s="21">
        <v>1</v>
      </c>
      <c r="D33" t="s" s="75">
        <v>102</v>
      </c>
      <c r="E33" t="s" s="75">
        <v>113</v>
      </c>
      <c r="F33" t="s" s="17">
        <v>124</v>
      </c>
    </row>
    <row r="34">
      <c r="B34" t="s">
        <v>27</v>
      </c>
      <c r="C34" s="101">
        <v>8</v>
      </c>
      <c r="D34" t="s" s="75">
        <v>98</v>
      </c>
      <c r="E34" t="s" s="75">
        <v>113</v>
      </c>
      <c r="F34" t="s" s="17">
        <v>125</v>
      </c>
    </row>
    <row r="35">
      <c r="B35" t="s">
        <v>28</v>
      </c>
      <c r="C35" s="21">
        <v>0.35</v>
      </c>
      <c r="D35" t="s" s="75">
        <v>102</v>
      </c>
      <c r="E35" t="s" s="75">
        <v>113</v>
      </c>
      <c r="F35" t="s" s="17">
        <v>125</v>
      </c>
    </row>
    <row r="36">
      <c r="B36" t="s">
        <v>29</v>
      </c>
      <c r="C36" s="18">
        <v>300</v>
      </c>
      <c r="D36" t="s" s="75">
        <v>99</v>
      </c>
      <c r="E36" t="s" s="75">
        <v>113</v>
      </c>
      <c r="F36" t="s" s="17">
        <v>126</v>
      </c>
    </row>
    <row r="37">
      <c r="B37" t="s">
        <v>30</v>
      </c>
      <c r="C37" s="21">
        <v>1</v>
      </c>
      <c r="D37" t="s" s="75">
        <v>102</v>
      </c>
      <c r="E37" t="s" s="75">
        <v>113</v>
      </c>
      <c r="F37" t="s" s="17">
        <v>126</v>
      </c>
    </row>
    <row r="38">
      <c r="B38" t="s">
        <v>31</v>
      </c>
      <c r="C38" s="19">
        <v>0.005</v>
      </c>
      <c r="D38" t="s" s="75">
        <v>102</v>
      </c>
      <c r="E38" t="s" s="75">
        <v>113</v>
      </c>
      <c r="F38" t="s" s="17">
        <v>126</v>
      </c>
    </row>
    <row r="39">
      <c r="B39" t="s">
        <v>32</v>
      </c>
      <c r="C39" s="22">
        <v>12</v>
      </c>
      <c r="D39" t="s" s="75">
        <v>104</v>
      </c>
      <c r="E39" t="s" s="75">
        <v>113</v>
      </c>
      <c r="F39" t="s" s="17">
        <v>126</v>
      </c>
    </row>
    <row r="40">
      <c r="B40" t="s">
        <v>33</v>
      </c>
      <c r="C40" s="21">
        <v>0.2</v>
      </c>
      <c r="D40" t="s" s="75">
        <v>102</v>
      </c>
      <c r="E40" t="s" s="75">
        <v>113</v>
      </c>
      <c r="F40" t="s" s="17">
        <v>127</v>
      </c>
    </row>
    <row r="41">
      <c r="B41" t="s">
        <v>34</v>
      </c>
      <c r="C41" s="21">
        <v>0.4</v>
      </c>
      <c r="D41" t="s" s="75">
        <v>102</v>
      </c>
      <c r="E41" t="s" s="75">
        <v>113</v>
      </c>
      <c r="F41" t="s" s="17">
        <v>128</v>
      </c>
    </row>
    <row r="42">
      <c r="B42" t="s">
        <v>35</v>
      </c>
      <c r="C42" s="21">
        <v>0</v>
      </c>
      <c r="D42" t="s" s="75">
        <v>102</v>
      </c>
      <c r="E42" t="s" s="75">
        <v>113</v>
      </c>
      <c r="F42" t="s" s="17">
        <v>129</v>
      </c>
    </row>
    <row r="43">
      <c r="B43" t="s" s="17">
        <v>36</v>
      </c>
      <c r="D43" s="75"/>
      <c r="E43" s="75"/>
      <c r="F43" s="17"/>
    </row>
    <row r="44">
      <c r="D44" s="75"/>
      <c r="E44" s="75"/>
      <c r="F44" s="17"/>
    </row>
    <row r="45">
      <c r="B45" t="s" s="16">
        <v>37</v>
      </c>
      <c r="C45" s="16"/>
      <c r="D45" s="74"/>
      <c r="E45" s="74"/>
      <c r="F45" s="37"/>
    </row>
    <row r="46">
      <c r="B46" t="s">
        <v>29</v>
      </c>
      <c r="C46" s="18">
        <v>150</v>
      </c>
      <c r="D46" t="s" s="75">
        <v>99</v>
      </c>
      <c r="E46" t="s" s="75">
        <v>113</v>
      </c>
      <c r="F46" t="s" s="17">
        <v>130</v>
      </c>
    </row>
    <row r="47">
      <c r="B47" t="s">
        <v>30</v>
      </c>
      <c r="C47" s="21">
        <v>0.75</v>
      </c>
      <c r="D47" t="s" s="75">
        <v>102</v>
      </c>
      <c r="E47" t="s" s="75">
        <v>113</v>
      </c>
      <c r="F47" t="s" s="17">
        <v>131</v>
      </c>
    </row>
    <row r="48">
      <c r="B48" t="s">
        <v>38</v>
      </c>
      <c r="C48" s="101">
        <v>6.75</v>
      </c>
      <c r="D48" t="s" s="75">
        <v>98</v>
      </c>
      <c r="E48" t="s" s="75">
        <v>113</v>
      </c>
      <c r="F48" t="s" s="17">
        <v>131</v>
      </c>
    </row>
    <row r="49">
      <c r="B49" t="s">
        <v>39</v>
      </c>
      <c r="C49" s="101">
        <v>7.5</v>
      </c>
      <c r="D49" t="s" s="75">
        <v>98</v>
      </c>
      <c r="E49" t="s" s="75">
        <v>113</v>
      </c>
      <c r="F49" t="s" s="17">
        <v>132</v>
      </c>
    </row>
    <row r="50">
      <c r="B50" t="s">
        <v>40</v>
      </c>
      <c r="C50" s="21">
        <v>0.15</v>
      </c>
      <c r="D50" t="s" s="75">
        <v>102</v>
      </c>
      <c r="E50" t="s" s="75">
        <v>113</v>
      </c>
      <c r="F50" t="s" s="17">
        <v>133</v>
      </c>
    </row>
    <row r="51">
      <c r="B51" t="s">
        <v>41</v>
      </c>
      <c r="C51" s="18">
        <v>150</v>
      </c>
      <c r="D51" t="s" s="75">
        <v>99</v>
      </c>
      <c r="E51" t="s" s="75">
        <v>113</v>
      </c>
      <c r="F51" t="s" s="17">
        <v>134</v>
      </c>
    </row>
    <row r="52">
      <c r="B52" t="s">
        <v>42</v>
      </c>
      <c r="C52" s="28">
        <v>0</v>
      </c>
      <c r="D52" t="s" s="75">
        <v>99</v>
      </c>
      <c r="E52" t="s" s="75">
        <v>114</v>
      </c>
      <c r="F52" t="s" s="17">
        <v>135</v>
      </c>
    </row>
    <row r="53">
      <c r="D53" s="75"/>
      <c r="E53" s="75"/>
      <c r="F53" s="17"/>
    </row>
    <row r="54">
      <c r="B54" t="s" s="16">
        <v>43</v>
      </c>
      <c r="C54" s="16"/>
      <c r="D54" s="74"/>
      <c r="E54" s="74"/>
      <c r="F54" s="37"/>
    </row>
    <row r="55">
      <c r="B55" t="s">
        <v>44</v>
      </c>
      <c r="C55" s="30">
        <v>0.0325</v>
      </c>
      <c r="D55" t="s" s="75">
        <v>102</v>
      </c>
      <c r="E55" t="s" s="75">
        <v>114</v>
      </c>
      <c r="F55" t="s" s="17">
        <v>136</v>
      </c>
    </row>
    <row r="56">
      <c r="B56" t="s">
        <v>45</v>
      </c>
      <c r="C56" s="28">
        <v>99</v>
      </c>
      <c r="D56" t="s" s="75">
        <v>101</v>
      </c>
      <c r="E56" t="s" s="75">
        <v>114</v>
      </c>
      <c r="F56" t="s" s="17">
        <v>137</v>
      </c>
    </row>
    <row r="57">
      <c r="B57" t="s">
        <v>46</v>
      </c>
      <c r="C57" s="30">
        <v>0.0225</v>
      </c>
      <c r="D57" t="s" s="75">
        <v>102</v>
      </c>
      <c r="E57" t="s" s="75">
        <v>114</v>
      </c>
      <c r="F57" t="s" s="17">
        <v>137</v>
      </c>
    </row>
    <row r="58">
      <c r="B58" t="s">
        <v>47</v>
      </c>
      <c r="C58" s="30">
        <v>0.01</v>
      </c>
      <c r="D58" t="s" s="75">
        <v>102</v>
      </c>
      <c r="E58" t="s" s="75">
        <v>114</v>
      </c>
      <c r="F58" t="s" s="17">
        <v>138</v>
      </c>
    </row>
    <row r="59">
      <c r="B59" t="s">
        <v>48</v>
      </c>
      <c r="C59" s="31">
        <v>4</v>
      </c>
      <c r="D59" t="s" s="75">
        <v>105</v>
      </c>
      <c r="E59" t="s" s="75">
        <v>114</v>
      </c>
      <c r="F59" t="s" s="17">
        <v>139</v>
      </c>
    </row>
    <row r="60">
      <c r="B60" t="s">
        <v>49</v>
      </c>
      <c r="C60" s="32">
        <v>0.5</v>
      </c>
      <c r="D60" t="s" s="75">
        <v>102</v>
      </c>
      <c r="E60" t="s" s="75">
        <v>114</v>
      </c>
      <c r="F60" t="s" s="17">
        <v>140</v>
      </c>
    </row>
    <row r="61">
      <c r="B61" t="s">
        <v>50</v>
      </c>
      <c r="C61" s="8">
        <f>$C$21+$C$19</f>
        <v>0.0675</v>
      </c>
      <c r="D61" t="s" s="75">
        <v>102</v>
      </c>
      <c r="E61" t="s" s="75">
        <v>114</v>
      </c>
      <c r="F61" t="s" s="17">
        <v>141</v>
      </c>
    </row>
    <row r="62">
      <c r="D62" s="75"/>
      <c r="E62" s="75"/>
      <c r="F62" s="17"/>
    </row>
    <row r="63">
      <c r="B63" t="s" s="16">
        <v>51</v>
      </c>
      <c r="C63" s="16"/>
      <c r="D63" s="74"/>
      <c r="E63" s="74"/>
      <c r="F63" s="37"/>
    </row>
    <row r="64">
      <c r="B64" t="s">
        <v>52</v>
      </c>
      <c r="C64" s="28">
        <v>24</v>
      </c>
      <c r="D64" t="s" s="75">
        <v>106</v>
      </c>
      <c r="E64" t="s" s="75">
        <v>112</v>
      </c>
      <c r="F64" t="s" s="17">
        <v>142</v>
      </c>
    </row>
    <row r="65">
      <c r="B65" t="s">
        <v>53</v>
      </c>
      <c r="C65" s="28">
        <v>19.2</v>
      </c>
      <c r="D65" t="s" s="75">
        <v>106</v>
      </c>
      <c r="E65" t="s" s="75">
        <v>112</v>
      </c>
      <c r="F65" t="s" s="17">
        <v>142</v>
      </c>
    </row>
    <row r="66">
      <c r="B66" t="s">
        <v>54</v>
      </c>
      <c r="C66" s="28">
        <v>9</v>
      </c>
      <c r="D66" t="s" s="75">
        <v>106</v>
      </c>
      <c r="E66" t="s" s="75">
        <v>112</v>
      </c>
      <c r="F66" t="s" s="17">
        <v>142</v>
      </c>
    </row>
    <row r="67">
      <c r="B67" t="s">
        <v>55</v>
      </c>
      <c r="C67" s="33">
        <v>112</v>
      </c>
      <c r="D67" t="s" s="75">
        <v>107</v>
      </c>
      <c r="E67" t="s" s="75">
        <v>112</v>
      </c>
      <c r="F67" t="s" s="17">
        <v>142</v>
      </c>
    </row>
    <row r="68">
      <c r="B68" t="s">
        <v>56</v>
      </c>
      <c r="C68" s="28">
        <v>10.2</v>
      </c>
      <c r="D68" t="s" s="75">
        <v>106</v>
      </c>
      <c r="E68" t="s" s="75">
        <v>112</v>
      </c>
      <c r="F68" t="s" s="17">
        <v>142</v>
      </c>
    </row>
    <row r="69">
      <c r="B69" t="s">
        <v>57</v>
      </c>
      <c r="C69" s="33">
        <v>185</v>
      </c>
      <c r="D69" t="s" s="75">
        <v>107</v>
      </c>
      <c r="E69" t="s" s="75">
        <v>112</v>
      </c>
      <c r="F69" t="s" s="17">
        <v>142</v>
      </c>
    </row>
    <row r="70">
      <c r="B70" t="s">
        <v>58</v>
      </c>
      <c r="C70" s="31">
        <v>31</v>
      </c>
      <c r="D70" t="s" s="75">
        <v>108</v>
      </c>
      <c r="E70" t="s" s="75">
        <v>112</v>
      </c>
      <c r="F70" t="s" s="17">
        <v>143</v>
      </c>
    </row>
    <row r="71">
      <c r="B71" t="s">
        <v>59</v>
      </c>
      <c r="C71" s="32">
        <v>0.7</v>
      </c>
      <c r="D71" t="s" s="75">
        <v>102</v>
      </c>
      <c r="E71" t="s" s="75">
        <v>112</v>
      </c>
      <c r="F71" t="s" s="17">
        <v>142</v>
      </c>
    </row>
    <row r="72">
      <c r="B72" t="s">
        <v>60</v>
      </c>
      <c r="C72" s="34">
        <v>1.42</v>
      </c>
      <c r="D72" t="s" s="75">
        <v>98</v>
      </c>
      <c r="E72" t="s" s="75">
        <v>112</v>
      </c>
      <c r="F72" t="s" s="17">
        <v>142</v>
      </c>
    </row>
    <row r="73">
      <c r="B73" t="s">
        <v>61</v>
      </c>
      <c r="C73" s="35">
        <v>0.061</v>
      </c>
      <c r="D73" t="s" s="75">
        <v>109</v>
      </c>
      <c r="E73" t="s" s="75">
        <v>112</v>
      </c>
      <c r="F73" t="s" s="17">
        <v>142</v>
      </c>
    </row>
    <row r="74">
      <c r="B74" t="s">
        <v>62</v>
      </c>
      <c r="C74" s="28">
        <v>34.7</v>
      </c>
      <c r="D74" t="s" s="75">
        <v>99</v>
      </c>
      <c r="E74" t="s" s="75">
        <v>112</v>
      </c>
      <c r="F74" t="s" s="17">
        <v>142</v>
      </c>
    </row>
    <row r="75">
      <c r="B75" t="s">
        <v>63</v>
      </c>
      <c r="C75" s="28">
        <v>4.8</v>
      </c>
      <c r="D75" t="s" s="75">
        <v>99</v>
      </c>
      <c r="E75" t="s" s="75">
        <v>112</v>
      </c>
      <c r="F75" t="s" s="17">
        <v>142</v>
      </c>
    </row>
    <row r="76">
      <c r="B76" t="s">
        <v>64</v>
      </c>
      <c r="C76" s="28">
        <v>1.1</v>
      </c>
      <c r="D76" t="s" s="75">
        <v>99</v>
      </c>
      <c r="E76" t="s" s="75">
        <v>112</v>
      </c>
      <c r="F76" t="s" s="17">
        <v>142</v>
      </c>
    </row>
    <row r="77">
      <c r="B77" t="s">
        <v>65</v>
      </c>
      <c r="C77" s="28">
        <v>0.5</v>
      </c>
      <c r="D77" t="s" s="75">
        <v>99</v>
      </c>
      <c r="E77" t="s" s="75">
        <v>112</v>
      </c>
      <c r="F77" t="s" s="17">
        <v>142</v>
      </c>
    </row>
    <row r="78">
      <c r="B78" t="s" s="14">
        <v>66</v>
      </c>
      <c r="C78" s="15">
        <f>SUM($C$74:$C$77)</f>
        <v>41.1</v>
      </c>
      <c r="D78" t="s" s="75">
        <v>99</v>
      </c>
      <c r="E78" t="s" s="75">
        <v>112</v>
      </c>
      <c r="F78" s="17"/>
    </row>
    <row r="79">
      <c r="B79" t="s">
        <v>67</v>
      </c>
      <c r="C79" s="28">
        <v>-10.2</v>
      </c>
      <c r="D79" t="s" s="75">
        <v>99</v>
      </c>
      <c r="E79" t="s" s="75">
        <v>112</v>
      </c>
      <c r="F79" t="s" s="17">
        <v>142</v>
      </c>
    </row>
    <row r="80">
      <c r="B80" t="s">
        <v>68</v>
      </c>
      <c r="C80" s="6">
        <f>SUM($C$84:$C$87)</f>
        <v>-8.6</v>
      </c>
      <c r="D80" t="s" s="75">
        <v>99</v>
      </c>
      <c r="E80" t="s" s="75">
        <v>112</v>
      </c>
      <c r="F80" t="s" s="17">
        <v>144</v>
      </c>
    </row>
    <row r="81">
      <c r="B81" t="s">
        <v>69</v>
      </c>
      <c r="C81" s="28">
        <v>-2</v>
      </c>
      <c r="D81" t="s" s="75">
        <v>99</v>
      </c>
      <c r="E81" t="s" s="75">
        <v>112</v>
      </c>
      <c r="F81" t="s" s="17">
        <v>142</v>
      </c>
    </row>
    <row r="82">
      <c r="B82" t="s">
        <v>70</v>
      </c>
      <c r="C82" s="6">
        <f>SUM($C$88:$C$96)</f>
        <v>-5.199999999999999</v>
      </c>
      <c r="D82" t="s" s="75">
        <v>99</v>
      </c>
      <c r="E82" t="s" s="75">
        <v>112</v>
      </c>
      <c r="F82" t="s" s="17">
        <v>144</v>
      </c>
    </row>
    <row r="83">
      <c r="B83" t="s" s="14">
        <v>71</v>
      </c>
      <c r="C83" s="15">
        <f>SUM(C78:C82)</f>
        <v>15.100000000000005</v>
      </c>
      <c r="D83" t="s" s="75">
        <v>99</v>
      </c>
      <c r="E83" t="s" s="75">
        <v>112</v>
      </c>
      <c r="F83" t="s" s="17">
        <v>145</v>
      </c>
    </row>
    <row r="84">
      <c r="B84" t="s">
        <v>72</v>
      </c>
      <c r="C84" s="28">
        <v>-3.4</v>
      </c>
      <c r="D84" t="s" s="75">
        <v>99</v>
      </c>
      <c r="E84" t="s" s="75">
        <v>112</v>
      </c>
      <c r="F84" t="s" s="17">
        <v>142</v>
      </c>
    </row>
    <row r="85">
      <c r="B85" t="s">
        <v>73</v>
      </c>
      <c r="C85" s="28">
        <v>-2.6</v>
      </c>
      <c r="D85" t="s" s="75">
        <v>99</v>
      </c>
      <c r="E85" t="s" s="75">
        <v>112</v>
      </c>
      <c r="F85" t="s" s="17">
        <v>142</v>
      </c>
    </row>
    <row r="86">
      <c r="B86" t="s">
        <v>74</v>
      </c>
      <c r="C86" s="28">
        <v>-0.9</v>
      </c>
      <c r="D86" t="s" s="75">
        <v>99</v>
      </c>
      <c r="E86" t="s" s="75">
        <v>112</v>
      </c>
      <c r="F86" t="s" s="17">
        <v>142</v>
      </c>
    </row>
    <row r="87">
      <c r="B87" t="s">
        <v>75</v>
      </c>
      <c r="C87" s="28">
        <v>-1.7</v>
      </c>
      <c r="D87" t="s" s="75">
        <v>99</v>
      </c>
      <c r="E87" t="s" s="75">
        <v>112</v>
      </c>
      <c r="F87" t="s" s="17">
        <v>142</v>
      </c>
    </row>
    <row r="88">
      <c r="B88" t="s">
        <v>76</v>
      </c>
      <c r="C88" s="28">
        <v>-1.9</v>
      </c>
      <c r="D88" t="s" s="75">
        <v>99</v>
      </c>
      <c r="E88" t="s" s="75">
        <v>112</v>
      </c>
      <c r="F88" t="s" s="17">
        <v>142</v>
      </c>
    </row>
    <row r="89">
      <c r="B89" t="s">
        <v>77</v>
      </c>
      <c r="C89" s="28">
        <v>-0.9</v>
      </c>
      <c r="D89" t="s" s="75">
        <v>99</v>
      </c>
      <c r="E89" t="s" s="75">
        <v>112</v>
      </c>
      <c r="F89" t="s" s="17">
        <v>142</v>
      </c>
    </row>
    <row r="90">
      <c r="B90" t="s">
        <v>78</v>
      </c>
      <c r="C90" s="28">
        <v>-0.8</v>
      </c>
      <c r="D90" t="s" s="75">
        <v>99</v>
      </c>
      <c r="E90" t="s" s="75">
        <v>112</v>
      </c>
      <c r="F90" t="s" s="17">
        <v>142</v>
      </c>
    </row>
    <row r="91">
      <c r="B91" t="s">
        <v>79</v>
      </c>
      <c r="C91" s="28">
        <v>-0.4</v>
      </c>
      <c r="D91" t="s" s="75">
        <v>99</v>
      </c>
      <c r="E91" t="s" s="75">
        <v>112</v>
      </c>
      <c r="F91" t="s" s="17">
        <v>142</v>
      </c>
    </row>
    <row r="92">
      <c r="B92" t="s">
        <v>80</v>
      </c>
      <c r="C92" s="28">
        <v>-0.2</v>
      </c>
      <c r="D92" t="s" s="75">
        <v>99</v>
      </c>
      <c r="E92" t="s" s="75">
        <v>112</v>
      </c>
      <c r="F92" t="s" s="17">
        <v>142</v>
      </c>
    </row>
    <row r="93">
      <c r="B93" t="s">
        <v>81</v>
      </c>
      <c r="C93" s="28">
        <v>-0.4</v>
      </c>
      <c r="D93" t="s" s="75">
        <v>99</v>
      </c>
      <c r="E93" t="s" s="75">
        <v>112</v>
      </c>
      <c r="F93" t="s" s="17">
        <v>142</v>
      </c>
    </row>
    <row r="94">
      <c r="B94" t="s">
        <v>82</v>
      </c>
      <c r="C94" s="28">
        <v>-0.3</v>
      </c>
      <c r="D94" t="s" s="75">
        <v>99</v>
      </c>
      <c r="E94" t="s" s="75">
        <v>112</v>
      </c>
      <c r="F94" t="s" s="17">
        <v>142</v>
      </c>
    </row>
    <row r="95">
      <c r="B95" t="s">
        <v>83</v>
      </c>
      <c r="C95" s="28">
        <v>-0.2</v>
      </c>
      <c r="D95" t="s" s="75">
        <v>99</v>
      </c>
      <c r="E95" t="s" s="75">
        <v>112</v>
      </c>
      <c r="F95" t="s" s="17">
        <v>142</v>
      </c>
    </row>
    <row r="96">
      <c r="B96" t="s">
        <v>84</v>
      </c>
      <c r="C96" s="28">
        <v>-0.1</v>
      </c>
      <c r="D96" t="s" s="75">
        <v>99</v>
      </c>
      <c r="E96" t="s" s="75">
        <v>112</v>
      </c>
      <c r="F96" t="s" s="17">
        <v>142</v>
      </c>
    </row>
    <row r="97">
      <c r="B97" t="s">
        <v>85</v>
      </c>
      <c r="C97" s="28">
        <v>1.8</v>
      </c>
      <c r="D97" t="s" s="75">
        <v>103</v>
      </c>
      <c r="E97" t="s" s="75">
        <v>112</v>
      </c>
      <c r="F97" t="s" s="17">
        <v>142</v>
      </c>
    </row>
    <row r="98">
      <c r="B98" t="s">
        <v>86</v>
      </c>
      <c r="C98" s="28">
        <v>0.6</v>
      </c>
      <c r="D98" t="s" s="75">
        <v>110</v>
      </c>
      <c r="E98" t="s" s="75">
        <v>112</v>
      </c>
      <c r="F98" t="s" s="17">
        <v>142</v>
      </c>
    </row>
    <row r="99">
      <c r="B99" t="s">
        <v>87</v>
      </c>
      <c r="C99" s="33">
        <v>125</v>
      </c>
      <c r="D99" t="s" s="75">
        <v>107</v>
      </c>
      <c r="E99" t="s" s="75">
        <v>112</v>
      </c>
      <c r="F99" t="s" s="17">
        <v>142</v>
      </c>
    </row>
    <row r="100">
      <c r="B100" t="s">
        <v>88</v>
      </c>
      <c r="C100" s="19">
        <v>0.0275</v>
      </c>
      <c r="D100" t="s" s="75">
        <v>102</v>
      </c>
      <c r="E100" t="s" s="75">
        <v>113</v>
      </c>
      <c r="F100" t="s" s="17">
        <v>146</v>
      </c>
    </row>
    <row r="101">
      <c r="B101" t="s">
        <v>89</v>
      </c>
      <c r="C101" s="32">
        <v>0.03</v>
      </c>
      <c r="D101" t="s" s="75">
        <v>102</v>
      </c>
      <c r="E101" t="s" s="75">
        <v>112</v>
      </c>
      <c r="F101" t="s" s="17">
        <v>142</v>
      </c>
    </row>
    <row r="102">
      <c r="B102" t="s">
        <v>689</v>
      </c>
      <c r="C102" s="32">
        <v>0.03</v>
      </c>
      <c r="D102" t="s" s="75">
        <v>102</v>
      </c>
      <c r="E102" t="s" s="75">
        <v>114</v>
      </c>
      <c r="F102" t="s" s="17">
        <v>690</v>
      </c>
    </row>
    <row r="103">
      <c r="B103" t="s">
        <v>90</v>
      </c>
      <c r="C103" s="27">
        <v>15</v>
      </c>
      <c r="D103" t="s" s="75">
        <v>98</v>
      </c>
      <c r="E103" t="s" s="75">
        <v>112</v>
      </c>
      <c r="F103" t="s" s="17">
        <v>142</v>
      </c>
    </row>
    <row r="104">
      <c r="B104" t="s">
        <v>91</v>
      </c>
      <c r="C104" s="5">
        <f>IF(ISNUMBER(Returns!$D$96),Returns!$D$96,$C$103)</f>
        <v>15</v>
      </c>
      <c r="D104" t="s" s="75">
        <v>98</v>
      </c>
      <c r="E104" t="s" s="75">
        <v>112</v>
      </c>
      <c r="F104" t="s" s="17">
        <v>147</v>
      </c>
    </row>
    <row r="105">
      <c r="B105" t="s">
        <v>92</v>
      </c>
      <c r="C105" s="32">
        <v>0.02</v>
      </c>
      <c r="D105" t="s" s="75">
        <v>102</v>
      </c>
      <c r="E105" t="s" s="75">
        <v>112</v>
      </c>
      <c r="F105" t="s" s="17">
        <v>142</v>
      </c>
    </row>
    <row r="106">
      <c r="B106" t="s">
        <v>93</v>
      </c>
      <c r="C106" s="32">
        <v>1</v>
      </c>
      <c r="D106" t="s" s="75">
        <v>102</v>
      </c>
      <c r="E106" t="s" s="75">
        <v>114</v>
      </c>
      <c r="F106" t="s" s="17">
        <v>148</v>
      </c>
    </row>
    <row r="107">
      <c r="B107" t="s">
        <v>94</v>
      </c>
      <c r="C107" s="9">
        <f>IF(ISNUMBER(Returns!$D$97),Returns!$D$97,$C$106)</f>
        <v>1</v>
      </c>
      <c r="D107" t="s" s="75">
        <v>102</v>
      </c>
      <c r="E107" t="s" s="75">
        <v>114</v>
      </c>
      <c r="F107" t="s" s="17">
        <v>147</v>
      </c>
    </row>
  </sheetData>
  <pageMargins left="0.7" right="0.7" top="0.75" bottom="0.75" header="0.3" footer="0.3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4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12" width="13.64453125" customWidth="1"/>
  </cols>
  <sheetData>
    <row r="2">
      <c r="B2" t="s" s="2">
        <v>643</v>
      </c>
    </row>
    <row r="3">
      <c r="B3" t="str" s="38">
        <f>"Takeaway: the spec hangs together (rents sit in the 4.04 bands and the power cost rebuilds to within $0.1M), but at "&amp;TEXT(C32,"$0.0")&amp;"M per MW and a "&amp;TEXT(C34,"0.0%")&amp;" cap rate Lariat is priced well below the appraisals ("&amp;TEXT(J32,"$0.0")&amp;"M per MW, "&amp;TEXT(J34,"0.0%")&amp;") and the 2025 Carrollton sale ("&amp;TEXT(K32,"$0.0")&amp;"M, "&amp;TEXT(K34,"0.0%")&amp;")."</f>
        <v>Takeaway: the spec hangs together (rents sit in the 4.04 bands and the power cost rebuilds to within $0.1M), but at $9.4M per MW and a 9.0% cap rate Lariat is priced well below the appraisals ($17.5M per MW, 6.2%) and the 2025 Carrollton sale ($19.8M, 5.8%).</v>
      </c>
    </row>
    <row r="4">
      <c r="B4" t="str" s="4">
        <f>"Why it trades below the platform: one 24 MW campus at "&amp;TEXT(C12,"0%")&amp;" occupancy with no land or power pipeline, standalone G&amp;A of "&amp;TEXT(-Inputs!C82/Inputs!C78,"0%")&amp;" of revenue, bundled power on 10.2 MW at a "&amp;TEXT(C28/E28-1,"0%")&amp;" higher utility rate than DFW I and PUE 1.42, and under half DFW I's cross-connect revenue per MW. The 18.0x platform multiple pays for scale and 550 MW of planned capacity."</f>
        <v>Why it trades below the platform: one 24 MW campus at 80% occupancy with no land or power pipeline, standalone G&amp;A of 13% of revenue, bundled power on 10.2 MW at a 21% higher utility rate than DFW I and PUE 1.42, and under half DFW I's cross-connect revenue per MW. The 18.0x platform multiple pays for scale and 550 MW of planned capacity.</v>
      </c>
    </row>
    <row r="5">
      <c r="B5" t="s" s="4">
        <v>644</v>
      </c>
    </row>
    <row r="6">
      <c r="M6" s="17"/>
    </row>
    <row r="7">
      <c r="M7" s="17"/>
    </row>
    <row r="8">
      <c r="B8" t="s" s="41">
        <v>149</v>
      </c>
      <c r="C8" t="s" s="42">
        <v>180</v>
      </c>
      <c r="D8" t="s" s="42">
        <v>182</v>
      </c>
      <c r="E8" t="s" s="42">
        <v>184</v>
      </c>
      <c r="F8" t="s" s="42">
        <v>186</v>
      </c>
      <c r="G8" t="s" s="42">
        <v>187</v>
      </c>
      <c r="H8" t="s" s="42">
        <v>188</v>
      </c>
      <c r="I8" t="s" s="42">
        <v>189</v>
      </c>
      <c r="J8" t="s" s="42">
        <v>190</v>
      </c>
      <c r="K8" t="s" s="42">
        <v>191</v>
      </c>
      <c r="L8" t="s" s="42">
        <v>192</v>
      </c>
      <c r="M8" t="s" s="50">
        <v>115</v>
      </c>
    </row>
    <row r="9">
      <c r="B9" t="s" s="16">
        <v>150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37"/>
    </row>
    <row r="10">
      <c r="B10" t="s">
        <v>151</v>
      </c>
      <c r="C10" s="43">
        <f>Inputs!$C$64</f>
        <v>24</v>
      </c>
      <c r="D10" s="18">
        <v>64</v>
      </c>
      <c r="E10" s="18">
        <v>36</v>
      </c>
      <c r="F10" s="18">
        <v>48</v>
      </c>
      <c r="G10" s="18">
        <v>30</v>
      </c>
      <c r="H10" s="18">
        <v>30</v>
      </c>
      <c r="I10" s="18">
        <v>12</v>
      </c>
      <c r="J10" s="6">
        <f>MEDIAN(D10:I10)</f>
        <v>33</v>
      </c>
      <c r="K10" s="18">
        <v>40</v>
      </c>
      <c r="L10" s="18">
        <v>220</v>
      </c>
      <c r="M10" t="s" s="17">
        <v>193</v>
      </c>
    </row>
    <row r="11">
      <c r="B11" t="s">
        <v>152</v>
      </c>
      <c r="C11" s="43">
        <f>Inputs!$C$65</f>
        <v>19.2</v>
      </c>
      <c r="D11" s="18">
        <v>62.1</v>
      </c>
      <c r="E11" s="18">
        <v>33.8</v>
      </c>
      <c r="F11" s="18">
        <v>45.2</v>
      </c>
      <c r="G11" s="18">
        <v>26.4</v>
      </c>
      <c r="H11" s="18">
        <v>24.9</v>
      </c>
      <c r="I11" s="18">
        <v>9.8</v>
      </c>
      <c r="J11" s="6">
        <f>MEDIAN(D11:I11)</f>
        <v>30.099999999999998</v>
      </c>
      <c r="K11" s="6"/>
      <c r="L11" s="18">
        <v>202.2</v>
      </c>
      <c r="M11" t="s" s="17">
        <v>194</v>
      </c>
    </row>
    <row r="12">
      <c r="B12" t="s" s="3">
        <v>153</v>
      </c>
      <c r="C12" s="39">
        <f>IFERROR(C11/C10,"")</f>
        <v>0.7999999999999999</v>
      </c>
      <c r="D12" s="39">
        <f>IFERROR(D11/D10,"")</f>
        <v>0.9703125</v>
      </c>
      <c r="E12" s="39">
        <f>IFERROR(E11/E10,"")</f>
        <v>0.9388888888888888</v>
      </c>
      <c r="F12" s="39">
        <f>IFERROR(F11/F10,"")</f>
        <v>0.9416666666666668</v>
      </c>
      <c r="G12" s="39">
        <f>IFERROR(G11/G10,"")</f>
        <v>0.88</v>
      </c>
      <c r="H12" s="39">
        <f>IFERROR(H11/H10,"")</f>
        <v>0.83</v>
      </c>
      <c r="I12" s="39">
        <f>IFERROR(I11/I10,"")</f>
        <v>0.8166666666666668</v>
      </c>
      <c r="J12" s="39">
        <f>IFERROR(J11/J10,"")</f>
        <v>0.9121212121212121</v>
      </c>
      <c r="K12" s="39"/>
      <c r="L12" s="39">
        <f>IFERROR(L11/L10,"")</f>
        <v>0.9190909090909091</v>
      </c>
      <c r="M12" s="17"/>
    </row>
    <row r="13">
      <c r="B13" t="s" s="16">
        <v>154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7"/>
    </row>
    <row r="14">
      <c r="B14" t="s" s="14">
        <v>66</v>
      </c>
      <c r="C14" s="44">
        <f>Inputs!$C$78</f>
        <v>41.1</v>
      </c>
      <c r="D14" s="45">
        <v>124.710475</v>
      </c>
      <c r="E14" s="45">
        <v>66.673687</v>
      </c>
      <c r="F14" s="45">
        <v>88.074056</v>
      </c>
      <c r="G14" s="45">
        <v>54.722046</v>
      </c>
      <c r="H14" s="45">
        <v>48.81954</v>
      </c>
      <c r="I14" s="45">
        <v>20.800196</v>
      </c>
      <c r="J14" s="15">
        <f>MEDIAN(D14:I14)</f>
        <v>60.6978665</v>
      </c>
      <c r="K14" s="15"/>
      <c r="L14" s="45">
        <v>412</v>
      </c>
      <c r="M14" t="s" s="17">
        <v>195</v>
      </c>
    </row>
    <row r="15">
      <c r="B15" t="s" s="40">
        <v>63</v>
      </c>
      <c r="C15" s="43">
        <f>Inputs!$C$75</f>
        <v>4.8</v>
      </c>
      <c r="D15" s="18">
        <v>30.160456</v>
      </c>
      <c r="E15" s="18">
        <v>12.312475</v>
      </c>
      <c r="F15" s="18">
        <v>19.129096</v>
      </c>
      <c r="G15" s="18">
        <v>10.413936</v>
      </c>
      <c r="H15" s="18">
        <v>9.732608</v>
      </c>
      <c r="I15" s="18">
        <v>2.451429</v>
      </c>
      <c r="J15" s="6">
        <f>MEDIAN(D15:I15)</f>
        <v>11.3632055</v>
      </c>
      <c r="K15" s="6"/>
      <c r="L15" s="18">
        <v>84.2</v>
      </c>
      <c r="M15" t="s" s="17">
        <v>196</v>
      </c>
    </row>
    <row r="16">
      <c r="B16" t="s" s="40">
        <v>64</v>
      </c>
      <c r="C16" s="43">
        <f>Inputs!$C$76</f>
        <v>1.1</v>
      </c>
      <c r="D16" s="18">
        <v>2.150019</v>
      </c>
      <c r="E16" s="18">
        <v>4.261212</v>
      </c>
      <c r="F16" s="18">
        <v>2.04496</v>
      </c>
      <c r="G16" s="18">
        <v>3.30811</v>
      </c>
      <c r="H16" s="18">
        <v>1.786932</v>
      </c>
      <c r="I16" s="18">
        <v>1.048767</v>
      </c>
      <c r="J16" s="6">
        <f>MEDIAN(D16:I16)</f>
        <v>2.0974895</v>
      </c>
      <c r="K16" s="6"/>
      <c r="L16" s="18">
        <v>14.6</v>
      </c>
      <c r="M16" t="s" s="17">
        <v>197</v>
      </c>
    </row>
    <row r="17">
      <c r="B17" t="s" s="14">
        <v>155</v>
      </c>
      <c r="C17" s="15">
        <f>Inputs!$C$78+Inputs!$C$79+Inputs!$C$80+Inputs!$C$81</f>
        <v>20.300000000000004</v>
      </c>
      <c r="D17" s="45">
        <v>74.8</v>
      </c>
      <c r="E17" s="45">
        <v>39.2</v>
      </c>
      <c r="F17" s="45">
        <v>55</v>
      </c>
      <c r="G17" s="45">
        <v>32.1</v>
      </c>
      <c r="H17" s="45">
        <v>29.4</v>
      </c>
      <c r="I17" s="45">
        <v>13</v>
      </c>
      <c r="J17" s="15">
        <f>MEDIAN(D17:I17)</f>
        <v>35.650000000000006</v>
      </c>
      <c r="K17" s="15"/>
      <c r="L17" s="45">
        <v>246.6</v>
      </c>
      <c r="M17" t="s" s="17">
        <v>198</v>
      </c>
    </row>
    <row r="18">
      <c r="B18" t="s" s="3">
        <v>156</v>
      </c>
      <c r="C18" s="39">
        <f>Inputs!$C$83/Inputs!$C$78</f>
        <v>0.36739659367396604</v>
      </c>
      <c r="D18" s="39"/>
      <c r="E18" s="39"/>
      <c r="F18" s="39"/>
      <c r="G18" s="39"/>
      <c r="H18" s="39"/>
      <c r="I18" s="39"/>
      <c r="J18" s="39"/>
      <c r="K18" s="39"/>
      <c r="L18" s="39">
        <f>L19/L14</f>
        <v>0.5436893203883495</v>
      </c>
      <c r="M18" t="s" s="17">
        <v>199</v>
      </c>
    </row>
    <row r="19">
      <c r="B19" t="s" s="40">
        <v>71</v>
      </c>
      <c r="C19" s="43">
        <f>Inputs!$C$83</f>
        <v>15.100000000000005</v>
      </c>
      <c r="D19" s="6"/>
      <c r="E19" s="6"/>
      <c r="F19" s="6"/>
      <c r="G19" s="6"/>
      <c r="H19" s="6"/>
      <c r="I19" s="6"/>
      <c r="J19" s="6"/>
      <c r="K19" s="6"/>
      <c r="L19" s="18">
        <v>224</v>
      </c>
      <c r="M19" t="s" s="17">
        <v>200</v>
      </c>
    </row>
    <row r="20">
      <c r="B20" t="s" s="16">
        <v>157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37"/>
    </row>
    <row r="21">
      <c r="B21" t="s">
        <v>158</v>
      </c>
      <c r="C21" s="12">
        <f>C14/C11</f>
        <v>2.140625</v>
      </c>
      <c r="D21" s="12">
        <f>D14/D11</f>
        <v>2.0082202093397745</v>
      </c>
      <c r="E21" s="12">
        <f>E14/E11</f>
        <v>1.9725942899408286</v>
      </c>
      <c r="F21" s="12">
        <f>F14/F11</f>
        <v>1.9485410619469026</v>
      </c>
      <c r="G21" s="12">
        <f>G14/G11</f>
        <v>2.072804772727273</v>
      </c>
      <c r="H21" s="12">
        <f>H14/H11</f>
        <v>1.9606240963855424</v>
      </c>
      <c r="I21" s="12">
        <f>I14/I11</f>
        <v>2.1224689795918366</v>
      </c>
      <c r="J21" s="12">
        <f>MEDIAN(D21:I21)</f>
        <v>1.9904072496403016</v>
      </c>
      <c r="K21" s="12"/>
      <c r="L21" s="12">
        <f>L14/L11</f>
        <v>2.037586547972305</v>
      </c>
      <c r="M21" s="17"/>
    </row>
    <row r="22">
      <c r="B22" t="s">
        <v>159</v>
      </c>
      <c r="C22" s="12">
        <f>(C14-C15)/C11</f>
        <v>1.8906250000000002</v>
      </c>
      <c r="D22" s="12">
        <f>(D14-D15)/D11</f>
        <v>1.5225445893719807</v>
      </c>
      <c r="E22" s="12">
        <f>(E14-E15)/E11</f>
        <v>1.608319881656805</v>
      </c>
      <c r="F22" s="12">
        <f>(F14-F15)/F11</f>
        <v>1.5253309734513272</v>
      </c>
      <c r="G22" s="12">
        <f>(G14-G15)/G11</f>
        <v>1.6783375</v>
      </c>
      <c r="H22" s="12">
        <f>(H14-H15)/H11</f>
        <v>1.5697563052208838</v>
      </c>
      <c r="I22" s="12">
        <f>(I14-I15)/I11</f>
        <v>1.872323163265306</v>
      </c>
      <c r="J22" s="12">
        <f>MEDIAN(D22:I22)</f>
        <v>1.5890380934388444</v>
      </c>
      <c r="K22" s="12"/>
      <c r="L22" s="12">
        <f>(L14-L15)/L11</f>
        <v>1.6211671612265086</v>
      </c>
      <c r="M22" t="s" s="17">
        <v>201</v>
      </c>
    </row>
    <row r="23">
      <c r="B23" t="s">
        <v>160</v>
      </c>
      <c r="C23" s="12">
        <f>C17/C10</f>
        <v>0.8458333333333335</v>
      </c>
      <c r="D23" s="12">
        <f>D17/D10</f>
        <v>1.16875</v>
      </c>
      <c r="E23" s="12">
        <f>E17/E10</f>
        <v>1.088888888888889</v>
      </c>
      <c r="F23" s="12">
        <f>F17/F10</f>
        <v>1.1458333333333333</v>
      </c>
      <c r="G23" s="12">
        <f>G17/G10</f>
        <v>1.07</v>
      </c>
      <c r="H23" s="12">
        <f>H17/H10</f>
        <v>0.98</v>
      </c>
      <c r="I23" s="12">
        <f>I17/I10</f>
        <v>1.0833333333333333</v>
      </c>
      <c r="J23" s="12">
        <f>MEDIAN(D23:I23)</f>
        <v>1.0861111111111112</v>
      </c>
      <c r="K23" s="12"/>
      <c r="L23" s="12">
        <f>L17/L10</f>
        <v>1.1209090909090909</v>
      </c>
      <c r="M23" s="17"/>
    </row>
    <row r="24">
      <c r="B24" t="s">
        <v>161</v>
      </c>
      <c r="C24" s="12">
        <f>C17/C11</f>
        <v>1.057291666666667</v>
      </c>
      <c r="D24" s="12">
        <f>D17/D11</f>
        <v>1.2045088566827697</v>
      </c>
      <c r="E24" s="12">
        <f>E17/E11</f>
        <v>1.1597633136094676</v>
      </c>
      <c r="F24" s="12">
        <f>F17/F11</f>
        <v>1.2168141592920354</v>
      </c>
      <c r="G24" s="12">
        <f>G17/G11</f>
        <v>1.215909090909091</v>
      </c>
      <c r="H24" s="12">
        <f>H17/H11</f>
        <v>1.180722891566265</v>
      </c>
      <c r="I24" s="12">
        <f>I17/I11</f>
        <v>1.3265306122448979</v>
      </c>
      <c r="J24" s="12">
        <f>MEDIAN(D24:I24)</f>
        <v>1.2102089737959303</v>
      </c>
      <c r="K24" s="12"/>
      <c r="L24" s="12">
        <f>L17/L11</f>
        <v>1.2195845697329377</v>
      </c>
      <c r="M24" s="17"/>
    </row>
    <row r="25">
      <c r="B25" t="s" s="3">
        <v>162</v>
      </c>
      <c r="C25" s="39">
        <f>C17/C14</f>
        <v>0.4939172749391728</v>
      </c>
      <c r="D25" s="39">
        <f>D17/D14</f>
        <v>0.5997892318187386</v>
      </c>
      <c r="E25" s="39">
        <f>E17/E14</f>
        <v>0.5879380871797296</v>
      </c>
      <c r="F25" s="39">
        <f>F17/F14</f>
        <v>0.6244744763429539</v>
      </c>
      <c r="G25" s="39">
        <f>G17/G14</f>
        <v>0.5866008738050474</v>
      </c>
      <c r="H25" s="39">
        <f>H17/H14</f>
        <v>0.6022178824298631</v>
      </c>
      <c r="I25" s="39">
        <f>I17/I14</f>
        <v>0.624994110632419</v>
      </c>
      <c r="J25" s="39">
        <f>MEDIAN(D25:I25)</f>
        <v>0.6010035571243009</v>
      </c>
      <c r="K25" s="39"/>
      <c r="L25" s="39">
        <f>L17/L14</f>
        <v>0.5985436893203884</v>
      </c>
      <c r="M25" s="17"/>
    </row>
    <row r="26">
      <c r="B26" t="s" s="3">
        <v>163</v>
      </c>
      <c r="C26" s="39">
        <f>C17/(C14-C15)</f>
        <v>0.5592286501377411</v>
      </c>
      <c r="D26" s="39">
        <f>D17/(D14-D15)</f>
        <v>0.7911156527636445</v>
      </c>
      <c r="E26" s="39">
        <f>E17/(E14-E15)</f>
        <v>0.7211023919039922</v>
      </c>
      <c r="F26" s="39">
        <f>F17/(F14-F15)</f>
        <v>0.797737789680348</v>
      </c>
      <c r="G26" s="39">
        <f>G17/(G14-G15)</f>
        <v>0.7244723370055731</v>
      </c>
      <c r="H26" s="39">
        <f>H17/(H14-H15)</f>
        <v>0.7521695486358457</v>
      </c>
      <c r="I26" s="39">
        <f>I17/(I14-I15)</f>
        <v>0.7084944726803715</v>
      </c>
      <c r="J26" s="39">
        <f>MEDIAN(D26:I26)</f>
        <v>0.7383209428207094</v>
      </c>
      <c r="K26" s="39"/>
      <c r="L26" s="39">
        <f>L17/(L14-L15)</f>
        <v>0.7522879804758998</v>
      </c>
      <c r="M26" t="s" s="17">
        <v>202</v>
      </c>
    </row>
    <row r="27">
      <c r="B27" t="s">
        <v>164</v>
      </c>
      <c r="C27" s="10">
        <f>C16/C11*1000</f>
        <v>57.29166666666667</v>
      </c>
      <c r="D27" s="10">
        <f>D16/D11*1000</f>
        <v>34.621884057971016</v>
      </c>
      <c r="E27" s="10">
        <f>E16/E11*1000</f>
        <v>126.07136094674559</v>
      </c>
      <c r="F27" s="10">
        <f>F16/F11*1000</f>
        <v>45.2424778761062</v>
      </c>
      <c r="G27" s="10">
        <f>G16/G11*1000</f>
        <v>125.30719696969697</v>
      </c>
      <c r="H27" s="10">
        <f>H16/H11*1000</f>
        <v>71.7643373493976</v>
      </c>
      <c r="I27" s="10">
        <f>I16/I11*1000</f>
        <v>107.01704081632653</v>
      </c>
      <c r="J27" s="10">
        <f>MEDIAN(D27:I27)</f>
        <v>89.39068908286205</v>
      </c>
      <c r="K27" s="10"/>
      <c r="L27" s="10">
        <f>L16/L11*1000</f>
        <v>72.20573689416419</v>
      </c>
      <c r="M27" s="17"/>
    </row>
    <row r="28">
      <c r="B28" t="s">
        <v>165</v>
      </c>
      <c r="C28" s="46">
        <f>Inputs!$C$73</f>
        <v>0.061</v>
      </c>
      <c r="D28" s="25">
        <v>0.06374481174219525</v>
      </c>
      <c r="E28" s="25">
        <v>0.050278131355232</v>
      </c>
      <c r="F28" s="25">
        <v>0.0538691567674359</v>
      </c>
      <c r="G28" s="25">
        <v>0.0484819181366543</v>
      </c>
      <c r="H28" s="25">
        <v>0.05207312232268343</v>
      </c>
      <c r="I28" s="25">
        <v>0.04578930807760909</v>
      </c>
      <c r="J28" s="13">
        <f>MEDIAN(D28:I28)</f>
        <v>0.05117562683895771</v>
      </c>
      <c r="K28" s="13"/>
      <c r="L28" s="25">
        <v>0.05509122045293496</v>
      </c>
      <c r="M28" t="s" s="17">
        <v>203</v>
      </c>
    </row>
    <row r="29">
      <c r="B29" t="s">
        <v>60</v>
      </c>
      <c r="C29" s="47">
        <f>Inputs!$C$72</f>
        <v>1.42</v>
      </c>
      <c r="D29" s="24">
        <v>1.29</v>
      </c>
      <c r="E29" s="24">
        <v>1.34</v>
      </c>
      <c r="F29" s="24">
        <v>1.27</v>
      </c>
      <c r="G29" s="24">
        <v>1.32</v>
      </c>
      <c r="H29" s="24">
        <v>1.26</v>
      </c>
      <c r="I29" s="24">
        <v>1.24</v>
      </c>
      <c r="J29" s="12">
        <f>MEDIAN(D29:I29)</f>
        <v>1.28</v>
      </c>
      <c r="K29" s="12"/>
      <c r="L29" s="24">
        <v>1.3</v>
      </c>
      <c r="M29" t="s" s="17">
        <v>204</v>
      </c>
    </row>
    <row r="30">
      <c r="B30" t="s" s="16">
        <v>166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37"/>
    </row>
    <row r="31">
      <c r="B31" t="s" s="14">
        <v>167</v>
      </c>
      <c r="C31" s="15">
        <f>Inputs!$C$104*Inputs!$C$83</f>
        <v>226.50000000000009</v>
      </c>
      <c r="D31" s="45">
        <v>1365</v>
      </c>
      <c r="E31" s="45">
        <v>630</v>
      </c>
      <c r="F31" s="45">
        <v>925</v>
      </c>
      <c r="G31" s="45">
        <v>525</v>
      </c>
      <c r="H31" s="45">
        <v>465</v>
      </c>
      <c r="I31" s="45">
        <v>185</v>
      </c>
      <c r="J31" s="15">
        <f>MEDIAN(D31:I31)</f>
        <v>577.5</v>
      </c>
      <c r="K31" s="45">
        <v>791.5</v>
      </c>
      <c r="L31" s="15"/>
      <c r="M31" t="s" s="17">
        <v>205</v>
      </c>
    </row>
    <row r="32">
      <c r="B32" t="s">
        <v>168</v>
      </c>
      <c r="C32" s="12">
        <f>C31/C10</f>
        <v>9.437500000000004</v>
      </c>
      <c r="D32" s="12">
        <f>D31/D10</f>
        <v>21.328125</v>
      </c>
      <c r="E32" s="12">
        <f>E31/E10</f>
        <v>17.5</v>
      </c>
      <c r="F32" s="12">
        <f>F31/F10</f>
        <v>19.270833333333332</v>
      </c>
      <c r="G32" s="12">
        <f>G31/G10</f>
        <v>17.5</v>
      </c>
      <c r="H32" s="12">
        <f>H31/H10</f>
        <v>15.5</v>
      </c>
      <c r="I32" s="12">
        <f>I31/I10</f>
        <v>15.416666666666666</v>
      </c>
      <c r="J32" s="12">
        <f>MEDIAN(D32:I32)</f>
        <v>17.5</v>
      </c>
      <c r="K32" s="12">
        <f>K31/K10</f>
        <v>19.7875</v>
      </c>
      <c r="L32" s="12"/>
      <c r="M32" s="17"/>
    </row>
    <row r="33">
      <c r="B33" t="s">
        <v>169</v>
      </c>
      <c r="C33" s="12">
        <f>C31/C11</f>
        <v>11.796875000000005</v>
      </c>
      <c r="D33" s="12">
        <f>D31/D11</f>
        <v>21.980676328502415</v>
      </c>
      <c r="E33" s="12">
        <f>E31/E11</f>
        <v>18.639053254437872</v>
      </c>
      <c r="F33" s="12">
        <f>F31/F11</f>
        <v>20.464601769911503</v>
      </c>
      <c r="G33" s="12">
        <f>G31/G11</f>
        <v>19.886363636363637</v>
      </c>
      <c r="H33" s="12">
        <f>H31/H11</f>
        <v>18.674698795180724</v>
      </c>
      <c r="I33" s="12">
        <f>I31/I11</f>
        <v>18.877551020408163</v>
      </c>
      <c r="J33" s="12">
        <f>MEDIAN(D33:I33)</f>
        <v>19.3819573283859</v>
      </c>
      <c r="K33" s="12"/>
      <c r="L33" s="12"/>
      <c r="M33" s="17"/>
    </row>
    <row r="34">
      <c r="B34" t="s">
        <v>170</v>
      </c>
      <c r="C34" s="8">
        <f>C17/C31</f>
        <v>0.08962472406181014</v>
      </c>
      <c r="D34" s="8">
        <f>D17/D31</f>
        <v>0.0547985347985348</v>
      </c>
      <c r="E34" s="8">
        <f>E17/E31</f>
        <v>0.06222222222222223</v>
      </c>
      <c r="F34" s="8">
        <f>F17/F31</f>
        <v>0.05945945945945946</v>
      </c>
      <c r="G34" s="8">
        <f>G17/G31</f>
        <v>0.061142857142857145</v>
      </c>
      <c r="H34" s="8">
        <f>H17/H31</f>
        <v>0.0632258064516129</v>
      </c>
      <c r="I34" s="8">
        <f>I17/I31</f>
        <v>0.07027027027027027</v>
      </c>
      <c r="J34" s="8">
        <f>MEDIAN(D34:I34)</f>
        <v>0.061682539682539686</v>
      </c>
      <c r="K34" s="19">
        <v>0.058</v>
      </c>
      <c r="L34" s="8"/>
      <c r="M34" t="s" s="17">
        <v>206</v>
      </c>
    </row>
    <row r="35">
      <c r="B35" t="s">
        <v>171</v>
      </c>
      <c r="C35" s="8"/>
      <c r="D35" s="19">
        <v>0.055</v>
      </c>
      <c r="E35" s="19">
        <v>0.0625</v>
      </c>
      <c r="F35" s="19">
        <v>0.06</v>
      </c>
      <c r="G35" s="19">
        <v>0.0625</v>
      </c>
      <c r="H35" s="19">
        <v>0.065</v>
      </c>
      <c r="I35" s="19">
        <v>0.0725</v>
      </c>
      <c r="J35" s="8">
        <f>MEDIAN(D35:I35)</f>
        <v>0.0625</v>
      </c>
      <c r="K35" s="8"/>
      <c r="L35" s="8"/>
      <c r="M35" t="s" s="17">
        <v>207</v>
      </c>
    </row>
    <row r="36">
      <c r="B36" t="s">
        <v>172</v>
      </c>
      <c r="C36" s="92">
        <f>Inputs!$C$104</f>
        <v>15</v>
      </c>
      <c r="D36" s="93"/>
      <c r="E36" s="93"/>
      <c r="F36" s="93"/>
      <c r="G36" s="93"/>
      <c r="H36" s="93"/>
      <c r="I36" s="93"/>
      <c r="J36" s="93"/>
      <c r="K36" s="93"/>
      <c r="L36" s="92">
        <f>Inputs!$C$11</f>
        <v>18</v>
      </c>
      <c r="M36" t="s" s="17">
        <v>208</v>
      </c>
    </row>
    <row r="37">
      <c r="M37" s="17"/>
    </row>
    <row r="38">
      <c r="B38" t="s" s="16">
        <v>173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37"/>
    </row>
    <row r="39">
      <c r="B39" t="s" s="41">
        <v>174</v>
      </c>
      <c r="C39" t="s" s="42">
        <v>181</v>
      </c>
      <c r="D39" t="s" s="42">
        <v>183</v>
      </c>
      <c r="E39" t="s" s="42">
        <v>185</v>
      </c>
      <c r="F39" s="42"/>
      <c r="G39" s="42"/>
      <c r="H39" s="42"/>
      <c r="I39" s="42"/>
      <c r="J39" s="42"/>
      <c r="K39" s="42"/>
      <c r="L39" s="42"/>
      <c r="M39" s="50"/>
    </row>
    <row r="40">
      <c r="B40" t="s">
        <v>175</v>
      </c>
      <c r="C40" s="6">
        <f>(Inputs!$C$66*Inputs!$C$67+Inputs!$C$68*Inputs!$C$69)*12/1000</f>
        <v>34.74</v>
      </c>
      <c r="D40" s="43">
        <f>Inputs!$C$74</f>
        <v>34.7</v>
      </c>
      <c r="E40" s="6">
        <f>C40-D40</f>
        <v>0.03999999999999915</v>
      </c>
      <c r="F40" s="6"/>
      <c r="G40" s="6"/>
      <c r="H40" s="6"/>
      <c r="I40" s="6"/>
      <c r="J40" s="6"/>
      <c r="K40" s="6"/>
      <c r="L40" s="6"/>
      <c r="M40" s="17"/>
    </row>
    <row r="41">
      <c r="B41" t="s">
        <v>176</v>
      </c>
      <c r="C41" s="6">
        <f>Inputs!$C$65*Inputs!$C$71*8760*Inputs!$C$72*Inputs!$C$73/1000</f>
        <v>10.198153727999998</v>
      </c>
      <c r="D41" s="6">
        <f>-Inputs!$C$79</f>
        <v>10.2</v>
      </c>
      <c r="E41" s="6">
        <f>C41-D41</f>
        <v>-0.0018462720000016475</v>
      </c>
      <c r="F41" s="6"/>
      <c r="G41" s="6"/>
      <c r="H41" s="6"/>
      <c r="I41" s="6"/>
      <c r="J41" s="6"/>
      <c r="K41" s="6"/>
      <c r="L41" s="6"/>
      <c r="M41" s="17"/>
    </row>
    <row r="42">
      <c r="B42" t="s">
        <v>177</v>
      </c>
      <c r="C42" s="6">
        <f>Inputs!$C$66*Inputs!$C$71*8760*Inputs!$C$72*Inputs!$C$73/1000</f>
        <v>4.78038456</v>
      </c>
      <c r="D42" s="43">
        <f>Inputs!$C$75</f>
        <v>4.8</v>
      </c>
      <c r="E42" s="6">
        <f>C42-D42</f>
        <v>-0.01961543999999993</v>
      </c>
      <c r="F42" s="6"/>
      <c r="G42" s="6"/>
      <c r="H42" s="6"/>
      <c r="I42" s="6"/>
      <c r="J42" s="6"/>
      <c r="K42" s="6"/>
      <c r="L42" s="6"/>
      <c r="M42" s="17"/>
    </row>
    <row r="43">
      <c r="B43" t="s">
        <v>178</v>
      </c>
      <c r="C43" s="11">
        <f>Inputs!$C$69-Inputs!$C$71*Inputs!$C$72*Inputs!$C$73*8760/12</f>
        <v>140.73718</v>
      </c>
      <c r="D43" s="23">
        <v>152</v>
      </c>
      <c r="E43" s="11"/>
      <c r="F43" s="11"/>
      <c r="G43" s="11"/>
      <c r="H43" s="11"/>
      <c r="I43" s="11"/>
      <c r="J43" s="11"/>
      <c r="K43" s="11"/>
      <c r="L43" s="11"/>
      <c r="M43" t="s" s="17">
        <v>209</v>
      </c>
    </row>
    <row r="44">
      <c r="B44" t="s">
        <v>179</v>
      </c>
      <c r="C44" s="49">
        <f>Inputs!$C$67</f>
        <v>112</v>
      </c>
      <c r="D44" s="23">
        <v>112</v>
      </c>
      <c r="E44" s="11">
        <f>C44-D44</f>
        <v>0</v>
      </c>
      <c r="F44" s="11"/>
      <c r="G44" s="11"/>
      <c r="H44" s="11"/>
      <c r="I44" s="11"/>
      <c r="J44" s="11"/>
      <c r="K44" s="11"/>
      <c r="L44" s="11"/>
      <c r="M44" t="s" s="17">
        <v>210</v>
      </c>
    </row>
  </sheetData>
  <pageMargins left="0.7" right="0.7" top="0.75" bottom="0.75" header="0.3" footer="0.3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0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3" width="20.9296875" customWidth="1"/>
    <col min="4" max="4" width="30.359375" customWidth="1"/>
    <col min="5" max="5" width="13.64453125" customWidth="1"/>
    <col min="6" max="6" width="47.50390625" customWidth="1"/>
    <col min="7" max="9" width="13.64453125" customWidth="1"/>
    <col min="10" max="10" width="11.359375" customWidth="1"/>
  </cols>
  <sheetData>
    <row r="2">
      <c r="B2" t="s" s="2">
        <v>645</v>
      </c>
    </row>
    <row r="3">
      <c r="B3" t="str" s="38">
        <f>"Takeaway: run-rate synergies of "&amp;TEXT(E60,"$0.0")&amp;"M ("&amp;TEXT(C187,"0%")&amp;" of LTM EBITDA) before cross-sell: G&amp;A "&amp;TEXT(E22,"$0.0")&amp;"M net ("&amp;TEXT(E20,"$0.0")&amp;"M across "&amp;TEXT(C20,"0")&amp;" roles and six cost lines, less "&amp;TEXT(-E21,"$0.0")&amp;"M of platform adds), power "&amp;TEXT(E27,"$0.0")&amp;"M, site contracts "&amp;TEXT(E49,"$0.0")&amp;"M, interconnection "&amp;TEXT(E32,"$0.0")&amp;"M. With cross-sell, "&amp;TEXT(J60,"$0.0")&amp;"M by FY30. Costs to achieve of "&amp;TEXT(-(E61+E62),"$0.0")&amp;"M ("&amp;TEXT(C190,"0.00x")&amp;" run-rate cost synergies) leave net synergies of "&amp;TEXT(H63,"$0.0;($0.0)")&amp;"M in FY28 and "&amp;TEXT(I63,"$0.0")&amp;"M in FY29."</f>
        <v>Takeaway: run-rate synergies of $5.9M (39% of LTM EBITDA) before cross-sell: G&amp;A $4.1M net ($5.2M across 13 roles and six cost lines, less $1.1M of platform adds), power $1.0M, site contracts $0.6M, interconnection $0.3M. With cross-sell, $7.7M by FY30. Costs to achieve of $4.4M (0.79x run-rate cost synergies) leave net synergies of ($0.7)M in FY28 and $6.2M in FY29.</v>
      </c>
    </row>
    <row r="4">
      <c r="B4" t="str" s="4">
        <f>"Power reaches EBITDA only on the 10.2 MW of bundled colocation: the wholesale saving passes to tenants at cost, as on Voltaic's own leases. Lariat's utility rate escalates "&amp;TEXT(Inputs!C102,"0.0%")&amp;" a year against the "&amp;TEXT(Inputs!C100,"0.00%")&amp;" rent escalator, and the saving holds at "&amp;TEXT(C92,"0.0%")&amp;" of the escalated rate. Phasing 50% in FY28 and 100% from FY29."</f>
        <v>Power reaches EBITDA only on the 10.2 MW of bundled colocation: the wholesale saving passes to tenants at cost, as on Voltaic's own leases. Lariat's utility rate escalates 3.0% a year against the 2.75% rent escalator, and the saving holds at 17.6% of the escalated rate. Phasing 50% in FY28 and 100% from FY29.</v>
      </c>
    </row>
    <row r="5">
      <c r="B5" t="s" s="4">
        <v>778</v>
      </c>
    </row>
    <row r="6">
      <c r="J6" s="17"/>
    </row>
    <row r="7" s="16" customFormat="1">
      <c r="B7" t="s" s="16">
        <v>712</v>
      </c>
      <c r="J7" s="36"/>
    </row>
    <row r="8">
      <c r="B8" t="s" s="4">
        <v>713</v>
      </c>
      <c r="J8" s="17"/>
    </row>
    <row r="9">
      <c r="B9" t="s" s="106">
        <v>714</v>
      </c>
      <c r="C9" t="s" s="107">
        <v>740</v>
      </c>
      <c r="D9" t="s" s="107">
        <v>741</v>
      </c>
      <c r="E9" t="s" s="107">
        <v>327</v>
      </c>
      <c r="F9" t="s" s="109">
        <v>742</v>
      </c>
      <c r="G9" s="108">
        <v>46752</v>
      </c>
      <c r="H9" s="108">
        <v>47118</v>
      </c>
      <c r="I9" s="108">
        <v>47483</v>
      </c>
      <c r="J9" s="108">
        <v>47848</v>
      </c>
    </row>
    <row r="10">
      <c r="B10" t="s" s="110">
        <v>305</v>
      </c>
      <c r="C10" s="111"/>
      <c r="D10" s="111"/>
      <c r="E10" s="111"/>
      <c r="F10" s="112"/>
      <c r="G10" s="111"/>
      <c r="H10" s="111"/>
      <c r="I10" s="111"/>
      <c r="J10" s="111"/>
    </row>
    <row r="11" ht="38.25" customHeight="1">
      <c r="B11" t="s" s="113">
        <v>235</v>
      </c>
      <c r="C11" s="114">
        <v>3</v>
      </c>
      <c r="D11" s="115">
        <f>C104/C11*1000</f>
        <v>633.3333333333333</v>
      </c>
      <c r="E11" s="116">
        <f>C11*D11/1000</f>
        <v>1.8999999999999997</v>
      </c>
      <c r="F11" t="s" s="112">
        <v>743</v>
      </c>
      <c r="G11" s="116">
        <f>$E11*G$52*G$53</f>
        <v>0</v>
      </c>
      <c r="H11" s="116">
        <f>$E11*H$52*H$53</f>
        <v>0.9499999999999998</v>
      </c>
      <c r="I11" s="116">
        <f>$E11*I$52*I$53</f>
        <v>1.8999999999999997</v>
      </c>
      <c r="J11" s="116">
        <f>$E11*J$52*J$53</f>
        <v>1.8999999999999997</v>
      </c>
    </row>
    <row r="12" ht="38.25" customHeight="1">
      <c r="B12" t="s" s="113">
        <v>236</v>
      </c>
      <c r="C12" s="114">
        <v>6</v>
      </c>
      <c r="D12" s="115">
        <f>C105/C12*1000</f>
        <v>150</v>
      </c>
      <c r="E12" s="116">
        <f>C12*D12/1000</f>
        <v>0.9</v>
      </c>
      <c r="F12" t="s" s="112">
        <v>744</v>
      </c>
      <c r="G12" s="116">
        <f>$E12*G$52*G$53</f>
        <v>0</v>
      </c>
      <c r="H12" s="116">
        <f>$E12*H$52*H$53</f>
        <v>0.45</v>
      </c>
      <c r="I12" s="116">
        <f>$E12*I$52*I$53</f>
        <v>0.9</v>
      </c>
      <c r="J12" s="116">
        <f>$E12*J$52*J$53</f>
        <v>0.9</v>
      </c>
    </row>
    <row r="13" ht="38.25" customHeight="1">
      <c r="B13" t="s" s="113">
        <v>237</v>
      </c>
      <c r="C13" s="114">
        <v>4</v>
      </c>
      <c r="D13" s="115">
        <f>C106/C13*1000</f>
        <v>200</v>
      </c>
      <c r="E13" s="116">
        <f>C13*D13/1000</f>
        <v>0.8</v>
      </c>
      <c r="F13" t="s" s="112">
        <v>745</v>
      </c>
      <c r="G13" s="116">
        <f>$E13*G$52*G$53</f>
        <v>0</v>
      </c>
      <c r="H13" s="116">
        <f>$E13*H$52*H$53</f>
        <v>0.4</v>
      </c>
      <c r="I13" s="116">
        <f>$E13*I$52*I$53</f>
        <v>0.8</v>
      </c>
      <c r="J13" s="116">
        <f>$E13*J$52*J$53</f>
        <v>0.8</v>
      </c>
    </row>
    <row r="14" ht="25.5" customHeight="1">
      <c r="B14" t="s" s="113">
        <v>238</v>
      </c>
      <c r="C14" s="117">
        <v>1</v>
      </c>
      <c r="D14" s="118">
        <f>C107/C14*1000</f>
        <v>400</v>
      </c>
      <c r="E14" s="116">
        <f>C14*D14/1000</f>
        <v>0.4</v>
      </c>
      <c r="F14" t="s" s="112">
        <v>746</v>
      </c>
      <c r="G14" s="116">
        <f>$E14*G$52*G$53</f>
        <v>0</v>
      </c>
      <c r="H14" s="116">
        <f>$E14*H$52*H$53</f>
        <v>0.2</v>
      </c>
      <c r="I14" s="116">
        <f>$E14*I$52*I$53</f>
        <v>0.4</v>
      </c>
      <c r="J14" s="116">
        <f>$E14*J$52*J$53</f>
        <v>0.4</v>
      </c>
    </row>
    <row r="15">
      <c r="B15" t="s" s="113">
        <v>239</v>
      </c>
      <c r="C15" s="119">
        <v>1</v>
      </c>
      <c r="D15" s="118">
        <f>C108/C15*1000</f>
        <v>200</v>
      </c>
      <c r="E15" s="116">
        <f>C15*D15/1000</f>
        <v>0.2</v>
      </c>
      <c r="F15" t="s" s="112">
        <v>747</v>
      </c>
      <c r="G15" s="116">
        <f>$E15*G$52*G$53</f>
        <v>0</v>
      </c>
      <c r="H15" s="116">
        <f>$E15*H$52*H$53</f>
        <v>0.1</v>
      </c>
      <c r="I15" s="116">
        <f>$E15*I$52*I$53</f>
        <v>0.2</v>
      </c>
      <c r="J15" s="116">
        <f>$E15*J$52*J$53</f>
        <v>0.2</v>
      </c>
    </row>
    <row r="16" ht="25.5" customHeight="1">
      <c r="B16" t="s" s="113">
        <v>240</v>
      </c>
      <c r="C16" s="119">
        <v>1</v>
      </c>
      <c r="D16" s="118">
        <f>C109/C16*1000</f>
        <v>400</v>
      </c>
      <c r="E16" s="116">
        <f>C16*D16/1000</f>
        <v>0.4</v>
      </c>
      <c r="F16" t="s" s="112">
        <v>748</v>
      </c>
      <c r="G16" s="116">
        <f>$E16*G$52*G$53</f>
        <v>0</v>
      </c>
      <c r="H16" s="116">
        <f>$E16*H$52*H$53</f>
        <v>0.2</v>
      </c>
      <c r="I16" s="116">
        <f>$E16*I$52*I$53</f>
        <v>0.4</v>
      </c>
      <c r="J16" s="116">
        <f>$E16*J$52*J$53</f>
        <v>0.4</v>
      </c>
    </row>
    <row r="17" ht="25.5" customHeight="1">
      <c r="B17" t="s" s="113">
        <v>241</v>
      </c>
      <c r="C17" s="120">
        <v>1</v>
      </c>
      <c r="D17" s="118">
        <f>C110/C17*1000</f>
        <v>300</v>
      </c>
      <c r="E17" s="116">
        <f>C17*D17/1000</f>
        <v>0.3</v>
      </c>
      <c r="F17" t="s" s="112">
        <v>749</v>
      </c>
      <c r="G17" s="116">
        <f>$E17*G$52*G$53</f>
        <v>0</v>
      </c>
      <c r="H17" s="116">
        <f>$E17*H$52*H$53</f>
        <v>0.15</v>
      </c>
      <c r="I17" s="116">
        <f>$E17*I$52*I$53</f>
        <v>0.3</v>
      </c>
      <c r="J17" s="116">
        <f>$E17*J$52*J$53</f>
        <v>0.3</v>
      </c>
    </row>
    <row r="18" ht="25.5" customHeight="1">
      <c r="B18" t="s" s="113">
        <v>242</v>
      </c>
      <c r="C18" s="121">
        <v>1</v>
      </c>
      <c r="D18" s="118">
        <f>C111/C18*1000</f>
        <v>200</v>
      </c>
      <c r="E18" s="116">
        <f>C18*D18/1000</f>
        <v>0.2</v>
      </c>
      <c r="F18" t="s" s="112">
        <v>750</v>
      </c>
      <c r="G18" s="116">
        <f>$E18*G$52*G$53</f>
        <v>0</v>
      </c>
      <c r="H18" s="116">
        <f>$E18*H$52*H$53</f>
        <v>0.1</v>
      </c>
      <c r="I18" s="116">
        <f>$E18*I$52*I$53</f>
        <v>0.2</v>
      </c>
      <c r="J18" s="116">
        <f>$E18*J$52*J$53</f>
        <v>0.2</v>
      </c>
    </row>
    <row r="19">
      <c r="B19" t="s" s="113">
        <v>243</v>
      </c>
      <c r="C19" s="119">
        <v>1</v>
      </c>
      <c r="D19" s="118">
        <f>C112/C19*1000</f>
        <v>100</v>
      </c>
      <c r="E19" s="116">
        <f>C19*D19/1000</f>
        <v>0.1</v>
      </c>
      <c r="F19" t="s" s="112">
        <v>747</v>
      </c>
      <c r="G19" s="116">
        <f>$E19*G$52*G$53</f>
        <v>0</v>
      </c>
      <c r="H19" s="116">
        <f>$E19*H$52*H$53</f>
        <v>0.05</v>
      </c>
      <c r="I19" s="116">
        <f>$E19*I$52*I$53</f>
        <v>0.1</v>
      </c>
      <c r="J19" s="116">
        <f>$E19*J$52*J$53</f>
        <v>0.1</v>
      </c>
    </row>
    <row r="20">
      <c r="B20" t="s" s="122">
        <v>715</v>
      </c>
      <c r="C20" s="123">
        <f>SUM(C11:C13)</f>
        <v>13</v>
      </c>
      <c r="D20" s="124"/>
      <c r="E20" s="125">
        <f>SUM(E11:E19)</f>
        <v>5.199999999999999</v>
      </c>
      <c r="F20" t="s" s="126">
        <v>751</v>
      </c>
      <c r="G20" s="125">
        <f>SUM(G11:G19)</f>
        <v>0</v>
      </c>
      <c r="H20" s="125">
        <f>SUM(H11:H19)</f>
        <v>2.5999999999999996</v>
      </c>
      <c r="I20" s="125">
        <f>SUM(I11:I19)</f>
        <v>5.199999999999999</v>
      </c>
      <c r="J20" s="125">
        <f>SUM(J11:J19)</f>
        <v>5.199999999999999</v>
      </c>
    </row>
    <row r="21" ht="63.75" customHeight="1">
      <c r="B21" t="s" s="113">
        <v>716</v>
      </c>
      <c r="C21" s="127">
        <f>Inputs!$C$64</f>
        <v>24</v>
      </c>
      <c r="D21" s="128">
        <f>-SUMPRODUCT($F$104:$F$112,$G$104:$G$112)</f>
        <v>-44.81012658227848</v>
      </c>
      <c r="E21" s="116">
        <f>C21*D21/1000</f>
        <v>-1.0754430379746833</v>
      </c>
      <c r="F21" t="s" s="112">
        <v>752</v>
      </c>
      <c r="G21" s="116">
        <f>$E21*G$52*G$53</f>
        <v>0</v>
      </c>
      <c r="H21" s="116">
        <f>$E21*H$52*H$53</f>
        <v>-0.5377215189873417</v>
      </c>
      <c r="I21" s="116">
        <f>$E21*I$52*I$53</f>
        <v>-1.0754430379746833</v>
      </c>
      <c r="J21" s="116">
        <f>$E21*J$52*J$53</f>
        <v>-1.0754430379746833</v>
      </c>
    </row>
    <row r="22">
      <c r="B22" t="s" s="129">
        <v>717</v>
      </c>
      <c r="C22" s="130"/>
      <c r="D22" s="130"/>
      <c r="E22" s="131">
        <f>E20+E21</f>
        <v>4.124556962025316</v>
      </c>
      <c r="F22" s="126"/>
      <c r="G22" s="131">
        <f>G20+G21</f>
        <v>0</v>
      </c>
      <c r="H22" s="131">
        <f>H20+H21</f>
        <v>2.062278481012658</v>
      </c>
      <c r="I22" s="131">
        <f>I20+I21</f>
        <v>4.124556962025316</v>
      </c>
      <c r="J22" s="131">
        <f>J20+J21</f>
        <v>4.124556962025316</v>
      </c>
    </row>
    <row r="23">
      <c r="B23" s="132"/>
      <c r="C23" s="111"/>
      <c r="D23" s="111"/>
      <c r="E23" s="111"/>
      <c r="F23" s="112"/>
      <c r="G23" s="111"/>
      <c r="H23" s="111"/>
      <c r="I23" s="111"/>
      <c r="J23" s="111"/>
    </row>
    <row r="24">
      <c r="B24" t="s" s="110">
        <v>304</v>
      </c>
      <c r="C24" s="111"/>
      <c r="D24" s="111"/>
      <c r="E24" s="111"/>
      <c r="F24" s="112"/>
      <c r="G24" s="111"/>
      <c r="H24" s="111"/>
      <c r="I24" s="111"/>
      <c r="J24" s="111"/>
    </row>
    <row r="25" ht="51" customHeight="1">
      <c r="B25" t="s" s="113">
        <v>718</v>
      </c>
      <c r="C25" s="133">
        <f>(C94+C95)*1000</f>
        <v>167182.84799999997</v>
      </c>
      <c r="D25" s="134">
        <f>C91*1000</f>
        <v>10.721868644767998</v>
      </c>
      <c r="E25" s="116">
        <f>C25*D25/10^6</f>
        <v>1.7925125359142138</v>
      </c>
      <c r="F25" t="str" s="112">
        <f>TEXT(Inputs!C65,"0.0")&amp;" MW leased × "&amp;TEXT(Inputs!C71,"0%")&amp;" load × PUE "&amp;TEXT(Inputs!C72,"0.00")&amp;" × 8,760 h. Gap = Lariat "&amp;TEXT(C89,"$0.0000")&amp;" less DFW I "&amp;TEXT(C90,"$0.0000")&amp;" per kWh (3.07 Power Analysis FY25, G5); both on Oncor delivery"</f>
        <v>19.2 MW leased × 70% load × PUE 1.42 × 8,760 h. Gap = Lariat $0.0610 less DFW I $0.0503 per kWh (3.07 Power Analysis FY25, G5); both on Oncor delivery</v>
      </c>
      <c r="G25" s="116">
        <f>$E25*G$52*G$53*G$54</f>
        <v>0</v>
      </c>
      <c r="H25" s="116">
        <f>$E25*H$52*H$53*H$54</f>
        <v>0.9231439559958201</v>
      </c>
      <c r="I25" s="116">
        <f>$E25*I$52*I$53*I$54</f>
        <v>1.9016765493513894</v>
      </c>
      <c r="J25" s="116">
        <f>$E25*J$52*J$53*J$54</f>
        <v>1.9587268458319311</v>
      </c>
    </row>
    <row r="26" ht="25.5" customHeight="1">
      <c r="B26" t="s" s="113">
        <v>719</v>
      </c>
      <c r="C26" s="133">
        <f>C95*1000</f>
        <v>78366.95999999999</v>
      </c>
      <c r="D26" s="135">
        <f>-C91*1000*(1-C98)</f>
        <v>-10.721868644767998</v>
      </c>
      <c r="E26" s="116">
        <f>C26*D26/10^6</f>
        <v>-0.8402402512097877</v>
      </c>
      <c r="F26" t="str" s="112">
        <f>"Wholesale "&amp;TEXT(Inputs!C66,"0.0")&amp;" MW is NNN with power passed through at cost (4.04 s.4); share of the gap kept "&amp;TEXT(C98,"0%")</f>
        <v>Wholesale 9.0 MW is NNN with power passed through at cost (4.04 s.4); share of the gap kept 0%</v>
      </c>
      <c r="G26" s="116">
        <f>$E26*G$52*G$53*G$54</f>
        <v>0</v>
      </c>
      <c r="H26" s="116">
        <f>$E26*H$52*H$53*H$54</f>
        <v>-0.4327237293730407</v>
      </c>
      <c r="I26" s="116">
        <f>$E26*I$52*I$53*I$54</f>
        <v>-0.8914108825084638</v>
      </c>
      <c r="J26" s="116">
        <f>$E26*J$52*J$53*J$54</f>
        <v>-0.9181532089837178</v>
      </c>
    </row>
    <row r="27" ht="51" customHeight="1">
      <c r="B27" t="s" s="129">
        <v>720</v>
      </c>
      <c r="C27" s="130"/>
      <c r="D27" s="130"/>
      <c r="E27" s="131">
        <f>E25+E26</f>
        <v>0.952272284704426</v>
      </c>
      <c r="F27" t="s" s="126">
        <v>753</v>
      </c>
      <c r="G27" s="131">
        <f>G25+G26</f>
        <v>0</v>
      </c>
      <c r="H27" s="131">
        <f>H25+H26</f>
        <v>0.4904202266227794</v>
      </c>
      <c r="I27" s="131">
        <f>I25+I26</f>
        <v>1.0102656668429257</v>
      </c>
      <c r="J27" s="131">
        <f>J25+J26</f>
        <v>1.0405736368482135</v>
      </c>
    </row>
    <row r="28">
      <c r="B28" s="132"/>
      <c r="C28" s="111"/>
      <c r="D28" s="111"/>
      <c r="E28" s="111"/>
      <c r="F28" s="112"/>
      <c r="G28" s="111"/>
      <c r="H28" s="111"/>
      <c r="I28" s="111"/>
      <c r="J28" s="111"/>
    </row>
    <row r="29">
      <c r="B29" t="s" s="110">
        <v>307</v>
      </c>
      <c r="C29" s="111"/>
      <c r="D29" s="111"/>
      <c r="E29" s="111"/>
      <c r="F29" s="112"/>
      <c r="G29" s="111"/>
      <c r="H29" s="111"/>
      <c r="I29" s="111"/>
      <c r="J29" s="111"/>
    </row>
    <row r="30" ht="38.25" customHeight="1">
      <c r="B30" t="s" s="113">
        <v>721</v>
      </c>
      <c r="C30" s="136">
        <f>C127*C128</f>
        <v>62</v>
      </c>
      <c r="D30" s="137">
        <f>C131*12</f>
        <v>6630</v>
      </c>
      <c r="E30" s="116">
        <f>C30*D30/10^6</f>
        <v>0.41106</v>
      </c>
      <c r="F30" t="str" s="112">
        <f>TEXT(C127,"0")&amp;" tenants × "&amp;TEXT(C128,"0")&amp;" ties each (assumption); $"&amp;TEXT(C129,"0")&amp;"/mo inter-building fee + "&amp;TEXT(C130,"0%")&amp;" diverse-path premium (4.04 p.2 s.3) = "&amp;TEXT(C131,"$0.00")&amp;"/mo × 12. Install fees left out"</f>
        <v>31 tenants × 2 ties each (assumption); $425/mo inter-building fee + 30% diverse-path premium (4.04 p.2 s.3) = $552.50/mo × 12. Install fees left out</v>
      </c>
      <c r="G30" s="116">
        <f>$E30*G$52*G$53</f>
        <v>0</v>
      </c>
      <c r="H30" s="116">
        <f>$E30*H$52*H$53</f>
        <v>0.20553</v>
      </c>
      <c r="I30" s="116">
        <f>$E30*I$52*I$53</f>
        <v>0.41106</v>
      </c>
      <c r="J30" s="116">
        <f>$E30*J$52*J$53</f>
        <v>0.41106</v>
      </c>
    </row>
    <row r="31" ht="25.5" customHeight="1">
      <c r="B31" t="s" s="113">
        <v>722</v>
      </c>
      <c r="C31" s="138">
        <v>1</v>
      </c>
      <c r="D31" s="139">
        <f>-C135*C136</f>
        <v>-0.15</v>
      </c>
      <c r="E31" s="116">
        <f>C31*D31</f>
        <v>-0.15</v>
      </c>
      <c r="F31" t="str" s="112">
        <f>"Assumption: one 16-mile pair at "&amp;TEXT(C136,"0%")&amp;" of the "&amp;TEXT(C135,"$0.0")&amp;"M Bluebonnet DFW I metro ring spend (9.05, D23)"</f>
        <v>Assumption: one 16-mile pair at 50% of the $0.3M Bluebonnet DFW I metro ring spend (9.05, D23)</v>
      </c>
      <c r="G31" s="116">
        <f>$E31*G$52*G$53</f>
        <v>0</v>
      </c>
      <c r="H31" s="116">
        <f>$E31*H$52*H$53</f>
        <v>-0.075</v>
      </c>
      <c r="I31" s="116">
        <f>$E31*I$52*I$53</f>
        <v>-0.15</v>
      </c>
      <c r="J31" s="116">
        <f>$E31*J$52*J$53</f>
        <v>-0.15</v>
      </c>
    </row>
    <row r="32">
      <c r="B32" t="s" s="129">
        <v>723</v>
      </c>
      <c r="C32" s="130"/>
      <c r="D32" s="130"/>
      <c r="E32" s="131">
        <f>E30+E31</f>
        <v>0.26105999999999996</v>
      </c>
      <c r="F32" s="126"/>
      <c r="G32" s="131">
        <f>G30+G31</f>
        <v>0</v>
      </c>
      <c r="H32" s="131">
        <f>H30+H31</f>
        <v>0.13052999999999998</v>
      </c>
      <c r="I32" s="131">
        <f>I30+I31</f>
        <v>0.26105999999999996</v>
      </c>
      <c r="J32" s="131">
        <f>J30+J31</f>
        <v>0.26105999999999996</v>
      </c>
    </row>
    <row r="33" ht="25.5" customHeight="1">
      <c r="B33" t="s" s="140">
        <v>724</v>
      </c>
      <c r="C33" s="141"/>
      <c r="D33" s="142">
        <f>C122</f>
        <v>57.29166666666667</v>
      </c>
      <c r="E33" s="141"/>
      <c r="F33" t="s" s="112">
        <v>754</v>
      </c>
      <c r="G33" s="141"/>
      <c r="H33" s="141"/>
      <c r="I33" s="141"/>
      <c r="J33" s="141"/>
    </row>
    <row r="34">
      <c r="B34" t="s" s="140">
        <v>725</v>
      </c>
      <c r="C34" s="141"/>
      <c r="D34" s="142">
        <f>C133</f>
        <v>78.70104166666667</v>
      </c>
      <c r="E34" s="141"/>
      <c r="F34" t="str" s="112">
        <f>"Closes "&amp;TEXT(C134,"0%")&amp;" of the gap to DFW I"</f>
        <v>Closes 31% of the gap to DFW I</v>
      </c>
      <c r="G34" s="141"/>
      <c r="H34" s="141"/>
      <c r="I34" s="141"/>
      <c r="J34" s="141"/>
    </row>
    <row r="35" ht="25.5" customHeight="1">
      <c r="B35" t="s" s="140">
        <v>726</v>
      </c>
      <c r="C35" s="141"/>
      <c r="D35" s="142">
        <f>C125</f>
        <v>126.07136094674559</v>
      </c>
      <c r="E35" s="141"/>
      <c r="F35" t="s" s="112">
        <v>755</v>
      </c>
      <c r="G35" s="141"/>
      <c r="H35" s="141"/>
      <c r="I35" s="141"/>
      <c r="J35" s="141"/>
    </row>
    <row r="36">
      <c r="B36" s="132"/>
      <c r="C36" s="111"/>
      <c r="D36" s="111"/>
      <c r="E36" s="111"/>
      <c r="F36" s="112"/>
      <c r="G36" s="111"/>
      <c r="H36" s="111"/>
      <c r="I36" s="111"/>
      <c r="J36" s="111"/>
    </row>
    <row r="37">
      <c r="B37" t="s" s="110">
        <v>727</v>
      </c>
      <c r="C37" s="111"/>
      <c r="D37" s="111"/>
      <c r="E37" s="111"/>
      <c r="F37" s="112"/>
      <c r="G37" s="111"/>
      <c r="H37" s="111"/>
      <c r="I37" s="111"/>
      <c r="J37" s="111"/>
    </row>
    <row r="38" ht="25.5" customHeight="1">
      <c r="B38" t="s" s="113">
        <v>728</v>
      </c>
      <c r="C38" s="143">
        <f>C144</f>
        <v>2.4</v>
      </c>
      <c r="D38" s="144">
        <f>C147*12/1000</f>
        <v>1.464</v>
      </c>
      <c r="E38" s="116">
        <f>C38*D38</f>
        <v>3.5136</v>
      </c>
      <c r="F38" t="str" s="112">
        <f>TEXT(C144,"0.0")&amp;" MW active DFW I pipeline (4.03 Summary C18) × $"&amp;TEXT(C147,"0")&amp;"/kW/mo DFW 1-3 MW low end (4.04 p.1 s.1) × 12"</f>
        <v>2.4 MW active DFW I pipeline (4.03 Summary C18) × $122/kW/mo DFW 1-3 MW low end (4.04 p.1 s.1) × 12</v>
      </c>
      <c r="G38" s="116"/>
      <c r="H38" s="116"/>
      <c r="I38" s="116"/>
      <c r="J38" s="116"/>
    </row>
    <row r="39" ht="25.5" customHeight="1">
      <c r="B39" t="s" s="113">
        <v>729</v>
      </c>
      <c r="C39" s="145">
        <f>E38</f>
        <v>3.5136</v>
      </c>
      <c r="D39" s="146">
        <f>C146</f>
        <v>0.25</v>
      </c>
      <c r="E39" s="116">
        <f>C39*D39</f>
        <v>0.8784</v>
      </c>
      <c r="F39" t="s" s="112">
        <v>756</v>
      </c>
      <c r="G39" s="116"/>
      <c r="H39" s="116"/>
      <c r="I39" s="116"/>
      <c r="J39" s="116"/>
    </row>
    <row r="40" ht="38.25" customHeight="1">
      <c r="B40" t="s" s="113">
        <v>730</v>
      </c>
      <c r="C40" s="145">
        <f>E39</f>
        <v>0.8784</v>
      </c>
      <c r="D40" s="147">
        <f>C152</f>
        <v>0.9</v>
      </c>
      <c r="E40" s="116">
        <f>C40*D40</f>
        <v>0.7905599999999999</v>
      </c>
      <c r="F40" t="s" s="112">
        <v>757</v>
      </c>
      <c r="G40" s="116"/>
      <c r="H40" s="116"/>
      <c r="I40" s="116"/>
      <c r="J40" s="116"/>
    </row>
    <row r="41" ht="38.25" customHeight="1">
      <c r="B41" t="s" s="113">
        <v>731</v>
      </c>
      <c r="C41" s="111"/>
      <c r="D41" s="111"/>
      <c r="E41" s="111"/>
      <c r="F41" t="s" s="112">
        <v>758</v>
      </c>
      <c r="G41" s="148">
        <f>C150</f>
        <v>0</v>
      </c>
      <c r="H41" s="148">
        <f>D150</f>
        <v>0.15</v>
      </c>
      <c r="I41" s="148">
        <f>E150</f>
        <v>0.6</v>
      </c>
      <c r="J41" s="148">
        <f>F150</f>
        <v>1.2</v>
      </c>
    </row>
    <row r="42" ht="25.5" customHeight="1">
      <c r="B42" t="s" s="113">
        <v>732</v>
      </c>
      <c r="C42" s="111"/>
      <c r="D42" s="111"/>
      <c r="E42" s="111"/>
      <c r="F42" t="s" s="112">
        <v>759</v>
      </c>
      <c r="G42" s="116">
        <f>G41*$D$38*C$69*$D$40</f>
        <v>0</v>
      </c>
      <c r="H42" s="116">
        <f>H41*$D$38*D$69*$D$40</f>
        <v>0.2030751</v>
      </c>
      <c r="I42" s="116">
        <f>I41*$D$38*E$69*$D$40</f>
        <v>0.8346386610000001</v>
      </c>
      <c r="J42" s="116">
        <f>J41*$D$38*F$69*$D$40</f>
        <v>1.7151824483550002</v>
      </c>
    </row>
    <row r="43">
      <c r="B43" s="132"/>
      <c r="C43" s="111"/>
      <c r="D43" s="111"/>
      <c r="E43" s="111"/>
      <c r="F43" s="112"/>
      <c r="G43" s="111"/>
      <c r="H43" s="111"/>
      <c r="I43" s="111"/>
      <c r="J43" s="111"/>
    </row>
    <row r="44">
      <c r="B44" t="s" s="110">
        <v>733</v>
      </c>
      <c r="C44" s="111"/>
      <c r="D44" s="111"/>
      <c r="E44" s="111"/>
      <c r="F44" s="112"/>
      <c r="G44" s="111"/>
      <c r="H44" s="111"/>
      <c r="I44" s="111"/>
      <c r="J44" s="111"/>
    </row>
    <row r="45" ht="38.25" customHeight="1">
      <c r="B45" t="s" s="113">
        <v>285</v>
      </c>
      <c r="C45" s="149">
        <f>C157</f>
        <v>2.6</v>
      </c>
      <c r="D45" s="150">
        <f>D157</f>
        <v>0.15</v>
      </c>
      <c r="E45" s="116">
        <f>C45*D45</f>
        <v>0.39</v>
      </c>
      <c r="F45" t="s" s="112">
        <v>760</v>
      </c>
      <c r="G45" s="116">
        <f>$E45*G$52*G$53</f>
        <v>0</v>
      </c>
      <c r="H45" s="116">
        <f>$E45*H$52*H$53</f>
        <v>0.195</v>
      </c>
      <c r="I45" s="116">
        <f>$E45*I$52*I$53</f>
        <v>0.39</v>
      </c>
      <c r="J45" s="116">
        <f>$E45*J$52*J$53</f>
        <v>0.39</v>
      </c>
    </row>
    <row r="46" ht="38.25" customHeight="1">
      <c r="B46" t="s" s="113">
        <v>286</v>
      </c>
      <c r="C46" s="149">
        <f>C158</f>
        <v>0.9</v>
      </c>
      <c r="D46" s="150">
        <f>D158</f>
        <v>0.1</v>
      </c>
      <c r="E46" s="116">
        <f>C46*D46</f>
        <v>0.09000000000000001</v>
      </c>
      <c r="F46" t="s" s="112">
        <v>761</v>
      </c>
      <c r="G46" s="116">
        <f>$E46*G$52*G$53</f>
        <v>0</v>
      </c>
      <c r="H46" s="116">
        <f>$E46*H$52*H$53</f>
        <v>0.045000000000000005</v>
      </c>
      <c r="I46" s="116">
        <f>$E46*I$52*I$53</f>
        <v>0.09000000000000001</v>
      </c>
      <c r="J46" s="116">
        <f>$E46*J$52*J$53</f>
        <v>0.09000000000000001</v>
      </c>
    </row>
    <row r="47" ht="38.25" customHeight="1">
      <c r="B47" t="s" s="113">
        <v>287</v>
      </c>
      <c r="C47" s="149">
        <f>C159</f>
        <v>1.7</v>
      </c>
      <c r="D47" s="150">
        <f>D159</f>
        <v>0.05</v>
      </c>
      <c r="E47" s="116">
        <f>C47*D47</f>
        <v>0.085</v>
      </c>
      <c r="F47" t="s" s="112">
        <v>762</v>
      </c>
      <c r="G47" s="116">
        <f>$E47*G$52*G$53</f>
        <v>0</v>
      </c>
      <c r="H47" s="116">
        <f>$E47*H$52*H$53</f>
        <v>0.0425</v>
      </c>
      <c r="I47" s="116">
        <f>$E47*I$52*I$53</f>
        <v>0.085</v>
      </c>
      <c r="J47" s="116">
        <f>$E47*J$52*J$53</f>
        <v>0.085</v>
      </c>
    </row>
    <row r="48">
      <c r="B48" t="s" s="113">
        <v>288</v>
      </c>
      <c r="C48" s="149">
        <f>C160</f>
        <v>3.4</v>
      </c>
      <c r="D48" s="150">
        <f>D160</f>
        <v>0</v>
      </c>
      <c r="E48" s="116">
        <f>C48*D48</f>
        <v>0</v>
      </c>
      <c r="F48" t="s" s="112">
        <v>383</v>
      </c>
      <c r="G48" s="116">
        <f>$E48*G$52*G$53</f>
        <v>0</v>
      </c>
      <c r="H48" s="116">
        <f>$E48*H$52*H$53</f>
        <v>0</v>
      </c>
      <c r="I48" s="116">
        <f>$E48*I$52*I$53</f>
        <v>0</v>
      </c>
      <c r="J48" s="116">
        <f>$E48*J$52*J$53</f>
        <v>0</v>
      </c>
    </row>
    <row r="49">
      <c r="B49" t="s" s="129">
        <v>734</v>
      </c>
      <c r="C49" s="130"/>
      <c r="D49" s="130"/>
      <c r="E49" s="131">
        <f>SUM(E45:E48)</f>
        <v>0.5650000000000001</v>
      </c>
      <c r="F49" s="126"/>
      <c r="G49" s="131">
        <f>SUM(G45:G48)</f>
        <v>0</v>
      </c>
      <c r="H49" s="131">
        <f>SUM(H45:H48)</f>
        <v>0.28250000000000003</v>
      </c>
      <c r="I49" s="131">
        <f>SUM(I45:I48)</f>
        <v>0.5650000000000001</v>
      </c>
      <c r="J49" s="131">
        <f>SUM(J45:J48)</f>
        <v>0.5650000000000001</v>
      </c>
    </row>
    <row r="50">
      <c r="B50" s="132"/>
      <c r="C50" s="111"/>
      <c r="D50" s="111"/>
      <c r="E50" s="111"/>
      <c r="F50" s="112"/>
      <c r="G50" s="111"/>
      <c r="H50" s="111"/>
      <c r="I50" s="111"/>
      <c r="J50" s="111"/>
    </row>
    <row r="51">
      <c r="B51" t="s" s="110">
        <v>735</v>
      </c>
      <c r="C51" s="111"/>
      <c r="D51" s="111"/>
      <c r="E51" s="111"/>
      <c r="F51" s="112"/>
      <c r="G51" s="111"/>
      <c r="H51" s="111"/>
      <c r="I51" s="111"/>
      <c r="J51" s="111"/>
    </row>
    <row r="52" ht="76.5" customHeight="1">
      <c r="B52" t="s" s="113">
        <v>736</v>
      </c>
      <c r="C52" s="111"/>
      <c r="D52" s="111"/>
      <c r="E52" s="111"/>
      <c r="F52" t="s" s="112">
        <v>781</v>
      </c>
      <c r="G52" s="151">
        <v>0</v>
      </c>
      <c r="H52" s="151">
        <v>0.5</v>
      </c>
      <c r="I52" s="151">
        <v>1</v>
      </c>
      <c r="J52" s="151">
        <v>1</v>
      </c>
    </row>
    <row r="53">
      <c r="B53" t="s" s="113">
        <v>303</v>
      </c>
      <c r="C53" s="111"/>
      <c r="D53" s="111"/>
      <c r="E53" s="111"/>
      <c r="F53" t="s" s="112">
        <v>764</v>
      </c>
      <c r="G53" s="152">
        <f>Inputs!$C$107</f>
        <v>1</v>
      </c>
      <c r="H53" s="152">
        <f>Inputs!$C$107</f>
        <v>1</v>
      </c>
      <c r="I53" s="152">
        <f>Inputs!$C$107</f>
        <v>1</v>
      </c>
      <c r="J53" s="152">
        <f>Inputs!$C$107</f>
        <v>1</v>
      </c>
    </row>
    <row r="54">
      <c r="B54" t="s" s="113">
        <v>737</v>
      </c>
      <c r="C54" s="111"/>
      <c r="D54" s="111"/>
      <c r="E54" s="111"/>
      <c r="F54" t="s" s="112">
        <v>765</v>
      </c>
      <c r="G54" s="153">
        <f>C71</f>
        <v>1</v>
      </c>
      <c r="H54" s="153">
        <f>D71</f>
        <v>1.03</v>
      </c>
      <c r="I54" s="153">
        <f>E71</f>
        <v>1.0609</v>
      </c>
      <c r="J54" s="153">
        <f>F71</f>
        <v>1.092727</v>
      </c>
    </row>
    <row r="55">
      <c r="B55" t="s" s="113">
        <v>305</v>
      </c>
      <c r="C55" s="111"/>
      <c r="D55" s="111"/>
      <c r="E55" s="116">
        <f>E22</f>
        <v>4.124556962025316</v>
      </c>
      <c r="F55" s="112"/>
      <c r="G55" s="116">
        <f>G22</f>
        <v>0</v>
      </c>
      <c r="H55" s="116">
        <f>H22</f>
        <v>2.062278481012658</v>
      </c>
      <c r="I55" s="116">
        <f>I22</f>
        <v>4.124556962025316</v>
      </c>
      <c r="J55" s="116">
        <f>J22</f>
        <v>4.124556962025316</v>
      </c>
    </row>
    <row r="56">
      <c r="B56" t="s" s="113">
        <v>304</v>
      </c>
      <c r="C56" s="111"/>
      <c r="D56" s="111"/>
      <c r="E56" s="116">
        <f>E27</f>
        <v>0.952272284704426</v>
      </c>
      <c r="F56" s="112"/>
      <c r="G56" s="116">
        <f>G27</f>
        <v>0</v>
      </c>
      <c r="H56" s="116">
        <f>H27</f>
        <v>0.4904202266227794</v>
      </c>
      <c r="I56" s="116">
        <f>I27</f>
        <v>1.0102656668429257</v>
      </c>
      <c r="J56" s="116">
        <f>J27</f>
        <v>1.0405736368482135</v>
      </c>
    </row>
    <row r="57">
      <c r="B57" t="s" s="113">
        <v>307</v>
      </c>
      <c r="C57" s="111"/>
      <c r="D57" s="111"/>
      <c r="E57" s="116">
        <f>E32</f>
        <v>0.26105999999999996</v>
      </c>
      <c r="F57" s="112"/>
      <c r="G57" s="116">
        <f>G32</f>
        <v>0</v>
      </c>
      <c r="H57" s="116">
        <f>H32</f>
        <v>0.13052999999999998</v>
      </c>
      <c r="I57" s="116">
        <f>I32</f>
        <v>0.26105999999999996</v>
      </c>
      <c r="J57" s="116">
        <f>J32</f>
        <v>0.26105999999999996</v>
      </c>
    </row>
    <row r="58">
      <c r="B58" t="s" s="113">
        <v>308</v>
      </c>
      <c r="C58" s="111"/>
      <c r="D58" s="111"/>
      <c r="E58" s="116"/>
      <c r="F58" t="s" s="112">
        <v>389</v>
      </c>
      <c r="G58" s="116">
        <f>G42</f>
        <v>0</v>
      </c>
      <c r="H58" s="116">
        <f>H42</f>
        <v>0.2030751</v>
      </c>
      <c r="I58" s="116">
        <f>I42</f>
        <v>0.8346386610000001</v>
      </c>
      <c r="J58" s="116">
        <f>J42</f>
        <v>1.7151824483550002</v>
      </c>
    </row>
    <row r="59">
      <c r="B59" t="s" s="113">
        <v>733</v>
      </c>
      <c r="C59" s="111"/>
      <c r="D59" s="111"/>
      <c r="E59" s="116">
        <f>E49</f>
        <v>0.5650000000000001</v>
      </c>
      <c r="F59" s="112"/>
      <c r="G59" s="116">
        <f>G49</f>
        <v>0</v>
      </c>
      <c r="H59" s="116">
        <f>H49</f>
        <v>0.28250000000000003</v>
      </c>
      <c r="I59" s="116">
        <f>I49</f>
        <v>0.5650000000000001</v>
      </c>
      <c r="J59" s="116">
        <f>J49</f>
        <v>0.5650000000000001</v>
      </c>
    </row>
    <row r="60">
      <c r="B60" t="s" s="129">
        <v>738</v>
      </c>
      <c r="C60" s="130"/>
      <c r="D60" s="130"/>
      <c r="E60" s="131">
        <f>E55+E56+E57+E59</f>
        <v>5.9028892467297425</v>
      </c>
      <c r="F60" t="s" s="126">
        <v>766</v>
      </c>
      <c r="G60" s="131">
        <f>SUM(G55:G59)</f>
        <v>0</v>
      </c>
      <c r="H60" s="131">
        <f>SUM(H55:H59)</f>
        <v>3.1688038076354377</v>
      </c>
      <c r="I60" s="131">
        <f>SUM(I55:I59)</f>
        <v>6.795521289868243</v>
      </c>
      <c r="J60" s="131">
        <f>SUM(J55:J59)</f>
        <v>7.706373047228531</v>
      </c>
    </row>
    <row r="61" ht="38.25" customHeight="1">
      <c r="B61" t="s" s="113">
        <v>313</v>
      </c>
      <c r="C61" s="111"/>
      <c r="D61" s="111"/>
      <c r="E61" s="116">
        <f>C170</f>
        <v>-2.4356962025316453</v>
      </c>
      <c r="F61" t="s" s="112">
        <v>767</v>
      </c>
      <c r="G61" s="154">
        <v>0</v>
      </c>
      <c r="H61" s="116">
        <f>D170</f>
        <v>-1.826772151898734</v>
      </c>
      <c r="I61" s="116">
        <f>E170</f>
        <v>-0.6089240506329113</v>
      </c>
      <c r="J61" s="116">
        <f>F170</f>
        <v>0</v>
      </c>
    </row>
    <row r="62" ht="25.5" customHeight="1">
      <c r="B62" t="s" s="113">
        <v>314</v>
      </c>
      <c r="C62" s="111"/>
      <c r="D62" s="111"/>
      <c r="E62" s="116">
        <f>C173</f>
        <v>-2</v>
      </c>
      <c r="F62" t="s" s="112">
        <v>768</v>
      </c>
      <c r="G62" s="154">
        <v>0</v>
      </c>
      <c r="H62" s="116">
        <f>D173</f>
        <v>-2</v>
      </c>
      <c r="I62" s="116">
        <f>E173</f>
        <v>0</v>
      </c>
      <c r="J62" s="116">
        <f>F173</f>
        <v>0</v>
      </c>
    </row>
    <row r="63">
      <c r="B63" t="s" s="129">
        <v>739</v>
      </c>
      <c r="C63" s="130"/>
      <c r="D63" s="130"/>
      <c r="E63" s="131"/>
      <c r="F63" s="126"/>
      <c r="G63" s="131">
        <f>SUM(G60:G62)</f>
        <v>0</v>
      </c>
      <c r="H63" s="131">
        <f>SUM(H60:H62)</f>
        <v>-0.6579683442632964</v>
      </c>
      <c r="I63" s="131">
        <f>SUM(I60:I62)</f>
        <v>6.186597239235332</v>
      </c>
      <c r="J63" s="131">
        <f>SUM(J60:J62)</f>
        <v>7.706373047228531</v>
      </c>
    </row>
    <row r="64">
      <c r="J64" s="17"/>
    </row>
    <row r="65">
      <c r="J65" s="17"/>
    </row>
    <row r="66">
      <c r="B66" t="s" s="1">
        <v>211</v>
      </c>
      <c r="C66" s="55">
        <v>46752</v>
      </c>
      <c r="D66" s="56">
        <v>47118</v>
      </c>
      <c r="E66" s="56">
        <v>47483</v>
      </c>
      <c r="F66" s="56">
        <v>47848</v>
      </c>
      <c r="G66" s="1"/>
      <c r="H66" s="1"/>
      <c r="I66" s="1"/>
      <c r="J66" s="17"/>
    </row>
    <row r="67">
      <c r="B67" t="s" s="16">
        <v>212</v>
      </c>
      <c r="C67" s="16"/>
      <c r="D67" s="16"/>
      <c r="E67" s="16"/>
      <c r="F67" s="16"/>
      <c r="G67" s="16"/>
      <c r="H67" s="16"/>
      <c r="I67" s="16"/>
      <c r="J67" s="37"/>
    </row>
    <row r="68">
      <c r="B68" t="s" s="40">
        <v>213</v>
      </c>
      <c r="C68" s="31">
        <v>0</v>
      </c>
      <c r="D68" s="10">
        <f>C68+1</f>
        <v>1</v>
      </c>
      <c r="E68" s="10">
        <f>D68+1</f>
        <v>2</v>
      </c>
      <c r="F68" s="10">
        <f>E68+1</f>
        <v>3</v>
      </c>
      <c r="G68" s="10"/>
      <c r="H68" s="10"/>
      <c r="I68" s="10"/>
      <c r="J68" s="17"/>
    </row>
    <row r="69">
      <c r="B69" t="s" s="40">
        <v>214</v>
      </c>
      <c r="C69" s="51">
        <f>(1+Inputs!$C$100)^C68</f>
        <v>1</v>
      </c>
      <c r="D69" s="51">
        <f>(1+Inputs!$C$100)^D68</f>
        <v>1.0275</v>
      </c>
      <c r="E69" s="51">
        <f>(1+Inputs!$C$100)^E68</f>
        <v>1.0557562500000002</v>
      </c>
      <c r="F69" s="51">
        <f>(1+Inputs!$C$100)^F68</f>
        <v>1.0847895468750002</v>
      </c>
      <c r="G69" s="51"/>
      <c r="H69" s="51"/>
      <c r="I69" s="51"/>
      <c r="J69" s="17"/>
    </row>
    <row r="70">
      <c r="B70" t="s" s="40">
        <v>215</v>
      </c>
      <c r="C70" s="51">
        <f>(1+Inputs!$C$101)^C68</f>
        <v>1</v>
      </c>
      <c r="D70" s="51">
        <f>(1+Inputs!$C$101)^D68</f>
        <v>1.03</v>
      </c>
      <c r="E70" s="51">
        <f>(1+Inputs!$C$101)^E68</f>
        <v>1.0609</v>
      </c>
      <c r="F70" s="51">
        <f>(1+Inputs!$C$101)^F68</f>
        <v>1.092727</v>
      </c>
      <c r="G70" s="51"/>
      <c r="H70" s="51"/>
      <c r="I70" s="51"/>
      <c r="J70" s="17"/>
    </row>
    <row r="71">
      <c r="B71" t="s" s="40">
        <v>691</v>
      </c>
      <c r="C71" s="51">
        <f>(1+Inputs!$C$102)^C68</f>
        <v>1</v>
      </c>
      <c r="D71" s="51">
        <f>(1+Inputs!$C$102)^D68</f>
        <v>1.03</v>
      </c>
      <c r="E71" s="51">
        <f>(1+Inputs!$C$102)^E68</f>
        <v>1.0609</v>
      </c>
      <c r="F71" s="51">
        <f>(1+Inputs!$C$102)^F68</f>
        <v>1.092727</v>
      </c>
      <c r="G71" s="51"/>
      <c r="H71" s="51"/>
      <c r="I71" s="51"/>
      <c r="J71" t="s" s="17">
        <v>692</v>
      </c>
    </row>
    <row r="72">
      <c r="B72" t="s" s="40">
        <v>216</v>
      </c>
      <c r="C72" s="28">
        <v>0</v>
      </c>
      <c r="D72" s="6">
        <f>MIN(C72+Inputs!$C$98,Inputs!$C$64-Inputs!$C$65)</f>
        <v>0.6</v>
      </c>
      <c r="E72" s="6">
        <f>MIN(D72+Inputs!$C$98,Inputs!$C$64-Inputs!$C$65)</f>
        <v>1.2</v>
      </c>
      <c r="F72" s="6">
        <f>MIN(E72+Inputs!$C$98,Inputs!$C$64-Inputs!$C$65)</f>
        <v>1.7999999999999998</v>
      </c>
      <c r="G72" s="6"/>
      <c r="H72" s="6"/>
      <c r="I72" s="6"/>
      <c r="J72" t="s" s="17">
        <v>333</v>
      </c>
    </row>
    <row r="73">
      <c r="B73" t="s" s="40">
        <v>217</v>
      </c>
      <c r="C73" s="34">
        <v>0</v>
      </c>
      <c r="D73" s="12">
        <f>AVERAGE(C72,D72)</f>
        <v>0.3</v>
      </c>
      <c r="E73" s="12">
        <f>AVERAGE(D72,E72)</f>
        <v>0.8999999999999999</v>
      </c>
      <c r="F73" s="12">
        <f>AVERAGE(E72,F72)</f>
        <v>1.5</v>
      </c>
      <c r="G73" s="12"/>
      <c r="H73" s="12"/>
      <c r="I73" s="12"/>
      <c r="J73" t="s" s="17">
        <v>334</v>
      </c>
    </row>
    <row r="74">
      <c r="B74" t="s" s="40">
        <v>218</v>
      </c>
      <c r="C74" s="6">
        <f>Inputs!$C$74*C69</f>
        <v>34.7</v>
      </c>
      <c r="D74" s="6">
        <f>Inputs!$C$74*D69</f>
        <v>35.654250000000005</v>
      </c>
      <c r="E74" s="6">
        <f>Inputs!$C$74*E69</f>
        <v>36.63474187500001</v>
      </c>
      <c r="F74" s="6">
        <f>Inputs!$C$74*F69</f>
        <v>37.642197276562506</v>
      </c>
      <c r="G74" s="6"/>
      <c r="H74" s="6"/>
      <c r="I74" s="6"/>
      <c r="J74" t="s" s="17">
        <v>335</v>
      </c>
    </row>
    <row r="75">
      <c r="B75" t="s" s="40">
        <v>219</v>
      </c>
      <c r="C75" s="28">
        <v>0</v>
      </c>
      <c r="D75" s="6">
        <f>D73*Inputs!$C$99*12/1000*D69</f>
        <v>0.46237500000000004</v>
      </c>
      <c r="E75" s="6">
        <f>E73*Inputs!$C$99*12/1000*E69</f>
        <v>1.4252709375000001</v>
      </c>
      <c r="F75" s="6">
        <f>F73*Inputs!$C$99*12/1000*F69</f>
        <v>2.4407764804687506</v>
      </c>
      <c r="G75" s="6"/>
      <c r="H75" s="6"/>
      <c r="I75" s="6"/>
      <c r="J75" t="s" s="17">
        <v>336</v>
      </c>
    </row>
    <row r="76">
      <c r="B76" t="s" s="40">
        <v>63</v>
      </c>
      <c r="C76" s="43">
        <f>Inputs!$C$75*C71</f>
        <v>4.8</v>
      </c>
      <c r="D76" s="43">
        <f>Inputs!$C$75*D71</f>
        <v>4.944</v>
      </c>
      <c r="E76" s="43">
        <f>Inputs!$C$75*E71</f>
        <v>5.09232</v>
      </c>
      <c r="F76" s="43">
        <f>Inputs!$C$75*F71</f>
        <v>5.2450896</v>
      </c>
      <c r="G76" s="6"/>
      <c r="H76" s="6"/>
      <c r="I76" s="6"/>
      <c r="J76" t="s" s="17">
        <v>693</v>
      </c>
    </row>
    <row r="77">
      <c r="B77" t="s" s="40">
        <v>64</v>
      </c>
      <c r="C77" s="6">
        <f>Inputs!$C$76*C69</f>
        <v>1.1</v>
      </c>
      <c r="D77" s="6">
        <f>Inputs!$C$76*D69</f>
        <v>1.1302500000000002</v>
      </c>
      <c r="E77" s="6">
        <f>Inputs!$C$76*E69</f>
        <v>1.1613318750000003</v>
      </c>
      <c r="F77" s="6">
        <f>Inputs!$C$76*F69</f>
        <v>1.1932685015625002</v>
      </c>
      <c r="G77" s="6"/>
      <c r="H77" s="6"/>
      <c r="I77" s="6"/>
      <c r="J77" s="17"/>
    </row>
    <row r="78">
      <c r="B78" t="s" s="40">
        <v>65</v>
      </c>
      <c r="C78" s="6">
        <f>Inputs!$C$77*C69</f>
        <v>0.5</v>
      </c>
      <c r="D78" s="6">
        <f>Inputs!$C$77*D69</f>
        <v>0.51375</v>
      </c>
      <c r="E78" s="6">
        <f>Inputs!$C$77*E69</f>
        <v>0.5278781250000001</v>
      </c>
      <c r="F78" s="6">
        <f>Inputs!$C$77*F69</f>
        <v>0.5423947734375001</v>
      </c>
      <c r="G78" s="6"/>
      <c r="H78" s="6"/>
      <c r="I78" s="6"/>
      <c r="J78" s="17"/>
    </row>
    <row r="79">
      <c r="B79" t="s" s="14">
        <v>66</v>
      </c>
      <c r="C79" s="15">
        <f>SUM(C74:C78)</f>
        <v>41.1</v>
      </c>
      <c r="D79" s="15">
        <f>SUM(D74:D78)</f>
        <v>42.70462500000001</v>
      </c>
      <c r="E79" s="15">
        <f>SUM(E74:E78)</f>
        <v>44.841542812500016</v>
      </c>
      <c r="F79" s="15">
        <f>SUM(F74:F78)</f>
        <v>47.063726632031255</v>
      </c>
      <c r="G79" s="15"/>
      <c r="H79" s="15"/>
      <c r="I79" s="15"/>
      <c r="J79" s="17"/>
    </row>
    <row r="80">
      <c r="B80" t="s" s="40">
        <v>67</v>
      </c>
      <c r="C80" s="43">
        <f>Inputs!$C$79*C71</f>
        <v>-10.2</v>
      </c>
      <c r="D80" s="43">
        <f>Inputs!$C$79*D71</f>
        <v>-10.506</v>
      </c>
      <c r="E80" s="43">
        <f>Inputs!$C$79*E71</f>
        <v>-10.821179999999998</v>
      </c>
      <c r="F80" s="43">
        <f>Inputs!$C$79*F71</f>
        <v>-11.1458154</v>
      </c>
      <c r="G80" s="6"/>
      <c r="H80" s="6"/>
      <c r="I80" s="6"/>
      <c r="J80" t="s" s="17">
        <v>694</v>
      </c>
    </row>
    <row r="81">
      <c r="B81" t="s" s="40">
        <v>68</v>
      </c>
      <c r="C81" s="6">
        <f>Inputs!$C$80*C70</f>
        <v>-8.6</v>
      </c>
      <c r="D81" s="6">
        <f>Inputs!$C$80*D70</f>
        <v>-8.858</v>
      </c>
      <c r="E81" s="6">
        <f>Inputs!$C$80*E70</f>
        <v>-9.12374</v>
      </c>
      <c r="F81" s="6">
        <f>Inputs!$C$80*F70</f>
        <v>-9.3974522</v>
      </c>
      <c r="G81" s="6"/>
      <c r="H81" s="6"/>
      <c r="I81" s="6"/>
      <c r="J81" s="17"/>
    </row>
    <row r="82">
      <c r="B82" t="s" s="40">
        <v>69</v>
      </c>
      <c r="C82" s="6">
        <f>Inputs!$C$81*C70</f>
        <v>-2</v>
      </c>
      <c r="D82" s="6">
        <f>Inputs!$C$81*D70</f>
        <v>-2.06</v>
      </c>
      <c r="E82" s="6">
        <f>Inputs!$C$81*E70</f>
        <v>-2.1218</v>
      </c>
      <c r="F82" s="6">
        <f>Inputs!$C$81*F70</f>
        <v>-2.185454</v>
      </c>
      <c r="G82" s="6"/>
      <c r="H82" s="6"/>
      <c r="I82" s="6"/>
      <c r="J82" s="17"/>
    </row>
    <row r="83">
      <c r="B83" t="s" s="40">
        <v>70</v>
      </c>
      <c r="C83" s="6">
        <f>Inputs!$C$82*C70</f>
        <v>-5.199999999999999</v>
      </c>
      <c r="D83" s="6">
        <f>Inputs!$C$82*D70</f>
        <v>-5.355999999999999</v>
      </c>
      <c r="E83" s="6">
        <f>Inputs!$C$82*E70</f>
        <v>-5.516679999999999</v>
      </c>
      <c r="F83" s="6">
        <f>Inputs!$C$82*F70</f>
        <v>-5.682180399999999</v>
      </c>
      <c r="G83" s="6"/>
      <c r="H83" s="6"/>
      <c r="I83" s="6"/>
      <c r="J83" s="17"/>
    </row>
    <row r="84">
      <c r="B84" t="s" s="14">
        <v>220</v>
      </c>
      <c r="C84" s="15">
        <f>C79+SUM(C80:C83)</f>
        <v>15.100000000000005</v>
      </c>
      <c r="D84" s="15">
        <f>D79+SUM(D80:D83)</f>
        <v>15.92462500000001</v>
      </c>
      <c r="E84" s="15">
        <f>E79+SUM(E80:E83)</f>
        <v>17.25814281250002</v>
      </c>
      <c r="F84" s="15">
        <f>F79+SUM(F80:F83)</f>
        <v>18.652824632031255</v>
      </c>
      <c r="G84" s="15"/>
      <c r="H84" s="15"/>
      <c r="I84" s="15"/>
      <c r="J84" s="17"/>
    </row>
    <row r="85">
      <c r="B85" t="s" s="3">
        <v>156</v>
      </c>
      <c r="C85" s="39">
        <f>C84/C79</f>
        <v>0.36739659367396604</v>
      </c>
      <c r="D85" s="39">
        <f>D84/D79</f>
        <v>0.3729016470698433</v>
      </c>
      <c r="E85" s="39">
        <f>E84/E79</f>
        <v>0.38486951451833507</v>
      </c>
      <c r="F85" s="39">
        <f>F84/F79</f>
        <v>0.396331229311031</v>
      </c>
      <c r="G85" s="39"/>
      <c r="H85" s="39"/>
      <c r="I85" s="39"/>
      <c r="J85" s="17"/>
    </row>
    <row r="86">
      <c r="B86" t="s" s="40">
        <v>85</v>
      </c>
      <c r="C86" s="6">
        <f>-Inputs!$C$97</f>
        <v>-1.8</v>
      </c>
      <c r="D86" s="6">
        <f>-Inputs!$C$97</f>
        <v>-1.8</v>
      </c>
      <c r="E86" s="6">
        <f>-Inputs!$C$97</f>
        <v>-1.8</v>
      </c>
      <c r="F86" s="6">
        <f>-Inputs!$C$97</f>
        <v>-1.8</v>
      </c>
      <c r="G86" s="6"/>
      <c r="H86" s="6"/>
      <c r="I86" s="6"/>
      <c r="J86" s="17"/>
    </row>
    <row r="87">
      <c r="J87" s="17"/>
    </row>
    <row r="88">
      <c r="B88" t="s" s="16">
        <v>221</v>
      </c>
      <c r="C88" s="16"/>
      <c r="D88" s="16"/>
      <c r="E88" s="16"/>
      <c r="F88" s="16"/>
      <c r="G88" s="16"/>
      <c r="H88" s="16"/>
      <c r="I88" s="16"/>
      <c r="J88" s="37"/>
    </row>
    <row r="89">
      <c r="B89" t="s" s="40">
        <v>222</v>
      </c>
      <c r="C89" s="46">
        <f>Inputs!$C$73</f>
        <v>0.061</v>
      </c>
      <c r="D89" s="13"/>
      <c r="E89" s="13"/>
      <c r="F89" s="13"/>
      <c r="G89" s="13"/>
      <c r="H89" s="13"/>
      <c r="I89" s="13"/>
      <c r="J89" t="s" s="17">
        <v>339</v>
      </c>
    </row>
    <row r="90">
      <c r="B90" t="s" s="40">
        <v>223</v>
      </c>
      <c r="C90" s="25">
        <v>0.050278131355232</v>
      </c>
      <c r="D90" s="13"/>
      <c r="E90" s="13"/>
      <c r="F90" s="13"/>
      <c r="G90" s="13"/>
      <c r="H90" s="13"/>
      <c r="I90" s="13"/>
      <c r="J90" t="s" s="17">
        <v>340</v>
      </c>
    </row>
    <row r="91">
      <c r="B91" t="s" s="14">
        <v>224</v>
      </c>
      <c r="C91" s="52">
        <f>C89-C90</f>
        <v>0.010721868644767998</v>
      </c>
      <c r="D91" s="52"/>
      <c r="E91" s="52"/>
      <c r="F91" s="52"/>
      <c r="G91" s="52"/>
      <c r="H91" s="52"/>
      <c r="I91" s="52"/>
      <c r="J91" t="s" s="17">
        <v>341</v>
      </c>
    </row>
    <row r="92">
      <c r="B92" t="s" s="14">
        <v>695</v>
      </c>
      <c r="C92" s="68">
        <f>C91/C89</f>
        <v>0.17576833843881964</v>
      </c>
      <c r="D92" s="52"/>
      <c r="E92" s="52"/>
      <c r="F92" s="52"/>
      <c r="G92" s="52"/>
      <c r="H92" s="52"/>
      <c r="I92" s="52"/>
      <c r="J92" t="s" s="17">
        <v>696</v>
      </c>
    </row>
    <row r="93">
      <c r="B93" t="s" s="40">
        <v>225</v>
      </c>
      <c r="C93" s="31">
        <v>8760</v>
      </c>
      <c r="D93" s="10"/>
      <c r="E93" s="10"/>
      <c r="F93" s="10"/>
      <c r="G93" s="10"/>
      <c r="H93" s="10"/>
      <c r="I93" s="10"/>
      <c r="J93" s="17"/>
    </row>
    <row r="94">
      <c r="B94" t="s" s="40">
        <v>226</v>
      </c>
      <c r="C94" s="6">
        <f>Inputs!$C$68*Inputs!$C$71*C93*Inputs!$C$72/1000</f>
        <v>88.81588799999997</v>
      </c>
      <c r="D94" s="6"/>
      <c r="E94" s="6"/>
      <c r="F94" s="6"/>
      <c r="G94" s="6"/>
      <c r="H94" s="6"/>
      <c r="I94" s="6"/>
      <c r="J94" t="s" s="17">
        <v>342</v>
      </c>
    </row>
    <row r="95">
      <c r="B95" t="s" s="40">
        <v>227</v>
      </c>
      <c r="C95" s="6">
        <f>Inputs!$C$66*Inputs!$C$71*C93*Inputs!$C$72/1000</f>
        <v>78.36695999999999</v>
      </c>
      <c r="D95" s="6"/>
      <c r="E95" s="6"/>
      <c r="F95" s="6"/>
      <c r="G95" s="6"/>
      <c r="H95" s="6"/>
      <c r="I95" s="6"/>
      <c r="J95" t="s" s="17">
        <v>343</v>
      </c>
    </row>
    <row r="96">
      <c r="B96" t="s" s="40">
        <v>228</v>
      </c>
      <c r="C96" s="6">
        <f>C94*C91</f>
        <v>0.952272284704426</v>
      </c>
      <c r="D96" s="6"/>
      <c r="E96" s="6"/>
      <c r="F96" s="6"/>
      <c r="G96" s="6"/>
      <c r="H96" s="6"/>
      <c r="I96" s="6"/>
      <c r="J96" t="s" s="17">
        <v>344</v>
      </c>
    </row>
    <row r="97">
      <c r="B97" t="s" s="40">
        <v>229</v>
      </c>
      <c r="C97" s="6">
        <f>C95*C91</f>
        <v>0.8402402512097878</v>
      </c>
      <c r="D97" s="6"/>
      <c r="E97" s="6"/>
      <c r="F97" s="6"/>
      <c r="G97" s="6"/>
      <c r="H97" s="6"/>
      <c r="I97" s="6"/>
      <c r="J97" t="s" s="17">
        <v>345</v>
      </c>
    </row>
    <row r="98">
      <c r="B98" t="s" s="40">
        <v>230</v>
      </c>
      <c r="C98" s="32">
        <v>0</v>
      </c>
      <c r="D98" s="9"/>
      <c r="E98" s="9"/>
      <c r="F98" s="9"/>
      <c r="G98" s="9"/>
      <c r="H98" s="9"/>
      <c r="I98" s="9"/>
      <c r="J98" t="s" s="17">
        <v>346</v>
      </c>
    </row>
    <row r="99">
      <c r="B99" t="s" s="14">
        <v>231</v>
      </c>
      <c r="C99" s="15">
        <f>E27</f>
        <v>0.952272284704426</v>
      </c>
      <c r="D99" s="15"/>
      <c r="E99" s="15"/>
      <c r="F99" s="15"/>
      <c r="G99" s="15"/>
      <c r="H99" s="15"/>
      <c r="I99" s="15"/>
      <c r="J99" t="s" s="17">
        <v>769</v>
      </c>
    </row>
    <row r="100">
      <c r="J100" s="17"/>
    </row>
    <row r="101">
      <c r="B101" t="s" s="16">
        <v>232</v>
      </c>
      <c r="C101" s="16"/>
      <c r="D101" s="16"/>
      <c r="E101" s="16"/>
      <c r="F101" s="16"/>
      <c r="G101" s="16"/>
      <c r="H101" s="16"/>
      <c r="I101" s="16"/>
      <c r="J101" s="37"/>
    </row>
    <row r="102">
      <c r="B102" t="s" s="40">
        <v>233</v>
      </c>
      <c r="C102" s="18">
        <v>316</v>
      </c>
      <c r="D102" s="6"/>
      <c r="E102" s="6"/>
      <c r="F102" s="6"/>
      <c r="G102" s="6"/>
      <c r="H102" s="6"/>
      <c r="I102" s="6"/>
      <c r="J102" t="s" s="17">
        <v>348</v>
      </c>
    </row>
    <row r="103">
      <c r="B103" t="s" s="41">
        <v>234</v>
      </c>
      <c r="C103" t="s" s="42">
        <v>315</v>
      </c>
      <c r="D103" t="s" s="42">
        <v>317</v>
      </c>
      <c r="E103" t="s" s="42">
        <v>326</v>
      </c>
      <c r="F103" t="s" s="42">
        <v>328</v>
      </c>
      <c r="G103" t="s" s="42">
        <v>330</v>
      </c>
      <c r="H103" t="s" s="42">
        <v>331</v>
      </c>
      <c r="I103" t="s" s="42">
        <v>332</v>
      </c>
      <c r="J103" s="50"/>
    </row>
    <row r="104">
      <c r="B104" t="s" s="40">
        <v>235</v>
      </c>
      <c r="C104" s="6">
        <f>-Inputs!$C$88</f>
        <v>1.9</v>
      </c>
      <c r="D104" t="s" s="76">
        <v>318</v>
      </c>
      <c r="E104" s="18">
        <v>17.4</v>
      </c>
      <c r="F104" s="10">
        <f>E104/C102*1000</f>
        <v>55.063291139240505</v>
      </c>
      <c r="G104" s="32">
        <v>0</v>
      </c>
      <c r="H104" s="6">
        <f>F104/1000*Inputs!$C$64*G104</f>
        <v>0</v>
      </c>
      <c r="I104" s="6">
        <f>C104-H104</f>
        <v>1.9</v>
      </c>
      <c r="J104" t="s" s="17">
        <v>349</v>
      </c>
    </row>
    <row r="105">
      <c r="B105" t="s" s="40">
        <v>236</v>
      </c>
      <c r="C105" s="6">
        <f>-Inputs!$C$89</f>
        <v>0.9</v>
      </c>
      <c r="D105" t="s" s="76">
        <v>318</v>
      </c>
      <c r="E105" s="18">
        <v>17.4</v>
      </c>
      <c r="F105" s="10">
        <f>E105/C102*1000</f>
        <v>55.063291139240505</v>
      </c>
      <c r="G105" s="32">
        <v>0.25</v>
      </c>
      <c r="H105" s="6">
        <f>F105/1000*Inputs!$C$64*G105</f>
        <v>0.330379746835443</v>
      </c>
      <c r="I105" s="6">
        <f>C105-H105</f>
        <v>0.569620253164557</v>
      </c>
      <c r="J105" t="s" s="17">
        <v>350</v>
      </c>
    </row>
    <row r="106">
      <c r="B106" t="s" s="40">
        <v>237</v>
      </c>
      <c r="C106" s="6">
        <f>-Inputs!$C$90</f>
        <v>0.8</v>
      </c>
      <c r="D106" t="s" s="76">
        <v>318</v>
      </c>
      <c r="E106" s="18">
        <v>17.4</v>
      </c>
      <c r="F106" s="10">
        <f>E106/C102*1000</f>
        <v>55.063291139240505</v>
      </c>
      <c r="G106" s="32">
        <v>0.15</v>
      </c>
      <c r="H106" s="6">
        <f>F106/1000*Inputs!$C$64*G106</f>
        <v>0.1982278481012658</v>
      </c>
      <c r="I106" s="6">
        <f>C106-H106</f>
        <v>0.6017721518987342</v>
      </c>
      <c r="J106" t="s" s="17">
        <v>351</v>
      </c>
    </row>
    <row r="107">
      <c r="B107" t="s" s="40">
        <v>238</v>
      </c>
      <c r="C107" s="6">
        <f>-Inputs!$C$91</f>
        <v>0.4</v>
      </c>
      <c r="D107" t="s" s="76">
        <v>319</v>
      </c>
      <c r="E107" s="18">
        <v>1.7</v>
      </c>
      <c r="F107" s="10">
        <f>E107/C102*1000</f>
        <v>5.379746835443038</v>
      </c>
      <c r="G107" s="32">
        <v>1</v>
      </c>
      <c r="H107" s="6">
        <f>F107/1000*Inputs!$C$64*G107</f>
        <v>0.1291139240506329</v>
      </c>
      <c r="I107" s="6">
        <f>C107-H107</f>
        <v>0.2708860759493671</v>
      </c>
      <c r="J107" t="s" s="17">
        <v>352</v>
      </c>
    </row>
    <row r="108">
      <c r="B108" t="s" s="40">
        <v>239</v>
      </c>
      <c r="C108" s="6">
        <f>-Inputs!$C$92</f>
        <v>0.2</v>
      </c>
      <c r="D108" t="s" s="76">
        <v>320</v>
      </c>
      <c r="E108" s="18">
        <v>1.1</v>
      </c>
      <c r="F108" s="10">
        <f>E108/C102*1000</f>
        <v>3.4810126582278484</v>
      </c>
      <c r="G108" s="32">
        <v>1</v>
      </c>
      <c r="H108" s="6">
        <f>F108/1000*Inputs!$C$64*G108</f>
        <v>0.08354430379746836</v>
      </c>
      <c r="I108" s="6">
        <f>C108-H108</f>
        <v>0.11645569620253166</v>
      </c>
      <c r="J108" t="s" s="17">
        <v>353</v>
      </c>
    </row>
    <row r="109">
      <c r="B109" t="s" s="40">
        <v>240</v>
      </c>
      <c r="C109" s="6">
        <f>-Inputs!$C$93</f>
        <v>0.4</v>
      </c>
      <c r="D109" t="s" s="76">
        <v>321</v>
      </c>
      <c r="E109" s="18">
        <v>2.9</v>
      </c>
      <c r="F109" s="10">
        <f>E109/C102*1000</f>
        <v>9.177215189873419</v>
      </c>
      <c r="G109" s="32">
        <v>1</v>
      </c>
      <c r="H109" s="6">
        <f>F109/1000*Inputs!$C$64*G109</f>
        <v>0.22025316455696203</v>
      </c>
      <c r="I109" s="6">
        <f>C109-H109</f>
        <v>0.179746835443038</v>
      </c>
      <c r="J109" t="s" s="17">
        <v>354</v>
      </c>
    </row>
    <row r="110">
      <c r="B110" t="s" s="40">
        <v>241</v>
      </c>
      <c r="C110" s="6">
        <f>-Inputs!$C$94</f>
        <v>0.3</v>
      </c>
      <c r="D110" t="s" s="76">
        <v>322</v>
      </c>
      <c r="E110" s="18">
        <v>2</v>
      </c>
      <c r="F110" s="10">
        <f>E110/C102*1000</f>
        <v>6.329113924050633</v>
      </c>
      <c r="G110" s="32">
        <v>0</v>
      </c>
      <c r="H110" s="6">
        <f>F110/1000*Inputs!$C$64*G110</f>
        <v>0</v>
      </c>
      <c r="I110" s="6">
        <f>C110-H110</f>
        <v>0.3</v>
      </c>
      <c r="J110" t="s" s="17">
        <v>355</v>
      </c>
    </row>
    <row r="111">
      <c r="B111" t="s" s="40">
        <v>242</v>
      </c>
      <c r="C111" s="6">
        <f>-Inputs!$C$95</f>
        <v>0.2</v>
      </c>
      <c r="D111" t="s" s="76">
        <v>323</v>
      </c>
      <c r="E111" s="18">
        <v>0.7</v>
      </c>
      <c r="F111" s="10">
        <f>E111/C102*1000</f>
        <v>2.2151898734177213</v>
      </c>
      <c r="G111" s="32">
        <v>1</v>
      </c>
      <c r="H111" s="6">
        <f>F111/1000*Inputs!$C$64*G111</f>
        <v>0.05316455696202531</v>
      </c>
      <c r="I111" s="6">
        <f>C111-H111</f>
        <v>0.1468354430379747</v>
      </c>
      <c r="J111" t="s" s="17">
        <v>353</v>
      </c>
    </row>
    <row r="112">
      <c r="B112" t="s" s="40">
        <v>243</v>
      </c>
      <c r="C112" s="6">
        <f>-Inputs!$C$96</f>
        <v>0.1</v>
      </c>
      <c r="D112" t="s" s="76">
        <v>324</v>
      </c>
      <c r="E112" s="18">
        <v>0.8</v>
      </c>
      <c r="F112" s="10">
        <f>E112/C102*1000</f>
        <v>2.5316455696202533</v>
      </c>
      <c r="G112" s="32">
        <v>1</v>
      </c>
      <c r="H112" s="6">
        <f>F112/1000*Inputs!$C$64*G112</f>
        <v>0.06075949367088608</v>
      </c>
      <c r="I112" s="6">
        <f>C112-H112</f>
        <v>0.039240506329113925</v>
      </c>
      <c r="J112" t="s" s="17">
        <v>353</v>
      </c>
    </row>
    <row r="113">
      <c r="B113" t="s" s="14">
        <v>244</v>
      </c>
      <c r="C113" s="15">
        <f>SUM(C104:C112)</f>
        <v>5.199999999999999</v>
      </c>
      <c r="D113" s="15"/>
      <c r="E113" s="15"/>
      <c r="F113" s="15"/>
      <c r="G113" s="15"/>
      <c r="H113" s="15">
        <f>SUM(H104:H112)</f>
        <v>1.0754430379746838</v>
      </c>
      <c r="I113" s="15">
        <f>SUM(I104:I112)</f>
        <v>4.124556962025316</v>
      </c>
      <c r="J113" s="17"/>
    </row>
    <row r="114">
      <c r="B114" t="s" s="14">
        <v>245</v>
      </c>
      <c r="C114" s="15">
        <f>E22</f>
        <v>4.124556962025316</v>
      </c>
      <c r="D114" s="15"/>
      <c r="E114" s="15"/>
      <c r="F114" s="15"/>
      <c r="G114" s="15"/>
      <c r="H114" s="15"/>
      <c r="I114" s="15"/>
      <c r="J114" t="s" s="17">
        <v>770</v>
      </c>
    </row>
    <row r="115">
      <c r="B115" t="s" s="40">
        <v>246</v>
      </c>
      <c r="C115" s="18">
        <v>41</v>
      </c>
      <c r="D115" s="6"/>
      <c r="E115" s="6"/>
      <c r="F115" s="6"/>
      <c r="G115" s="6"/>
      <c r="H115" s="6"/>
      <c r="I115" s="6"/>
      <c r="J115" t="s" s="17">
        <v>357</v>
      </c>
    </row>
    <row r="116">
      <c r="B116" t="s" s="40">
        <v>247</v>
      </c>
      <c r="C116" s="18">
        <v>295</v>
      </c>
      <c r="D116" s="6"/>
      <c r="E116" s="6"/>
      <c r="F116" s="6"/>
      <c r="G116" s="6"/>
      <c r="H116" s="6"/>
      <c r="I116" s="6"/>
      <c r="J116" t="s" s="17">
        <v>358</v>
      </c>
    </row>
    <row r="117">
      <c r="B117" t="s" s="40">
        <v>248</v>
      </c>
      <c r="C117" s="10">
        <f>C115/C116*1000</f>
        <v>138.98305084745763</v>
      </c>
      <c r="D117" s="10"/>
      <c r="E117" s="10"/>
      <c r="F117" s="10"/>
      <c r="G117" s="10"/>
      <c r="H117" s="10"/>
      <c r="I117" s="10"/>
      <c r="J117" s="17"/>
    </row>
    <row r="118">
      <c r="B118" t="s" s="40">
        <v>249</v>
      </c>
      <c r="C118" s="10">
        <f>C113/Inputs!$C$65*1000</f>
        <v>270.8333333333333</v>
      </c>
      <c r="D118" s="10"/>
      <c r="E118" s="10"/>
      <c r="F118" s="10"/>
      <c r="G118" s="10"/>
      <c r="H118" s="10"/>
      <c r="I118" s="10"/>
      <c r="J118" s="17"/>
    </row>
    <row r="119">
      <c r="B119" t="s" s="40">
        <v>250</v>
      </c>
      <c r="C119" s="10">
        <f>H113/Inputs!$C$65*1000</f>
        <v>56.012658227848114</v>
      </c>
      <c r="D119" s="10"/>
      <c r="E119" s="10"/>
      <c r="F119" s="10"/>
      <c r="G119" s="10"/>
      <c r="H119" s="10"/>
      <c r="I119" s="10"/>
      <c r="J119" t="s" s="17">
        <v>359</v>
      </c>
    </row>
    <row r="120">
      <c r="J120" s="17"/>
    </row>
    <row r="121">
      <c r="B121" t="s" s="16">
        <v>251</v>
      </c>
      <c r="C121" s="16"/>
      <c r="D121" s="16"/>
      <c r="E121" s="16"/>
      <c r="F121" s="16"/>
      <c r="G121" s="16"/>
      <c r="H121" s="16"/>
      <c r="I121" s="16"/>
      <c r="J121" s="37"/>
    </row>
    <row r="122">
      <c r="B122" t="s" s="40">
        <v>252</v>
      </c>
      <c r="C122" s="10">
        <f>Inputs!$C$76/Inputs!$C$65*1000</f>
        <v>57.29166666666667</v>
      </c>
      <c r="D122" s="10"/>
      <c r="E122" s="10"/>
      <c r="F122" s="10"/>
      <c r="G122" s="10"/>
      <c r="H122" s="10"/>
      <c r="I122" s="10"/>
      <c r="J122" s="17"/>
    </row>
    <row r="123">
      <c r="B123" t="s" s="40">
        <v>253</v>
      </c>
      <c r="C123" s="18">
        <v>4.261212</v>
      </c>
      <c r="D123" s="6"/>
      <c r="E123" s="6"/>
      <c r="F123" s="6"/>
      <c r="G123" s="6"/>
      <c r="H123" s="6"/>
      <c r="I123" s="6"/>
      <c r="J123" t="s" s="17">
        <v>360</v>
      </c>
    </row>
    <row r="124">
      <c r="B124" t="s" s="40">
        <v>254</v>
      </c>
      <c r="C124" s="18">
        <v>33.8</v>
      </c>
      <c r="D124" s="6"/>
      <c r="E124" s="6"/>
      <c r="F124" s="6"/>
      <c r="G124" s="6"/>
      <c r="H124" s="6"/>
      <c r="I124" s="6"/>
      <c r="J124" t="s" s="17">
        <v>361</v>
      </c>
    </row>
    <row r="125">
      <c r="B125" t="s" s="40">
        <v>255</v>
      </c>
      <c r="C125" s="10">
        <f>C123/C124*1000</f>
        <v>126.07136094674559</v>
      </c>
      <c r="D125" s="10"/>
      <c r="E125" s="10"/>
      <c r="F125" s="10"/>
      <c r="G125" s="10"/>
      <c r="H125" s="10"/>
      <c r="I125" s="10"/>
      <c r="J125" t="s" s="17">
        <v>362</v>
      </c>
    </row>
    <row r="126">
      <c r="B126" t="s" s="14">
        <v>256</v>
      </c>
      <c r="C126" s="54">
        <f>C125-C122</f>
        <v>68.77969428007891</v>
      </c>
      <c r="D126" s="54"/>
      <c r="E126" s="54"/>
      <c r="F126" s="54"/>
      <c r="G126" s="54"/>
      <c r="H126" s="54"/>
      <c r="I126" s="54"/>
      <c r="J126" s="17"/>
    </row>
    <row r="127">
      <c r="B127" t="s" s="40">
        <v>257</v>
      </c>
      <c r="C127" s="57">
        <f>Inputs!$C$70</f>
        <v>31</v>
      </c>
      <c r="D127" s="10"/>
      <c r="E127" s="10"/>
      <c r="F127" s="10"/>
      <c r="G127" s="10"/>
      <c r="H127" s="10"/>
      <c r="I127" s="10"/>
      <c r="J127" t="s" s="17">
        <v>339</v>
      </c>
    </row>
    <row r="128">
      <c r="B128" t="s" s="40">
        <v>258</v>
      </c>
      <c r="C128" s="28">
        <v>2</v>
      </c>
      <c r="D128" s="6"/>
      <c r="E128" s="6"/>
      <c r="F128" s="6"/>
      <c r="G128" s="6"/>
      <c r="H128" s="6"/>
      <c r="I128" s="6"/>
      <c r="J128" t="s" s="17">
        <v>363</v>
      </c>
    </row>
    <row r="129">
      <c r="B129" t="s" s="40">
        <v>259</v>
      </c>
      <c r="C129" s="23">
        <v>425</v>
      </c>
      <c r="D129" s="11"/>
      <c r="E129" s="11"/>
      <c r="F129" s="11"/>
      <c r="G129" s="11"/>
      <c r="H129" s="11"/>
      <c r="I129" s="11"/>
      <c r="J129" t="s" s="17">
        <v>364</v>
      </c>
    </row>
    <row r="130">
      <c r="B130" t="s" s="40">
        <v>260</v>
      </c>
      <c r="C130" s="21">
        <v>0.3</v>
      </c>
      <c r="D130" s="9"/>
      <c r="E130" s="9"/>
      <c r="F130" s="9"/>
      <c r="G130" s="9"/>
      <c r="H130" s="9"/>
      <c r="I130" s="9"/>
      <c r="J130" t="s" s="17">
        <v>365</v>
      </c>
    </row>
    <row r="131">
      <c r="B131" t="s" s="40">
        <v>261</v>
      </c>
      <c r="C131" s="7">
        <f>C129*(1+C130)</f>
        <v>552.5</v>
      </c>
      <c r="D131" s="7"/>
      <c r="E131" s="7"/>
      <c r="F131" s="7"/>
      <c r="G131" s="7"/>
      <c r="H131" s="7"/>
      <c r="I131" s="7"/>
      <c r="J131" s="17"/>
    </row>
    <row r="132">
      <c r="B132" t="s" s="40">
        <v>262</v>
      </c>
      <c r="C132" s="6">
        <f>E30</f>
        <v>0.41106</v>
      </c>
      <c r="D132" s="6"/>
      <c r="E132" s="6"/>
      <c r="F132" s="6"/>
      <c r="G132" s="6"/>
      <c r="H132" s="6"/>
      <c r="I132" s="6"/>
      <c r="J132" t="s" s="17">
        <v>771</v>
      </c>
    </row>
    <row r="133">
      <c r="B133" t="s" s="40">
        <v>263</v>
      </c>
      <c r="C133" s="10">
        <f>C122+C132/Inputs!$C$65*1000</f>
        <v>78.70104166666667</v>
      </c>
      <c r="D133" s="10"/>
      <c r="E133" s="10"/>
      <c r="F133" s="10"/>
      <c r="G133" s="10"/>
      <c r="H133" s="10"/>
      <c r="I133" s="10"/>
      <c r="J133" s="17"/>
    </row>
    <row r="134">
      <c r="B134" t="s" s="3">
        <v>264</v>
      </c>
      <c r="C134" s="39">
        <f>(C133-C122)/C126</f>
        <v>0.3112746461596432</v>
      </c>
      <c r="D134" s="39"/>
      <c r="E134" s="39"/>
      <c r="F134" s="39"/>
      <c r="G134" s="39"/>
      <c r="H134" s="39"/>
      <c r="I134" s="39"/>
      <c r="J134" t="s" s="17">
        <v>367</v>
      </c>
    </row>
    <row r="135">
      <c r="B135" t="s" s="40">
        <v>265</v>
      </c>
      <c r="C135" s="18">
        <v>0.3</v>
      </c>
      <c r="D135" s="6"/>
      <c r="E135" s="6"/>
      <c r="F135" s="6"/>
      <c r="G135" s="6"/>
      <c r="H135" s="6"/>
      <c r="I135" s="6"/>
      <c r="J135" t="s" s="17">
        <v>368</v>
      </c>
    </row>
    <row r="136">
      <c r="B136" t="s" s="40">
        <v>266</v>
      </c>
      <c r="C136" s="32">
        <v>0.5</v>
      </c>
      <c r="D136" s="9"/>
      <c r="E136" s="9"/>
      <c r="F136" s="9"/>
      <c r="G136" s="9"/>
      <c r="H136" s="9"/>
      <c r="I136" s="9"/>
      <c r="J136" t="s" s="17">
        <v>369</v>
      </c>
    </row>
    <row r="137">
      <c r="B137" t="s" s="40">
        <v>267</v>
      </c>
      <c r="C137" s="6">
        <f>E31</f>
        <v>-0.15</v>
      </c>
      <c r="D137" s="6"/>
      <c r="E137" s="6"/>
      <c r="F137" s="6"/>
      <c r="G137" s="6"/>
      <c r="H137" s="6"/>
      <c r="I137" s="6"/>
      <c r="J137" t="s" s="17">
        <v>772</v>
      </c>
    </row>
    <row r="138">
      <c r="B138" t="s" s="14">
        <v>268</v>
      </c>
      <c r="C138" s="15">
        <f>E32</f>
        <v>0.26105999999999996</v>
      </c>
      <c r="D138" s="15"/>
      <c r="E138" s="15"/>
      <c r="F138" s="15"/>
      <c r="G138" s="15"/>
      <c r="H138" s="15"/>
      <c r="I138" s="15"/>
      <c r="J138" s="17"/>
    </row>
    <row r="139">
      <c r="J139" s="17"/>
    </row>
    <row r="140">
      <c r="B140" t="s" s="16">
        <v>269</v>
      </c>
      <c r="C140" s="16"/>
      <c r="D140" s="16"/>
      <c r="E140" s="16"/>
      <c r="F140" s="16"/>
      <c r="G140" s="16"/>
      <c r="H140" s="16"/>
      <c r="I140" s="16"/>
      <c r="J140" s="37"/>
    </row>
    <row r="141">
      <c r="B141" t="s" s="40">
        <v>270</v>
      </c>
      <c r="C141" s="18">
        <v>36</v>
      </c>
      <c r="D141" s="6"/>
      <c r="E141" s="6"/>
      <c r="F141" s="6"/>
      <c r="G141" s="6"/>
      <c r="H141" s="6"/>
      <c r="I141" s="6"/>
      <c r="J141" t="s" s="17">
        <v>370</v>
      </c>
    </row>
    <row r="142">
      <c r="B142" t="s" s="40">
        <v>271</v>
      </c>
      <c r="C142" s="18">
        <v>35</v>
      </c>
      <c r="D142" s="6"/>
      <c r="E142" s="6"/>
      <c r="F142" s="6"/>
      <c r="G142" s="6"/>
      <c r="H142" s="6"/>
      <c r="I142" s="6"/>
      <c r="J142" t="s" s="17">
        <v>371</v>
      </c>
    </row>
    <row r="143">
      <c r="B143" t="s" s="3">
        <v>272</v>
      </c>
      <c r="C143" s="39">
        <f>C142/C141</f>
        <v>0.9722222222222222</v>
      </c>
      <c r="D143" s="39"/>
      <c r="E143" s="39"/>
      <c r="F143" s="39"/>
      <c r="G143" s="39"/>
      <c r="H143" s="39"/>
      <c r="I143" s="39"/>
      <c r="J143" t="s" s="17">
        <v>372</v>
      </c>
    </row>
    <row r="144">
      <c r="B144" t="s" s="40">
        <v>273</v>
      </c>
      <c r="C144" s="18">
        <v>2.4</v>
      </c>
      <c r="D144" s="6"/>
      <c r="E144" s="6"/>
      <c r="F144" s="6"/>
      <c r="G144" s="6"/>
      <c r="H144" s="6"/>
      <c r="I144" s="6"/>
      <c r="J144" t="s" s="17">
        <v>373</v>
      </c>
    </row>
    <row r="145">
      <c r="B145" t="s" s="40">
        <v>274</v>
      </c>
      <c r="C145" s="18">
        <v>0.6</v>
      </c>
      <c r="D145" s="6"/>
      <c r="E145" s="6"/>
      <c r="F145" s="6"/>
      <c r="G145" s="6"/>
      <c r="H145" s="6"/>
      <c r="I145" s="6"/>
      <c r="J145" t="s" s="17">
        <v>374</v>
      </c>
    </row>
    <row r="146">
      <c r="B146" t="s" s="3">
        <v>275</v>
      </c>
      <c r="C146" s="39">
        <f>C145/C144</f>
        <v>0.25</v>
      </c>
      <c r="D146" s="39"/>
      <c r="E146" s="39"/>
      <c r="F146" s="39"/>
      <c r="G146" s="39"/>
      <c r="H146" s="39"/>
      <c r="I146" s="39"/>
      <c r="J146" s="17"/>
    </row>
    <row r="147">
      <c r="B147" t="s" s="40">
        <v>276</v>
      </c>
      <c r="C147" s="23">
        <v>122</v>
      </c>
      <c r="D147" s="11"/>
      <c r="E147" s="11"/>
      <c r="F147" s="11"/>
      <c r="G147" s="11"/>
      <c r="H147" s="11"/>
      <c r="I147" s="11"/>
      <c r="J147" t="s" s="17">
        <v>375</v>
      </c>
    </row>
    <row r="148">
      <c r="B148" t="s" s="40">
        <v>277</v>
      </c>
      <c r="C148" s="12"/>
      <c r="D148" s="12">
        <f>$C$145*D177*D178</f>
        <v>0.3</v>
      </c>
      <c r="E148" s="12">
        <f>$C$145*E177*E178</f>
        <v>0.6</v>
      </c>
      <c r="F148" s="12">
        <f>$C$145*F177*F178</f>
        <v>0.6</v>
      </c>
      <c r="G148" s="12"/>
      <c r="H148" s="12"/>
      <c r="I148" s="12"/>
      <c r="J148" t="s" s="17">
        <v>376</v>
      </c>
    </row>
    <row r="149">
      <c r="B149" t="s" s="40">
        <v>278</v>
      </c>
      <c r="C149" s="34">
        <v>0</v>
      </c>
      <c r="D149" s="12">
        <f>MIN(C149+D148,Inputs!$C$64-Inputs!$C$65-D72)</f>
        <v>0.3</v>
      </c>
      <c r="E149" s="12">
        <f>MIN(D149+E148,Inputs!$C$64-Inputs!$C$65-E72)</f>
        <v>0.8999999999999999</v>
      </c>
      <c r="F149" s="12">
        <f>MIN(E149+F148,Inputs!$C$64-Inputs!$C$65-F72)</f>
        <v>1.5</v>
      </c>
      <c r="G149" s="12"/>
      <c r="H149" s="12"/>
      <c r="I149" s="12"/>
      <c r="J149" t="s" s="17">
        <v>377</v>
      </c>
    </row>
    <row r="150">
      <c r="B150" t="s" s="40">
        <v>279</v>
      </c>
      <c r="C150" s="34">
        <v>0</v>
      </c>
      <c r="D150" s="12">
        <f>AVERAGE(C149,D149)</f>
        <v>0.15</v>
      </c>
      <c r="E150" s="12">
        <f>AVERAGE(D149,E149)</f>
        <v>0.6</v>
      </c>
      <c r="F150" s="12">
        <f>AVERAGE(E149,F149)</f>
        <v>1.2</v>
      </c>
      <c r="G150" s="12"/>
      <c r="H150" s="12"/>
      <c r="I150" s="12"/>
      <c r="J150" s="17"/>
    </row>
    <row r="151">
      <c r="B151" t="s" s="40">
        <v>280</v>
      </c>
      <c r="C151" s="28">
        <v>0</v>
      </c>
      <c r="D151" s="6">
        <f>D150*$C$147*12/1000*D69</f>
        <v>0.22563900000000003</v>
      </c>
      <c r="E151" s="6">
        <f>E150*$C$147*12/1000*E69</f>
        <v>0.9273762900000002</v>
      </c>
      <c r="F151" s="6">
        <f>F150*$C$147*12/1000*F69</f>
        <v>1.9057582759500005</v>
      </c>
      <c r="G151" s="6"/>
      <c r="H151" s="6"/>
      <c r="I151" s="6"/>
      <c r="J151" t="s" s="17">
        <v>378</v>
      </c>
    </row>
    <row r="152">
      <c r="B152" t="s" s="40">
        <v>281</v>
      </c>
      <c r="C152" s="32">
        <v>0.9</v>
      </c>
      <c r="D152" s="9"/>
      <c r="E152" s="9"/>
      <c r="F152" s="9"/>
      <c r="G152" s="9"/>
      <c r="H152" s="9"/>
      <c r="I152" s="9"/>
      <c r="J152" t="s" s="17">
        <v>379</v>
      </c>
    </row>
    <row r="153">
      <c r="B153" t="s" s="14">
        <v>282</v>
      </c>
      <c r="C153" s="59">
        <v>0</v>
      </c>
      <c r="D153" s="15">
        <f>H42</f>
        <v>0.2030751</v>
      </c>
      <c r="E153" s="15">
        <f>I42</f>
        <v>0.8346386610000001</v>
      </c>
      <c r="F153" s="15">
        <f>J42</f>
        <v>1.7151824483550002</v>
      </c>
      <c r="G153" s="15"/>
      <c r="H153" s="15"/>
      <c r="I153" s="15"/>
      <c r="J153" t="s" s="17">
        <v>773</v>
      </c>
    </row>
    <row r="154">
      <c r="J154" s="17"/>
    </row>
    <row r="155">
      <c r="B155" t="s" s="16">
        <v>283</v>
      </c>
      <c r="C155" s="16"/>
      <c r="D155" s="16"/>
      <c r="E155" s="16"/>
      <c r="F155" s="16"/>
      <c r="G155" s="16"/>
      <c r="H155" s="16"/>
      <c r="I155" s="16"/>
      <c r="J155" s="37"/>
    </row>
    <row r="156">
      <c r="B156" t="s" s="41">
        <v>284</v>
      </c>
      <c r="C156" t="s" s="42">
        <v>315</v>
      </c>
      <c r="D156" t="s" s="42">
        <v>325</v>
      </c>
      <c r="E156" t="s" s="42">
        <v>327</v>
      </c>
      <c r="F156" t="s" s="42">
        <v>329</v>
      </c>
      <c r="G156" s="42"/>
      <c r="H156" s="42"/>
      <c r="I156" s="42"/>
      <c r="J156" s="50"/>
    </row>
    <row r="157">
      <c r="B157" t="s" s="40">
        <v>285</v>
      </c>
      <c r="C157" s="6">
        <f>-Inputs!$C$85</f>
        <v>2.6</v>
      </c>
      <c r="D157" s="32">
        <v>0.15</v>
      </c>
      <c r="E157" s="6">
        <f>E45</f>
        <v>0.39</v>
      </c>
      <c r="F157" s="18">
        <v>14.2</v>
      </c>
      <c r="G157" s="53"/>
      <c r="H157" s="53"/>
      <c r="I157" s="53"/>
      <c r="J157" t="s" s="17">
        <v>380</v>
      </c>
    </row>
    <row r="158">
      <c r="B158" t="s" s="40">
        <v>286</v>
      </c>
      <c r="C158" s="6">
        <f>-Inputs!$C$86</f>
        <v>0.9</v>
      </c>
      <c r="D158" s="32">
        <v>0.1</v>
      </c>
      <c r="E158" s="6">
        <f>E46</f>
        <v>0.09000000000000001</v>
      </c>
      <c r="F158" s="18">
        <v>6.1</v>
      </c>
      <c r="G158" s="53"/>
      <c r="H158" s="53"/>
      <c r="I158" s="53"/>
      <c r="J158" t="s" s="17">
        <v>381</v>
      </c>
    </row>
    <row r="159">
      <c r="B159" t="s" s="40">
        <v>287</v>
      </c>
      <c r="C159" s="6">
        <f>-Inputs!$C$87</f>
        <v>1.7</v>
      </c>
      <c r="D159" s="32">
        <v>0.05</v>
      </c>
      <c r="E159" s="6">
        <f>E47</f>
        <v>0.085</v>
      </c>
      <c r="F159" s="18">
        <v>1.8</v>
      </c>
      <c r="G159" s="53"/>
      <c r="H159" s="53"/>
      <c r="I159" s="53"/>
      <c r="J159" t="s" s="17">
        <v>382</v>
      </c>
    </row>
    <row r="160">
      <c r="B160" t="s" s="40">
        <v>288</v>
      </c>
      <c r="C160" s="6">
        <f>-Inputs!$C$84</f>
        <v>3.4</v>
      </c>
      <c r="D160" s="32">
        <v>0</v>
      </c>
      <c r="E160" s="6">
        <f>E48</f>
        <v>0</v>
      </c>
      <c r="F160" s="6"/>
      <c r="G160" s="53"/>
      <c r="H160" s="53"/>
      <c r="I160" s="53"/>
      <c r="J160" t="s" s="17">
        <v>383</v>
      </c>
    </row>
    <row r="161">
      <c r="B161" t="s" s="14">
        <v>289</v>
      </c>
      <c r="C161" s="15">
        <f>SUM(C157:C160)</f>
        <v>8.6</v>
      </c>
      <c r="D161" s="15"/>
      <c r="E161" s="15">
        <f>SUM(E157:E160)</f>
        <v>0.5650000000000001</v>
      </c>
      <c r="F161" s="15"/>
      <c r="G161" s="15"/>
      <c r="H161" s="15"/>
      <c r="I161" s="15"/>
      <c r="J161" t="s" s="17">
        <v>774</v>
      </c>
    </row>
    <row r="162">
      <c r="J162" s="17"/>
    </row>
    <row r="163">
      <c r="B163" t="s" s="16">
        <v>290</v>
      </c>
      <c r="C163" s="16"/>
      <c r="D163" s="16"/>
      <c r="E163" s="16"/>
      <c r="F163" s="16"/>
      <c r="G163" s="16"/>
      <c r="H163" s="16"/>
      <c r="I163" s="16"/>
      <c r="J163" s="37"/>
    </row>
    <row r="164">
      <c r="B164" t="s" s="40">
        <v>291</v>
      </c>
      <c r="C164" s="9"/>
      <c r="D164" s="32">
        <v>0.75</v>
      </c>
      <c r="E164" s="32">
        <v>0.25</v>
      </c>
      <c r="F164" s="32">
        <v>0</v>
      </c>
      <c r="G164" s="9"/>
      <c r="H164" s="9"/>
      <c r="I164" s="9"/>
      <c r="J164" s="17"/>
    </row>
    <row r="165">
      <c r="B165" t="s" s="40">
        <v>292</v>
      </c>
      <c r="C165" s="9"/>
      <c r="D165" s="32">
        <v>1</v>
      </c>
      <c r="E165" s="32">
        <v>0</v>
      </c>
      <c r="F165" s="32">
        <v>0</v>
      </c>
      <c r="G165" s="9"/>
      <c r="H165" s="9"/>
      <c r="I165" s="9"/>
      <c r="J165" s="17"/>
    </row>
    <row r="166">
      <c r="B166" t="s" s="40">
        <v>293</v>
      </c>
      <c r="C166" s="34">
        <v>0.5</v>
      </c>
      <c r="D166" s="12"/>
      <c r="E166" s="12"/>
      <c r="F166" s="12"/>
      <c r="G166" s="12"/>
      <c r="H166" s="12"/>
      <c r="I166" s="12"/>
      <c r="J166" t="s" s="17">
        <v>114</v>
      </c>
    </row>
    <row r="167">
      <c r="B167" t="s" s="40">
        <v>294</v>
      </c>
      <c r="C167" s="6">
        <f>-C166*(I104+I105+I106)</f>
        <v>-1.5356962025316454</v>
      </c>
      <c r="D167" s="6">
        <f>$C$167*D164</f>
        <v>-1.151772151898734</v>
      </c>
      <c r="E167" s="6">
        <f>$C$167*E164</f>
        <v>-0.38392405063291135</v>
      </c>
      <c r="F167" s="6">
        <f>$C$167*F164</f>
        <v>0</v>
      </c>
      <c r="G167" s="6"/>
      <c r="H167" s="6"/>
      <c r="I167" s="6"/>
      <c r="J167" t="s" s="17">
        <v>385</v>
      </c>
    </row>
    <row r="168">
      <c r="B168" t="s" s="40">
        <v>295</v>
      </c>
      <c r="C168" s="28">
        <v>-0.6</v>
      </c>
      <c r="D168" s="6">
        <f>$C$168*D164</f>
        <v>-0.44999999999999996</v>
      </c>
      <c r="E168" s="6">
        <f>$C$168*E164</f>
        <v>-0.15</v>
      </c>
      <c r="F168" s="6">
        <f>$C$168*F164</f>
        <v>0</v>
      </c>
      <c r="G168" s="6"/>
      <c r="H168" s="6"/>
      <c r="I168" s="6"/>
      <c r="J168" t="s" s="17">
        <v>114</v>
      </c>
    </row>
    <row r="169">
      <c r="B169" t="s" s="40">
        <v>296</v>
      </c>
      <c r="C169" s="28">
        <v>-0.3</v>
      </c>
      <c r="D169" s="6">
        <f>$C$169*D164</f>
        <v>-0.22499999999999998</v>
      </c>
      <c r="E169" s="6">
        <f>$C$169*E164</f>
        <v>-0.075</v>
      </c>
      <c r="F169" s="6">
        <f>$C$169*F164</f>
        <v>0</v>
      </c>
      <c r="G169" s="6"/>
      <c r="H169" s="6"/>
      <c r="I169" s="6"/>
      <c r="J169" t="s" s="17">
        <v>114</v>
      </c>
    </row>
    <row r="170">
      <c r="B170" t="s" s="14">
        <v>297</v>
      </c>
      <c r="C170" s="15">
        <f>SUM(C167:C169)</f>
        <v>-2.4356962025316453</v>
      </c>
      <c r="D170" s="15">
        <f>SUM(D167:D169)</f>
        <v>-1.826772151898734</v>
      </c>
      <c r="E170" s="15">
        <f>SUM(E167:E169)</f>
        <v>-0.6089240506329113</v>
      </c>
      <c r="F170" s="15">
        <f>SUM(F167:F169)</f>
        <v>0</v>
      </c>
      <c r="G170" s="15"/>
      <c r="H170" s="15"/>
      <c r="I170" s="15"/>
      <c r="J170" t="s" s="17">
        <v>386</v>
      </c>
    </row>
    <row r="171">
      <c r="B171" t="s" s="40">
        <v>298</v>
      </c>
      <c r="C171" s="28">
        <v>-1.5</v>
      </c>
      <c r="D171" s="6">
        <f>$C$171*D165</f>
        <v>-1.5</v>
      </c>
      <c r="E171" s="6">
        <f>$C$171*E165</f>
        <v>0</v>
      </c>
      <c r="F171" s="6">
        <f>$C$171*F165</f>
        <v>0</v>
      </c>
      <c r="G171" s="6"/>
      <c r="H171" s="6"/>
      <c r="I171" s="6"/>
      <c r="J171" t="s" s="17">
        <v>114</v>
      </c>
    </row>
    <row r="172">
      <c r="B172" t="s" s="40">
        <v>299</v>
      </c>
      <c r="C172" s="28">
        <v>-0.5</v>
      </c>
      <c r="D172" s="6">
        <f>$C$172*D165</f>
        <v>-0.5</v>
      </c>
      <c r="E172" s="6">
        <f>$C$172*E165</f>
        <v>0</v>
      </c>
      <c r="F172" s="6">
        <f>$C$172*F165</f>
        <v>0</v>
      </c>
      <c r="G172" s="6"/>
      <c r="H172" s="6"/>
      <c r="I172" s="6"/>
      <c r="J172" t="s" s="17">
        <v>114</v>
      </c>
    </row>
    <row r="173">
      <c r="B173" t="s" s="14">
        <v>300</v>
      </c>
      <c r="C173" s="15">
        <f>SUM(C171:C172)</f>
        <v>-2</v>
      </c>
      <c r="D173" s="15">
        <f>SUM(D171:D172)</f>
        <v>-2</v>
      </c>
      <c r="E173" s="15">
        <f>SUM(E171:E172)</f>
        <v>0</v>
      </c>
      <c r="F173" s="15">
        <f>SUM(F171:F172)</f>
        <v>0</v>
      </c>
      <c r="G173" s="15"/>
      <c r="H173" s="15"/>
      <c r="I173" s="15"/>
      <c r="J173" t="s" s="17">
        <v>386</v>
      </c>
    </row>
    <row r="174">
      <c r="J174" s="17"/>
    </row>
    <row r="175">
      <c r="B175" t="s" s="16">
        <v>301</v>
      </c>
      <c r="C175" s="16"/>
      <c r="D175" s="16"/>
      <c r="E175" s="16"/>
      <c r="F175" s="16"/>
      <c r="G175" s="16"/>
      <c r="H175" s="16"/>
      <c r="I175" s="16"/>
      <c r="J175" s="37"/>
    </row>
    <row r="176">
      <c r="B176" t="s" s="1">
        <v>211</v>
      </c>
      <c r="C176" t="s" s="1">
        <v>316</v>
      </c>
      <c r="D176" s="56">
        <v>47118</v>
      </c>
      <c r="E176" s="56">
        <v>47483</v>
      </c>
      <c r="F176" s="56">
        <v>47848</v>
      </c>
      <c r="G176" s="1"/>
      <c r="H176" s="1"/>
      <c r="I176" s="1"/>
      <c r="J176" s="17"/>
    </row>
    <row r="177">
      <c r="B177" t="s" s="40">
        <v>302</v>
      </c>
      <c r="C177" s="32">
        <v>1</v>
      </c>
      <c r="D177" s="9">
        <f>H52</f>
        <v>0.5</v>
      </c>
      <c r="E177" s="9">
        <f>I52</f>
        <v>1</v>
      </c>
      <c r="F177" s="9">
        <f>J52</f>
        <v>1</v>
      </c>
      <c r="G177" s="9"/>
      <c r="H177" s="9"/>
      <c r="I177" s="9"/>
      <c r="J177" t="s" s="17">
        <v>775</v>
      </c>
    </row>
    <row r="178">
      <c r="B178" t="s" s="40">
        <v>303</v>
      </c>
      <c r="C178" s="58">
        <f>Inputs!$C$107</f>
        <v>1</v>
      </c>
      <c r="D178" s="58">
        <f>Inputs!$C$107</f>
        <v>1</v>
      </c>
      <c r="E178" s="58">
        <f>Inputs!$C$107</f>
        <v>1</v>
      </c>
      <c r="F178" s="58">
        <f>Inputs!$C$107</f>
        <v>1</v>
      </c>
      <c r="G178" s="9"/>
      <c r="H178" s="9"/>
      <c r="I178" s="9"/>
      <c r="J178" t="s" s="17">
        <v>388</v>
      </c>
    </row>
    <row r="179">
      <c r="B179" t="s" s="40">
        <v>304</v>
      </c>
      <c r="C179" s="6">
        <f>E56*C178</f>
        <v>0.952272284704426</v>
      </c>
      <c r="D179" s="6">
        <f>H56</f>
        <v>0.4904202266227794</v>
      </c>
      <c r="E179" s="6">
        <f>I56</f>
        <v>1.0102656668429257</v>
      </c>
      <c r="F179" s="6">
        <f>J56</f>
        <v>1.0405736368482135</v>
      </c>
      <c r="G179" s="6"/>
      <c r="H179" s="6"/>
      <c r="I179" s="6"/>
      <c r="J179" t="s" s="17">
        <v>776</v>
      </c>
    </row>
    <row r="180">
      <c r="B180" t="s" s="40">
        <v>305</v>
      </c>
      <c r="C180" s="6">
        <f>E55*C178</f>
        <v>4.124556962025316</v>
      </c>
      <c r="D180" s="6">
        <f>H55</f>
        <v>2.062278481012658</v>
      </c>
      <c r="E180" s="6">
        <f>I55</f>
        <v>4.124556962025316</v>
      </c>
      <c r="F180" s="6">
        <f>J55</f>
        <v>4.124556962025316</v>
      </c>
      <c r="G180" s="6"/>
      <c r="H180" s="6"/>
      <c r="I180" s="6"/>
      <c r="J180" s="17"/>
    </row>
    <row r="181">
      <c r="B181" t="s" s="40">
        <v>306</v>
      </c>
      <c r="C181" s="6">
        <f>E59*C178</f>
        <v>0.5650000000000001</v>
      </c>
      <c r="D181" s="6">
        <f>H59</f>
        <v>0.28250000000000003</v>
      </c>
      <c r="E181" s="6">
        <f>I59</f>
        <v>0.5650000000000001</v>
      </c>
      <c r="F181" s="6">
        <f>J59</f>
        <v>0.5650000000000001</v>
      </c>
      <c r="G181" s="6"/>
      <c r="H181" s="6"/>
      <c r="I181" s="6"/>
      <c r="J181" s="17"/>
    </row>
    <row r="182">
      <c r="B182" t="s" s="40">
        <v>307</v>
      </c>
      <c r="C182" s="6">
        <f>E57*C178</f>
        <v>0.26105999999999996</v>
      </c>
      <c r="D182" s="6">
        <f>H57</f>
        <v>0.13052999999999998</v>
      </c>
      <c r="E182" s="6">
        <f>I57</f>
        <v>0.26105999999999996</v>
      </c>
      <c r="F182" s="6">
        <f>J57</f>
        <v>0.26105999999999996</v>
      </c>
      <c r="G182" s="6"/>
      <c r="H182" s="6"/>
      <c r="I182" s="6"/>
      <c r="J182" s="17"/>
    </row>
    <row r="183">
      <c r="B183" t="s" s="40">
        <v>308</v>
      </c>
      <c r="C183" s="6"/>
      <c r="D183" s="6">
        <f>H58</f>
        <v>0.2030751</v>
      </c>
      <c r="E183" s="6">
        <f>I58</f>
        <v>0.8346386610000001</v>
      </c>
      <c r="F183" s="6">
        <f>J58</f>
        <v>1.7151824483550002</v>
      </c>
      <c r="G183" s="6"/>
      <c r="H183" s="6"/>
      <c r="I183" s="6"/>
      <c r="J183" t="s" s="17">
        <v>389</v>
      </c>
    </row>
    <row r="184">
      <c r="B184" t="s" s="14">
        <v>309</v>
      </c>
      <c r="C184" s="15">
        <f>SUM(C179:C183)</f>
        <v>5.9028892467297425</v>
      </c>
      <c r="D184" s="15">
        <f>SUM(D179:D183)</f>
        <v>3.1688038076354377</v>
      </c>
      <c r="E184" s="15">
        <f>SUM(E179:E183)</f>
        <v>6.795521289868242</v>
      </c>
      <c r="F184" s="15">
        <f>SUM(F179:F183)</f>
        <v>7.70637304722853</v>
      </c>
      <c r="G184" s="15"/>
      <c r="H184" s="15"/>
      <c r="I184" s="15"/>
      <c r="J184" t="s" s="17">
        <v>390</v>
      </c>
    </row>
    <row r="185">
      <c r="B185" t="s" s="40">
        <v>310</v>
      </c>
      <c r="C185" s="6">
        <f>SUM(C179:C181)</f>
        <v>5.641829246729743</v>
      </c>
      <c r="D185" s="6">
        <f>SUM(D179:D181)</f>
        <v>2.835198707635438</v>
      </c>
      <c r="E185" s="6">
        <f>SUM(E179:E181)</f>
        <v>5.699822628868243</v>
      </c>
      <c r="F185" s="6">
        <f>SUM(F179:F181)</f>
        <v>5.73013059887353</v>
      </c>
      <c r="G185" s="6"/>
      <c r="H185" s="6"/>
      <c r="I185" s="6"/>
      <c r="J185" t="s" s="17">
        <v>391</v>
      </c>
    </row>
    <row r="186">
      <c r="B186" t="s" s="14">
        <v>311</v>
      </c>
      <c r="C186" s="15">
        <f>C84+C184</f>
        <v>21.002889246729747</v>
      </c>
      <c r="D186" s="15">
        <f>D84+D184</f>
        <v>19.093428807635448</v>
      </c>
      <c r="E186" s="15">
        <f>E84+E184</f>
        <v>24.05366410236826</v>
      </c>
      <c r="F186" s="15">
        <f>F84+F184</f>
        <v>26.359197679259786</v>
      </c>
      <c r="G186" s="15"/>
      <c r="H186" s="15"/>
      <c r="I186" s="15"/>
      <c r="J186" t="s" s="17">
        <v>392</v>
      </c>
    </row>
    <row r="187">
      <c r="B187" t="s" s="3">
        <v>312</v>
      </c>
      <c r="C187" s="39">
        <f>C184/Inputs!$C$83</f>
        <v>0.39091981766422124</v>
      </c>
      <c r="D187" s="39">
        <f>D184/Inputs!$C$83</f>
        <v>0.20985455679704879</v>
      </c>
      <c r="E187" s="39">
        <f>E184/Inputs!$C$83</f>
        <v>0.45003452250783044</v>
      </c>
      <c r="F187" s="39">
        <f>F184/Inputs!$C$83</f>
        <v>0.5103558309422865</v>
      </c>
      <c r="G187" s="39"/>
      <c r="H187" s="39"/>
      <c r="I187" s="39"/>
      <c r="J187" s="17"/>
    </row>
    <row r="188">
      <c r="B188" t="s" s="40">
        <v>313</v>
      </c>
      <c r="C188" s="6"/>
      <c r="D188" s="6">
        <f>H61</f>
        <v>-1.826772151898734</v>
      </c>
      <c r="E188" s="6">
        <f>I61</f>
        <v>-0.6089240506329113</v>
      </c>
      <c r="F188" s="6">
        <f>J61</f>
        <v>0</v>
      </c>
      <c r="G188" s="6"/>
      <c r="H188" s="6"/>
      <c r="I188" s="6"/>
      <c r="J188" t="s" s="17">
        <v>393</v>
      </c>
    </row>
    <row r="189">
      <c r="B189" t="s" s="40">
        <v>314</v>
      </c>
      <c r="C189" s="6"/>
      <c r="D189" s="6">
        <f>H62</f>
        <v>-2</v>
      </c>
      <c r="E189" s="6">
        <f>I62</f>
        <v>0</v>
      </c>
      <c r="F189" s="6">
        <f>J62</f>
        <v>0</v>
      </c>
      <c r="G189" s="6"/>
      <c r="H189" s="6"/>
      <c r="I189" s="6"/>
      <c r="J189" s="17"/>
    </row>
    <row r="190">
      <c r="B190" t="s" s="3">
        <v>698</v>
      </c>
      <c r="C190" s="94">
        <f>-(C170+C173)/C185</f>
        <v>0.7862159609142324</v>
      </c>
      <c r="J190" t="s" s="17">
        <v>777</v>
      </c>
    </row>
  </sheetData>
  <pageMargins left="0.7" right="0.7" top="0.75" bottom="0.75" header="0.3" footer="0.3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1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7" width="13.64453125" customWidth="1"/>
  </cols>
  <sheetData>
    <row r="2">
      <c r="B2" t="s" s="2">
        <v>648</v>
      </c>
    </row>
    <row r="3">
      <c r="B3" t="str" s="38">
        <f>"Takeaway: net debt rises from "&amp;TEXT(C62,"$#,##0")&amp;"M at close to "&amp;TEXT(D62,"$#,##0")&amp;"M at 31-Dec-27 ("&amp;TEXT(D63,"0.00x")&amp;" FY27 EBITDA) as the DDTL and "&amp;TEXT(D55,"$0")&amp;"M of revolver fund FY27 development capex. FY28 needs "&amp;TEXT(E56,"$0")&amp;"M of debt above the revolver."</f>
        <v>Takeaway: net debt rises from $1,294M at close to $1,580M at 31-Dec-27 (5.00x FY27 EBITDA) as the DDTL and $50M of revolver fund FY27 development capex. FY28 needs $113M of debt above the revolver.</v>
      </c>
    </row>
    <row r="4">
      <c r="B4" t="s" s="4">
        <v>649</v>
      </c>
    </row>
    <row r="5">
      <c r="B5" s="4"/>
    </row>
    <row r="6">
      <c r="H6" s="17"/>
    </row>
    <row r="7">
      <c r="H7" s="17"/>
    </row>
    <row r="8">
      <c r="B8" t="s" s="16">
        <v>394</v>
      </c>
      <c r="C8" s="16"/>
      <c r="D8" s="16"/>
      <c r="E8" s="16"/>
      <c r="F8" s="16"/>
      <c r="G8" s="16"/>
      <c r="H8" s="37"/>
    </row>
    <row r="9">
      <c r="B9" t="s" s="40">
        <v>395</v>
      </c>
      <c r="C9" s="6">
        <f>Inputs!$C$11*Inputs!$C$12</f>
        <v>4896</v>
      </c>
      <c r="D9" s="6"/>
      <c r="E9" s="6"/>
      <c r="F9" s="6"/>
      <c r="G9" s="6"/>
      <c r="H9" s="17"/>
    </row>
    <row r="10">
      <c r="B10" t="s" s="40">
        <v>396</v>
      </c>
      <c r="C10" s="43">
        <f>Inputs!$C$13</f>
        <v>50</v>
      </c>
      <c r="D10" s="6"/>
      <c r="E10" s="6"/>
      <c r="F10" s="6"/>
      <c r="G10" s="6"/>
      <c r="H10" s="17"/>
    </row>
    <row r="11">
      <c r="B11" t="s" s="40">
        <v>397</v>
      </c>
      <c r="C11" s="6">
        <f>Inputs!$C$17*(1-Inputs!$C$18/100)</f>
        <v>13.440000000000012</v>
      </c>
      <c r="D11" s="6"/>
      <c r="E11" s="6"/>
      <c r="F11" s="6"/>
      <c r="G11" s="6"/>
      <c r="H11" t="s" s="17">
        <v>449</v>
      </c>
    </row>
    <row r="12">
      <c r="B12" t="s" s="40">
        <v>398</v>
      </c>
      <c r="C12" s="6">
        <f>Inputs!$C$29*(Inputs!$C$17+Inputs!$C$23)</f>
        <v>35.865</v>
      </c>
      <c r="D12" s="6"/>
      <c r="E12" s="6"/>
      <c r="F12" s="6"/>
      <c r="G12" s="6"/>
      <c r="H12" t="s" s="17">
        <v>450</v>
      </c>
    </row>
    <row r="13">
      <c r="B13" t="s" s="40">
        <v>399</v>
      </c>
      <c r="C13" s="6">
        <f>Inputs!$C$30*Inputs!$C$26</f>
        <v>2.6250000000000004</v>
      </c>
      <c r="D13" s="6"/>
      <c r="E13" s="6"/>
      <c r="F13" s="6"/>
      <c r="G13" s="6"/>
      <c r="H13" t="s" s="17">
        <v>451</v>
      </c>
    </row>
    <row r="14">
      <c r="B14" t="s" s="14">
        <v>400</v>
      </c>
      <c r="C14" s="15">
        <f>SUM(C9:C13)</f>
        <v>4997.929999999999</v>
      </c>
      <c r="D14" s="15"/>
      <c r="E14" s="15"/>
      <c r="F14" s="15"/>
      <c r="G14" s="15"/>
      <c r="H14" s="17"/>
    </row>
    <row r="15">
      <c r="B15" t="s" s="40">
        <v>10</v>
      </c>
      <c r="C15" s="43">
        <f>Inputs!$C$17</f>
        <v>1344</v>
      </c>
      <c r="D15" s="6"/>
      <c r="E15" s="6"/>
      <c r="F15" s="6"/>
      <c r="G15" s="6"/>
      <c r="H15" t="s" s="17">
        <v>452</v>
      </c>
    </row>
    <row r="16">
      <c r="B16" t="s" s="40">
        <v>401</v>
      </c>
      <c r="C16" s="6">
        <f>C14-C15</f>
        <v>3653.9299999999994</v>
      </c>
      <c r="D16" s="6"/>
      <c r="E16" s="6"/>
      <c r="F16" s="6"/>
      <c r="G16" s="6"/>
      <c r="H16" s="17"/>
    </row>
    <row r="17">
      <c r="B17" t="s" s="14">
        <v>402</v>
      </c>
      <c r="C17" s="15">
        <f>C15+C16</f>
        <v>4997.929999999999</v>
      </c>
      <c r="D17" s="15"/>
      <c r="E17" s="15"/>
      <c r="F17" s="15"/>
      <c r="G17" s="15"/>
      <c r="H17" s="17"/>
    </row>
    <row r="18">
      <c r="B18" t="s" s="3">
        <v>403</v>
      </c>
      <c r="C18" s="39">
        <f>C16/(C16+C15)</f>
        <v>0.7310886707096738</v>
      </c>
      <c r="D18" s="64">
        <f>Inputs!$C$41</f>
        <v>0.4</v>
      </c>
      <c r="E18" s="39">
        <f>C18-D18</f>
        <v>0.33108867070967374</v>
      </c>
      <c r="F18" s="39"/>
      <c r="G18" s="39"/>
      <c r="H18" t="s" s="17">
        <v>453</v>
      </c>
    </row>
    <row r="19">
      <c r="B19" t="s" s="40">
        <v>404</v>
      </c>
      <c r="C19" s="6">
        <f>C16/Inputs!$C$14</f>
        <v>365.3929999999999</v>
      </c>
      <c r="D19" s="6"/>
      <c r="E19" s="6"/>
      <c r="F19" s="6"/>
      <c r="G19" s="6"/>
      <c r="H19" t="s" s="17">
        <v>454</v>
      </c>
    </row>
    <row r="20">
      <c r="B20" t="s" s="14">
        <v>405</v>
      </c>
      <c r="C20" s="96">
        <f>(Inputs!$C$17-Inputs!$C$13)/Inputs!$C$12</f>
        <v>4.757352941176471</v>
      </c>
      <c r="D20" s="96"/>
      <c r="E20" s="96"/>
      <c r="F20" s="96"/>
      <c r="G20" s="96"/>
      <c r="H20" t="s" s="17">
        <v>455</v>
      </c>
    </row>
    <row r="21">
      <c r="H21" s="17"/>
    </row>
    <row r="22">
      <c r="B22" t="s" s="16">
        <v>406</v>
      </c>
      <c r="C22" s="16"/>
      <c r="D22" s="16"/>
      <c r="E22" s="16"/>
      <c r="F22" s="16"/>
      <c r="G22" s="16"/>
      <c r="H22" s="37"/>
    </row>
    <row r="23">
      <c r="B23" t="s" s="1">
        <v>211</v>
      </c>
      <c r="C23" s="63">
        <v>46387</v>
      </c>
      <c r="D23" s="56">
        <v>46752</v>
      </c>
      <c r="E23" s="56">
        <v>47118</v>
      </c>
      <c r="F23" s="56">
        <v>47483</v>
      </c>
      <c r="G23" s="56">
        <v>47848</v>
      </c>
      <c r="H23" s="17"/>
    </row>
    <row r="24">
      <c r="B24" t="s" s="14">
        <v>407</v>
      </c>
      <c r="C24" s="45">
        <v>272</v>
      </c>
      <c r="D24" s="45">
        <v>316</v>
      </c>
      <c r="E24" s="45">
        <v>388</v>
      </c>
      <c r="F24" s="45">
        <v>462</v>
      </c>
      <c r="G24" s="45">
        <v>540</v>
      </c>
      <c r="H24" t="s" s="17">
        <v>456</v>
      </c>
    </row>
    <row r="25">
      <c r="B25" t="s" s="40">
        <v>408</v>
      </c>
      <c r="C25" s="6"/>
      <c r="D25" s="18">
        <v>480</v>
      </c>
      <c r="E25" s="18">
        <v>450</v>
      </c>
      <c r="F25" s="18">
        <v>400</v>
      </c>
      <c r="G25" s="18">
        <v>350</v>
      </c>
      <c r="H25" t="s" s="17">
        <v>457</v>
      </c>
    </row>
    <row r="26">
      <c r="B26" t="s" s="40">
        <v>409</v>
      </c>
      <c r="C26" s="6"/>
      <c r="D26" s="18">
        <v>16</v>
      </c>
      <c r="E26" s="18">
        <v>17.5</v>
      </c>
      <c r="F26" s="18">
        <v>18.5</v>
      </c>
      <c r="G26" s="18">
        <v>19.5</v>
      </c>
      <c r="H26" t="s" s="17">
        <v>458</v>
      </c>
    </row>
    <row r="27">
      <c r="B27" t="s" s="40">
        <v>410</v>
      </c>
      <c r="C27" s="6"/>
      <c r="D27" s="6">
        <f>-D26</f>
        <v>-16</v>
      </c>
      <c r="E27" s="6">
        <f>-E26</f>
        <v>-17.5</v>
      </c>
      <c r="F27" s="6">
        <f>-F26</f>
        <v>-18.5</v>
      </c>
      <c r="G27" s="6">
        <f>-G26</f>
        <v>-19.5</v>
      </c>
      <c r="H27" s="17"/>
    </row>
    <row r="28">
      <c r="B28" t="s" s="40">
        <v>411</v>
      </c>
      <c r="C28" s="6"/>
      <c r="D28" s="6">
        <f>-D25</f>
        <v>-480</v>
      </c>
      <c r="E28" s="6">
        <f>-E25</f>
        <v>-450</v>
      </c>
      <c r="F28" s="6">
        <f>-F25</f>
        <v>-400</v>
      </c>
      <c r="G28" s="6">
        <f>-G25</f>
        <v>-350</v>
      </c>
      <c r="H28" s="17"/>
    </row>
    <row r="29">
      <c r="B29" t="s" s="40">
        <v>412</v>
      </c>
      <c r="C29" s="6"/>
      <c r="D29" s="6">
        <f>-Inputs!$C$42*D24</f>
        <v>0</v>
      </c>
      <c r="E29" s="6">
        <f>-Inputs!$C$42*E24</f>
        <v>0</v>
      </c>
      <c r="F29" s="6">
        <f>-Inputs!$C$42*F24</f>
        <v>0</v>
      </c>
      <c r="G29" s="6">
        <f>-Inputs!$C$42*G24</f>
        <v>0</v>
      </c>
      <c r="H29" t="s" s="17">
        <v>459</v>
      </c>
    </row>
    <row r="30">
      <c r="B30" t="s" s="14">
        <v>413</v>
      </c>
      <c r="C30" s="15"/>
      <c r="D30" s="15">
        <f>D24+D27+D28+D29</f>
        <v>-180</v>
      </c>
      <c r="E30" s="15">
        <f>E24+E27+E28+E29</f>
        <v>-79.5</v>
      </c>
      <c r="F30" s="15">
        <f>F24+F27+F28+F29</f>
        <v>43.5</v>
      </c>
      <c r="G30" s="15">
        <f>G24+G27+G28+G29</f>
        <v>170.5</v>
      </c>
      <c r="H30" s="17"/>
    </row>
    <row r="31">
      <c r="B31" t="s" s="16">
        <v>414</v>
      </c>
      <c r="C31" s="16"/>
      <c r="D31" s="16"/>
      <c r="E31" s="16"/>
      <c r="F31" s="16"/>
      <c r="G31" s="16"/>
      <c r="H31" s="37"/>
    </row>
    <row r="32">
      <c r="B32" t="s" s="40">
        <v>415</v>
      </c>
      <c r="C32" s="6"/>
      <c r="D32" s="6">
        <f>C34</f>
        <v>1344</v>
      </c>
      <c r="E32" s="6">
        <f>D34</f>
        <v>1330.56</v>
      </c>
      <c r="F32" s="6">
        <f>E34</f>
        <v>1317.12</v>
      </c>
      <c r="G32" s="6">
        <f>F34</f>
        <v>1303.6799999999998</v>
      </c>
      <c r="H32" s="17"/>
    </row>
    <row r="33">
      <c r="B33" t="s" s="40">
        <v>416</v>
      </c>
      <c r="C33" s="6"/>
      <c r="D33" s="6">
        <f>-MIN(D32,Inputs!$C$22*Inputs!$C$17)</f>
        <v>-13.44</v>
      </c>
      <c r="E33" s="6">
        <f>-MIN(E32,Inputs!$C$22*Inputs!$C$17)</f>
        <v>-13.44</v>
      </c>
      <c r="F33" s="6">
        <f>-MIN(F32,Inputs!$C$22*Inputs!$C$17)</f>
        <v>-13.44</v>
      </c>
      <c r="G33" s="6">
        <f>-MIN(G32,Inputs!$C$22*Inputs!$C$17)</f>
        <v>-13.44</v>
      </c>
      <c r="H33" t="s" s="17">
        <v>460</v>
      </c>
    </row>
    <row r="34">
      <c r="B34" t="s" s="14">
        <v>417</v>
      </c>
      <c r="C34" s="44">
        <f>Inputs!$C$17</f>
        <v>1344</v>
      </c>
      <c r="D34" s="15">
        <f>D32+D33</f>
        <v>1330.56</v>
      </c>
      <c r="E34" s="15">
        <f>E32+E33</f>
        <v>1317.12</v>
      </c>
      <c r="F34" s="15">
        <f>F32+F33</f>
        <v>1303.6799999999998</v>
      </c>
      <c r="G34" s="15">
        <f>G32+G33</f>
        <v>1290.2399999999998</v>
      </c>
      <c r="H34" s="17"/>
    </row>
    <row r="35">
      <c r="B35" t="s" s="3">
        <v>418</v>
      </c>
      <c r="C35" s="61"/>
      <c r="D35" s="61">
        <f>MAX(Inputs!$C$21,Inputs!$C$20)+Inputs!$C$19</f>
        <v>0.0675</v>
      </c>
      <c r="E35" s="61">
        <f>MAX(Inputs!$C$21,Inputs!$C$20)+Inputs!$C$19</f>
        <v>0.0675</v>
      </c>
      <c r="F35" s="61">
        <f>MAX(Inputs!$C$21,Inputs!$C$20)+Inputs!$C$19</f>
        <v>0.0675</v>
      </c>
      <c r="G35" s="61">
        <f>MAX(Inputs!$C$21,Inputs!$C$20)+Inputs!$C$19</f>
        <v>0.0675</v>
      </c>
      <c r="H35" t="s" s="17">
        <v>461</v>
      </c>
    </row>
    <row r="36">
      <c r="B36" t="s" s="40">
        <v>419</v>
      </c>
      <c r="C36" s="6"/>
      <c r="D36" s="6">
        <f>-D35*AVERAGE(D32,D34)</f>
        <v>-90.2664</v>
      </c>
      <c r="E36" s="6">
        <f>-E35*AVERAGE(E32,E34)</f>
        <v>-89.3592</v>
      </c>
      <c r="F36" s="6">
        <f>-F35*AVERAGE(F32,F34)</f>
        <v>-88.452</v>
      </c>
      <c r="G36" s="6">
        <f>-G35*AVERAGE(G32,G34)</f>
        <v>-87.5448</v>
      </c>
      <c r="H36" t="s" s="17">
        <v>462</v>
      </c>
    </row>
    <row r="37">
      <c r="B37" t="s" s="16">
        <v>420</v>
      </c>
      <c r="C37" s="16"/>
      <c r="D37" s="16"/>
      <c r="E37" s="16"/>
      <c r="F37" s="16"/>
      <c r="G37" s="16"/>
      <c r="H37" s="37"/>
    </row>
    <row r="38">
      <c r="B38" t="s" s="40">
        <v>415</v>
      </c>
      <c r="C38" s="6"/>
      <c r="D38" s="6">
        <f>C42</f>
        <v>0</v>
      </c>
      <c r="E38" s="6">
        <f>D42</f>
        <v>248.73972602739727</v>
      </c>
      <c r="F38" s="6">
        <f>E42</f>
        <v>246.23972602739727</v>
      </c>
      <c r="G38" s="6">
        <f>F42</f>
        <v>243.73972602739727</v>
      </c>
      <c r="H38" s="17"/>
    </row>
    <row r="39">
      <c r="B39" t="s" s="40">
        <v>421</v>
      </c>
      <c r="C39" s="6"/>
      <c r="D39" s="43">
        <f>Inputs!$C$23</f>
        <v>250</v>
      </c>
      <c r="E39" s="28">
        <v>0</v>
      </c>
      <c r="F39" s="28">
        <v>0</v>
      </c>
      <c r="G39" s="28">
        <v>0</v>
      </c>
      <c r="H39" t="s" s="17">
        <v>463</v>
      </c>
    </row>
    <row r="40">
      <c r="B40" t="s" s="40">
        <v>422</v>
      </c>
      <c r="C40" s="12"/>
      <c r="D40" s="12">
        <f>(D23-Inputs!$C$25)/365</f>
        <v>0.5041095890410959</v>
      </c>
      <c r="E40" s="34">
        <v>1</v>
      </c>
      <c r="F40" s="34">
        <v>1</v>
      </c>
      <c r="G40" s="34">
        <v>1</v>
      </c>
      <c r="H40" t="s" s="17">
        <v>464</v>
      </c>
    </row>
    <row r="41">
      <c r="B41" t="s" s="40">
        <v>416</v>
      </c>
      <c r="C41" s="6"/>
      <c r="D41" s="6">
        <f>-MIN(D38+D39,Inputs!$C$22*Inputs!$C$23*D40)</f>
        <v>-1.2602739726027399</v>
      </c>
      <c r="E41" s="6">
        <f>-MIN(E38+E39,Inputs!$C$22*Inputs!$C$23*E40)</f>
        <v>-2.5</v>
      </c>
      <c r="F41" s="6">
        <f>-MIN(F38+F39,Inputs!$C$22*Inputs!$C$23*F40)</f>
        <v>-2.5</v>
      </c>
      <c r="G41" s="6">
        <f>-MIN(G38+G39,Inputs!$C$22*Inputs!$C$23*G40)</f>
        <v>-2.5</v>
      </c>
      <c r="H41" t="s" s="17">
        <v>465</v>
      </c>
    </row>
    <row r="42">
      <c r="B42" t="s" s="14">
        <v>417</v>
      </c>
      <c r="C42" s="59">
        <v>0</v>
      </c>
      <c r="D42" s="15">
        <f>D38+D39+D41</f>
        <v>248.73972602739727</v>
      </c>
      <c r="E42" s="15">
        <f>E38+E39+E41</f>
        <v>246.23972602739727</v>
      </c>
      <c r="F42" s="15">
        <f>F38+F39+F41</f>
        <v>243.73972602739727</v>
      </c>
      <c r="G42" s="15">
        <f>G38+G39+G41</f>
        <v>241.23972602739727</v>
      </c>
      <c r="H42" s="17"/>
    </row>
    <row r="43">
      <c r="B43" t="s" s="40">
        <v>419</v>
      </c>
      <c r="C43" s="6"/>
      <c r="D43" s="6">
        <f>-D35*D39*D40</f>
        <v>-8.506849315068493</v>
      </c>
      <c r="E43" s="6">
        <f>-E35*AVERAGE(E38,E42)</f>
        <v>-16.705556506849316</v>
      </c>
      <c r="F43" s="6">
        <f>-F35*AVERAGE(F38,F42)</f>
        <v>-16.536806506849317</v>
      </c>
      <c r="G43" s="6">
        <f>-G35*AVERAGE(G38,G42)</f>
        <v>-16.368056506849317</v>
      </c>
      <c r="H43" t="s" s="17">
        <v>466</v>
      </c>
    </row>
    <row r="44">
      <c r="B44" t="s" s="40">
        <v>423</v>
      </c>
      <c r="C44" s="6"/>
      <c r="D44" s="6">
        <f>-D39*(1-Inputs!$C$24/100)</f>
        <v>-2.500000000000002</v>
      </c>
      <c r="E44" s="6">
        <f>-E39*(1-Inputs!$C$24/100)</f>
        <v>0</v>
      </c>
      <c r="F44" s="6">
        <f>-F39*(1-Inputs!$C$24/100)</f>
        <v>0</v>
      </c>
      <c r="G44" s="6">
        <f>-G39*(1-Inputs!$C$24/100)</f>
        <v>0</v>
      </c>
      <c r="H44" t="s" s="17">
        <v>467</v>
      </c>
    </row>
    <row r="45">
      <c r="B45" t="s" s="40">
        <v>424</v>
      </c>
      <c r="C45" s="6"/>
      <c r="D45" s="6">
        <f>-Inputs!$C$23*Inputs!$C$19*(Inputs!$C$32*MAX(0,MIN(Inputs!$C$25-Inputs!$C$8,120)-60)+Inputs!$C$33*MAX(0,Inputs!$C$25-Inputs!$C$8-120))/365</f>
        <v>-1.86986301369863</v>
      </c>
      <c r="E45" s="28">
        <v>0</v>
      </c>
      <c r="F45" s="28">
        <v>0</v>
      </c>
      <c r="G45" s="28">
        <v>0</v>
      </c>
      <c r="H45" t="s" s="17">
        <v>468</v>
      </c>
    </row>
    <row r="46">
      <c r="B46" t="s" s="16">
        <v>425</v>
      </c>
      <c r="C46" s="16"/>
      <c r="D46" s="16"/>
      <c r="E46" s="16"/>
      <c r="F46" s="16"/>
      <c r="G46" s="16"/>
      <c r="H46" s="37"/>
    </row>
    <row r="47">
      <c r="B47" t="s" s="40">
        <v>21</v>
      </c>
      <c r="C47" s="6"/>
      <c r="D47" s="6">
        <f>-Inputs!$C$28*MAX(0,Inputs!$C$26-D50)</f>
        <v>-0.5625</v>
      </c>
      <c r="E47" s="6">
        <f>-Inputs!$C$28*MAX(0,Inputs!$C$26-E50)</f>
        <v>-0.3740554218575554</v>
      </c>
      <c r="F47" s="6">
        <f>-Inputs!$C$28*MAX(0,Inputs!$C$26-F50)</f>
        <v>0</v>
      </c>
      <c r="G47" s="6">
        <f>-Inputs!$C$28*MAX(0,Inputs!$C$26-G50)</f>
        <v>0</v>
      </c>
      <c r="H47" t="s" s="17">
        <v>469</v>
      </c>
    </row>
    <row r="48">
      <c r="B48" t="s" s="40">
        <v>24</v>
      </c>
      <c r="C48" s="6"/>
      <c r="D48" s="6">
        <f>-Inputs!$C$31</f>
        <v>-0.15</v>
      </c>
      <c r="E48" s="6">
        <f>-Inputs!$C$31</f>
        <v>-0.15</v>
      </c>
      <c r="F48" s="6">
        <f>-Inputs!$C$31</f>
        <v>-0.15</v>
      </c>
      <c r="G48" s="6">
        <f>-Inputs!$C$31</f>
        <v>-0.15</v>
      </c>
      <c r="H48" s="17"/>
    </row>
    <row r="49">
      <c r="B49" t="s" s="14">
        <v>426</v>
      </c>
      <c r="C49" s="15"/>
      <c r="D49" s="15">
        <f>D30+D33+D36+D39+D41+D43+D44+D45+D47+D48</f>
        <v>-48.55588630136989</v>
      </c>
      <c r="E49" s="15">
        <f>E30+E33+E36+E39+E41+E43+E44+E45+E47+E48</f>
        <v>-202.02881192870686</v>
      </c>
      <c r="F49" s="15">
        <f>F30+F33+F36+F39+F41+F43+F44+F45+F47+F48</f>
        <v>-77.57880650684932</v>
      </c>
      <c r="G49" s="15">
        <f>G30+G33+G36+G39+G41+G43+G44+G45+G47+G48</f>
        <v>50.497143493150695</v>
      </c>
      <c r="H49" s="17"/>
    </row>
    <row r="50">
      <c r="B50" t="s" s="40">
        <v>427</v>
      </c>
      <c r="C50" s="6"/>
      <c r="D50" s="6">
        <f>C54</f>
        <v>0</v>
      </c>
      <c r="E50" s="6">
        <f>D54</f>
        <v>50.25188750465189</v>
      </c>
      <c r="F50" s="6">
        <f>E54</f>
        <v>262.8478143716851</v>
      </c>
      <c r="G50" s="6">
        <f>F54</f>
        <v>361.4983023167698</v>
      </c>
      <c r="H50" s="17"/>
    </row>
    <row r="51">
      <c r="B51" t="s" s="3">
        <v>428</v>
      </c>
      <c r="C51" s="61"/>
      <c r="D51" s="65">
        <f>Inputs!$C$61</f>
        <v>0.0675</v>
      </c>
      <c r="E51" s="65">
        <f>Inputs!$C$61</f>
        <v>0.0675</v>
      </c>
      <c r="F51" s="65">
        <f>Inputs!$C$61</f>
        <v>0.0675</v>
      </c>
      <c r="G51" s="65">
        <f>Inputs!$C$61</f>
        <v>0.0675</v>
      </c>
      <c r="H51" t="s" s="17">
        <v>470</v>
      </c>
    </row>
    <row r="52">
      <c r="B52" t="s" s="40">
        <v>429</v>
      </c>
      <c r="C52" s="6"/>
      <c r="D52" s="6">
        <f>MAX(-D50,-(D49-D51*D50)/(1-D51/2))</f>
        <v>50.25188750465189</v>
      </c>
      <c r="E52" s="6">
        <f>MAX(-E50,-(E49-E51*E50)/(1-E51/2))</f>
        <v>212.5959268670332</v>
      </c>
      <c r="F52" s="6">
        <f>MAX(-F50,-(F49-F51*F50)/(1-F51/2))</f>
        <v>98.65048794508468</v>
      </c>
      <c r="G52" s="6">
        <f>MAX(-G50,-(G49-G51*G50)/(1-G51/2))</f>
        <v>-27.007511603382902</v>
      </c>
      <c r="H52" t="s" s="17">
        <v>471</v>
      </c>
    </row>
    <row r="53">
      <c r="B53" t="s" s="40">
        <v>430</v>
      </c>
      <c r="C53" s="6"/>
      <c r="D53" s="6">
        <f>-D51*D50-D51/2*D52</f>
        <v>-1.6960012032820013</v>
      </c>
      <c r="E53" s="6">
        <f>-E51*E50-E51/2*E52</f>
        <v>-10.567114938326373</v>
      </c>
      <c r="F53" s="6">
        <f>-F51*F50-F51/2*F52</f>
        <v>-21.071681438235355</v>
      </c>
      <c r="G53" s="6">
        <f>-G51*G50-G51/2*G52</f>
        <v>-23.489631889767793</v>
      </c>
      <c r="H53" s="17"/>
    </row>
    <row r="54">
      <c r="B54" t="s" s="14">
        <v>431</v>
      </c>
      <c r="C54" s="59">
        <v>0</v>
      </c>
      <c r="D54" s="15">
        <f>D50+D52</f>
        <v>50.25188750465189</v>
      </c>
      <c r="E54" s="15">
        <f>E50+E52</f>
        <v>262.8478143716851</v>
      </c>
      <c r="F54" s="15">
        <f>F50+F52</f>
        <v>361.4983023167698</v>
      </c>
      <c r="G54" s="15">
        <f>G50+G52</f>
        <v>334.4907907133869</v>
      </c>
      <c r="H54" s="17"/>
    </row>
    <row r="55">
      <c r="B55" t="s" s="40">
        <v>432</v>
      </c>
      <c r="C55" s="6">
        <f>MIN(C54,Inputs!$C$26)</f>
        <v>0</v>
      </c>
      <c r="D55" s="6">
        <f>MIN(D54,Inputs!$C$26)</f>
        <v>50.25188750465189</v>
      </c>
      <c r="E55" s="6">
        <f>MIN(E54,Inputs!$C$26)</f>
        <v>150</v>
      </c>
      <c r="F55" s="6">
        <f>MIN(F54,Inputs!$C$26)</f>
        <v>150</v>
      </c>
      <c r="G55" s="6">
        <f>MIN(G54,Inputs!$C$26)</f>
        <v>150</v>
      </c>
      <c r="H55" s="17"/>
    </row>
    <row r="56">
      <c r="B56" t="s" s="40">
        <v>433</v>
      </c>
      <c r="C56" s="6">
        <f>MAX(0,C54-Inputs!$C$26)</f>
        <v>0</v>
      </c>
      <c r="D56" s="6">
        <f>MAX(0,D54-Inputs!$C$26)</f>
        <v>0</v>
      </c>
      <c r="E56" s="6">
        <f>MAX(0,E54-Inputs!$C$26)</f>
        <v>112.8478143716851</v>
      </c>
      <c r="F56" s="6">
        <f>MAX(0,F54-Inputs!$C$26)</f>
        <v>211.4983023167698</v>
      </c>
      <c r="G56" s="6">
        <f>MAX(0,G54-Inputs!$C$26)</f>
        <v>184.4907907133869</v>
      </c>
      <c r="H56" t="s" s="17">
        <v>472</v>
      </c>
    </row>
    <row r="57">
      <c r="B57" t="s" s="3">
        <v>434</v>
      </c>
      <c r="C57" s="39">
        <f>C55/Inputs!$C$26</f>
        <v>0</v>
      </c>
      <c r="D57" s="39">
        <f>D55/Inputs!$C$26</f>
        <v>0.3350125833643459</v>
      </c>
      <c r="E57" s="39">
        <f>E55/Inputs!$C$26</f>
        <v>1</v>
      </c>
      <c r="F57" s="39">
        <f>F55/Inputs!$C$26</f>
        <v>1</v>
      </c>
      <c r="G57" s="39">
        <f>G55/Inputs!$C$26</f>
        <v>1</v>
      </c>
      <c r="H57" t="s" s="17">
        <v>473</v>
      </c>
    </row>
    <row r="58">
      <c r="B58" t="s" s="40">
        <v>435</v>
      </c>
      <c r="C58" s="6"/>
      <c r="D58" s="6">
        <f>D49+D53+D52</f>
        <v>0</v>
      </c>
      <c r="E58" s="6">
        <f>E49+E53+E52</f>
        <v>0</v>
      </c>
      <c r="F58" s="6">
        <f>F49+F53+F52</f>
        <v>0</v>
      </c>
      <c r="G58" s="6">
        <f>G49+G53+G52</f>
        <v>0</v>
      </c>
      <c r="H58" s="17"/>
    </row>
    <row r="59">
      <c r="B59" t="s" s="14">
        <v>436</v>
      </c>
      <c r="C59" s="44">
        <f>Inputs!$C$13</f>
        <v>50</v>
      </c>
      <c r="D59" s="15">
        <f>C59+D58</f>
        <v>50</v>
      </c>
      <c r="E59" s="15">
        <f>D59+E58</f>
        <v>50</v>
      </c>
      <c r="F59" s="15">
        <f>E59+F58</f>
        <v>50</v>
      </c>
      <c r="G59" s="15">
        <f>F59+G58</f>
        <v>50</v>
      </c>
      <c r="H59" s="17"/>
    </row>
    <row r="60">
      <c r="B60" t="s" s="16">
        <v>437</v>
      </c>
      <c r="C60" s="16"/>
      <c r="D60" s="16"/>
      <c r="E60" s="16"/>
      <c r="F60" s="16"/>
      <c r="G60" s="16"/>
      <c r="H60" s="37"/>
    </row>
    <row r="61">
      <c r="B61" t="s" s="14">
        <v>438</v>
      </c>
      <c r="C61" s="15">
        <f>C34+C42+C54</f>
        <v>1344</v>
      </c>
      <c r="D61" s="15">
        <f>D34+D42+D54</f>
        <v>1629.551613532049</v>
      </c>
      <c r="E61" s="15">
        <f>E34+E42+E54</f>
        <v>1826.207540399082</v>
      </c>
      <c r="F61" s="15">
        <f>F34+F42+F54</f>
        <v>1908.918028344167</v>
      </c>
      <c r="G61" s="15">
        <f>G34+G42+G54</f>
        <v>1865.9705167407838</v>
      </c>
      <c r="H61" t="s" s="17">
        <v>474</v>
      </c>
    </row>
    <row r="62">
      <c r="B62" t="s" s="14">
        <v>439</v>
      </c>
      <c r="C62" s="15">
        <f>C61-C59</f>
        <v>1294</v>
      </c>
      <c r="D62" s="15">
        <f>D61-D59</f>
        <v>1579.551613532049</v>
      </c>
      <c r="E62" s="15">
        <f>E61-E59</f>
        <v>1776.207540399082</v>
      </c>
      <c r="F62" s="15">
        <f>F61-F59</f>
        <v>1858.918028344167</v>
      </c>
      <c r="G62" s="15">
        <f>G61-G59</f>
        <v>1815.9705167407838</v>
      </c>
      <c r="H62" s="17"/>
    </row>
    <row r="63">
      <c r="B63" t="s" s="3">
        <v>440</v>
      </c>
      <c r="C63" s="94">
        <f>C62/C24</f>
        <v>4.757352941176471</v>
      </c>
      <c r="D63" s="94">
        <f>D62/D24</f>
        <v>4.998581055481168</v>
      </c>
      <c r="E63" s="94">
        <f>E62/E24</f>
        <v>4.577854485564645</v>
      </c>
      <c r="F63" s="94">
        <f>F62/F24</f>
        <v>4.023632095983046</v>
      </c>
      <c r="G63" s="94">
        <f>G62/G24</f>
        <v>3.3629083643347846</v>
      </c>
      <c r="H63" s="17"/>
    </row>
    <row r="64">
      <c r="B64" t="s" s="3">
        <v>441</v>
      </c>
      <c r="C64" s="94">
        <f>(C34+C42+C54-C59)/C24</f>
        <v>4.757352941176471</v>
      </c>
      <c r="D64" s="94">
        <f>(D34+D42+D54-D59)/D24</f>
        <v>4.998581055481168</v>
      </c>
      <c r="E64" s="94">
        <f>(E34+E42+E54-E59)/E24</f>
        <v>4.577854485564645</v>
      </c>
      <c r="F64" s="94">
        <f>(F34+F42+F54-F59)/F24</f>
        <v>4.023632095983046</v>
      </c>
      <c r="G64" s="94">
        <f>(G34+G42+G54-G59)/G24</f>
        <v>3.3629083643347846</v>
      </c>
      <c r="H64" t="s" s="17">
        <v>475</v>
      </c>
    </row>
    <row r="65">
      <c r="B65" t="s" s="40">
        <v>442</v>
      </c>
      <c r="C65" s="6"/>
      <c r="D65" s="6">
        <f>-(D36+D43+D53)</f>
        <v>100.46925051835049</v>
      </c>
      <c r="E65" s="6">
        <f>-(E36+E43+E53)</f>
        <v>116.63187144517569</v>
      </c>
      <c r="F65" s="6">
        <f>-(F36+F43+F53)</f>
        <v>126.06048794508467</v>
      </c>
      <c r="G65" s="6">
        <f>-(G36+G43+G53)</f>
        <v>127.4024883966171</v>
      </c>
      <c r="H65" t="s" s="17">
        <v>476</v>
      </c>
    </row>
    <row r="66">
      <c r="B66" t="s" s="3">
        <v>443</v>
      </c>
      <c r="C66" s="94"/>
      <c r="D66" s="94">
        <f>D24/D65</f>
        <v>3.1452409405829425</v>
      </c>
      <c r="E66" s="94">
        <f>E24/E65</f>
        <v>3.3267064584690678</v>
      </c>
      <c r="F66" s="94">
        <f>F24/F65</f>
        <v>3.6649072800770024</v>
      </c>
      <c r="G66" s="94">
        <f>G24/G65</f>
        <v>4.238535736593498</v>
      </c>
      <c r="H66" s="17"/>
    </row>
    <row r="67">
      <c r="B67" t="s" s="14">
        <v>444</v>
      </c>
      <c r="C67" s="15"/>
      <c r="D67" s="15">
        <f>D30+D36+D43+D53+D45+D47+D48</f>
        <v>-283.0516135320491</v>
      </c>
      <c r="E67" s="15">
        <f>E30+E36+E43+E53+E45+E47+E48</f>
        <v>-196.65592686703323</v>
      </c>
      <c r="F67" s="15">
        <f>F30+F36+F43+F53+F45+F47+F48</f>
        <v>-82.71048794508468</v>
      </c>
      <c r="G67" s="15">
        <f>G30+G36+G43+G53+G45+G47+G48</f>
        <v>42.9475116033829</v>
      </c>
      <c r="H67" t="s" s="17">
        <v>477</v>
      </c>
    </row>
    <row r="68">
      <c r="B68" t="s" s="40">
        <v>445</v>
      </c>
      <c r="C68" s="6">
        <f>Inputs!$C$11*C24</f>
        <v>4896</v>
      </c>
      <c r="D68" s="6">
        <f>Inputs!$C$11*D24</f>
        <v>5688</v>
      </c>
      <c r="E68" s="6">
        <f>Inputs!$C$11*E24</f>
        <v>6984</v>
      </c>
      <c r="F68" s="6">
        <f>Inputs!$C$11*F24</f>
        <v>8316</v>
      </c>
      <c r="G68" s="6">
        <f>Inputs!$C$11*G24</f>
        <v>9720</v>
      </c>
      <c r="H68" s="17"/>
    </row>
    <row r="69">
      <c r="B69" t="s" s="14">
        <v>446</v>
      </c>
      <c r="C69" s="15">
        <f>C68-C62</f>
        <v>3602</v>
      </c>
      <c r="D69" s="15">
        <f>D68-D62</f>
        <v>4108.448386467951</v>
      </c>
      <c r="E69" s="15">
        <f>E68-E62</f>
        <v>5207.792459600918</v>
      </c>
      <c r="F69" s="15">
        <f>F68-F62</f>
        <v>6457.081971655833</v>
      </c>
      <c r="G69" s="15">
        <f>G68-G62</f>
        <v>7904.029483259216</v>
      </c>
      <c r="H69" s="17"/>
    </row>
    <row r="70">
      <c r="B70" t="s" s="40">
        <v>447</v>
      </c>
      <c r="C70" s="7">
        <f>C69/$C$19</f>
        <v>9.857879050775468</v>
      </c>
      <c r="D70" s="7">
        <f>D69/$C$19</f>
        <v>11.243916513091254</v>
      </c>
      <c r="E70" s="7">
        <f>E69/$C$19</f>
        <v>14.252578619735242</v>
      </c>
      <c r="F70" s="7">
        <f>F69/$C$19</f>
        <v>17.671608300257077</v>
      </c>
      <c r="G70" s="7">
        <f>G69/$C$19</f>
        <v>21.631584303090694</v>
      </c>
      <c r="H70" s="17"/>
    </row>
    <row r="71">
      <c r="B71" t="s" s="3">
        <v>448</v>
      </c>
      <c r="C71" s="94">
        <f>C69/$C$16</f>
        <v>0.9857879050775468</v>
      </c>
      <c r="D71" s="94">
        <f>D69/$C$16</f>
        <v>1.1243916513091252</v>
      </c>
      <c r="E71" s="94">
        <f>E69/$C$16</f>
        <v>1.425257861973524</v>
      </c>
      <c r="F71" s="94">
        <f>F69/$C$16</f>
        <v>1.7671608300257076</v>
      </c>
      <c r="G71" s="94">
        <f>G69/$C$16</f>
        <v>2.1631584303090694</v>
      </c>
      <c r="H71" t="s" s="17">
        <v>478</v>
      </c>
    </row>
  </sheetData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7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5" width="13.64453125" customWidth="1"/>
  </cols>
  <sheetData>
    <row r="2">
      <c r="B2" t="s" s="2">
        <v>650</v>
      </c>
    </row>
    <row r="3">
      <c r="B3" t="str" s="38">
        <f>"Takeaway: all three cases fit the staple. The ratio prong is almost shut at the add-on close (platform "&amp;TEXT(C40,"0.00x")&amp;" vs a "&amp;TEXT(C39,"0.00x")&amp;" closing level), so the incremental leans on the free-and-clear basket; Case C keeps "&amp;TEXT(E44,"$0")&amp;"M of it for FY28 development."</f>
        <v>Takeaway: all three cases fit the staple. The ratio prong is almost shut at the add-on close (platform 5.00x vs a 4.76x closing level), so the incremental leans on the free-and-clear basket; Case C keeps $242M of it for FY28 development.</v>
      </c>
    </row>
    <row r="4">
      <c r="B4" t="str" s="4">
        <f>"Under the incumbent 9.07 agreement the add-on would sit in the 6.75x ratio prong with "&amp;TEXT(E69,"0.00x")&amp;" of covenant headroom. MFN is not triggered; the DDTL is fully drawn and its purpose excludes acquisitions."</f>
        <v>Under the incumbent 9.07 agreement the add-on would sit in the 6.75x ratio prong with 2.46x of covenant headroom. MFN is not triggered; the DDTL is fully drawn and its purpose excludes acquisitions.</v>
      </c>
    </row>
    <row r="5">
      <c r="B5" t="s" s="4">
        <v>651</v>
      </c>
    </row>
    <row r="6">
      <c r="F6" s="17"/>
    </row>
    <row r="7">
      <c r="F7" s="17"/>
    </row>
    <row r="8">
      <c r="B8" t="s" s="41">
        <v>211</v>
      </c>
      <c r="C8" t="s" s="42">
        <v>540</v>
      </c>
      <c r="D8" t="s" s="42">
        <v>541</v>
      </c>
      <c r="E8" t="s" s="42">
        <v>542</v>
      </c>
      <c r="F8" s="50"/>
    </row>
    <row r="9">
      <c r="B9" t="s" s="16">
        <v>479</v>
      </c>
      <c r="C9" s="16"/>
      <c r="D9" s="16"/>
      <c r="E9" s="16"/>
      <c r="F9" s="37"/>
    </row>
    <row r="10">
      <c r="B10" t="s" s="40">
        <v>480</v>
      </c>
      <c r="C10" s="43">
        <f>Inputs!$C$83</f>
        <v>15.100000000000005</v>
      </c>
      <c r="D10" s="43">
        <f>Inputs!$C$83</f>
        <v>15.100000000000005</v>
      </c>
      <c r="E10" s="43">
        <f>Inputs!$C$83</f>
        <v>15.100000000000005</v>
      </c>
      <c r="F10" s="17"/>
    </row>
    <row r="11">
      <c r="B11" t="s" s="40">
        <v>481</v>
      </c>
      <c r="C11" s="48">
        <f>Inputs!$C$104</f>
        <v>15</v>
      </c>
      <c r="D11" s="48">
        <f>Inputs!$C$104</f>
        <v>15</v>
      </c>
      <c r="E11" s="48">
        <f>Inputs!$C$104</f>
        <v>15</v>
      </c>
      <c r="F11" s="17"/>
    </row>
    <row r="12">
      <c r="B12" t="s" s="40">
        <v>482</v>
      </c>
      <c r="C12" s="6">
        <f>C10*C11</f>
        <v>226.50000000000009</v>
      </c>
      <c r="D12" s="6">
        <f>D10*D11</f>
        <v>226.50000000000009</v>
      </c>
      <c r="E12" s="6">
        <f>E10*E11</f>
        <v>226.50000000000009</v>
      </c>
      <c r="F12" s="17"/>
    </row>
    <row r="13">
      <c r="B13" t="s" s="40">
        <v>483</v>
      </c>
      <c r="C13" s="6">
        <f>C12*Inputs!$C$105</f>
        <v>4.530000000000002</v>
      </c>
      <c r="D13" s="6">
        <f>D12*Inputs!$C$105</f>
        <v>4.530000000000002</v>
      </c>
      <c r="E13" s="6">
        <f>E12*Inputs!$C$105</f>
        <v>4.530000000000002</v>
      </c>
      <c r="F13" t="s" s="17">
        <v>543</v>
      </c>
    </row>
    <row r="14">
      <c r="B14" t="s" s="3">
        <v>484</v>
      </c>
      <c r="C14" s="61">
        <f>(1-Inputs!$C$56/100)+Inputs!$C$57</f>
        <v>0.03250000000000001</v>
      </c>
      <c r="D14" s="61">
        <f>(1-Inputs!$C$56/100)+Inputs!$C$57</f>
        <v>0.03250000000000001</v>
      </c>
      <c r="E14" s="61">
        <f>(1-Inputs!$C$56/100)+Inputs!$C$57</f>
        <v>0.03250000000000001</v>
      </c>
      <c r="F14" s="17"/>
    </row>
    <row r="15">
      <c r="B15" t="s" s="40">
        <v>485</v>
      </c>
      <c r="C15" s="6">
        <f>C17*C14</f>
        <v>7.760697674418609</v>
      </c>
      <c r="D15" s="6">
        <f>D17*D14</f>
        <v>2.4530536529773848</v>
      </c>
      <c r="E15" s="6">
        <f>E17*E14</f>
        <v>3.81625158831004</v>
      </c>
      <c r="F15" s="17"/>
    </row>
    <row r="16">
      <c r="B16" t="s" s="14">
        <v>400</v>
      </c>
      <c r="C16" s="15">
        <f>C12+C13+C15</f>
        <v>238.7906976744187</v>
      </c>
      <c r="D16" s="15">
        <f>D12+D13+D15</f>
        <v>233.48305365297747</v>
      </c>
      <c r="E16" s="15">
        <f>E12+E13+E15</f>
        <v>234.84625158831014</v>
      </c>
      <c r="F16" s="17"/>
    </row>
    <row r="17">
      <c r="B17" t="s" s="40">
        <v>486</v>
      </c>
      <c r="C17" s="6">
        <f>(C12+C13)/(1-C14)</f>
        <v>238.79069767441868</v>
      </c>
      <c r="D17" s="6">
        <f>Platform!$D$63*D10</f>
        <v>75.47857393776566</v>
      </c>
      <c r="E17" s="6">
        <f>Inputs!$C$60*(E12+E13)/(1-Inputs!$C$60*E14)</f>
        <v>117.42312579415506</v>
      </c>
      <c r="F17" t="s" s="17">
        <v>544</v>
      </c>
    </row>
    <row r="18">
      <c r="B18" t="s" s="40">
        <v>487</v>
      </c>
      <c r="C18" s="6">
        <f>C16-C17</f>
        <v>0</v>
      </c>
      <c r="D18" s="6">
        <f>D16-D17</f>
        <v>158.0044797152118</v>
      </c>
      <c r="E18" s="6">
        <f>E16-E17</f>
        <v>117.42312579415508</v>
      </c>
      <c r="F18" t="s" s="17">
        <v>545</v>
      </c>
    </row>
    <row r="19">
      <c r="B19" t="s" s="14">
        <v>402</v>
      </c>
      <c r="C19" s="15">
        <f>C17+C18</f>
        <v>238.79069767441868</v>
      </c>
      <c r="D19" s="15">
        <f>D17+D18</f>
        <v>233.48305365297745</v>
      </c>
      <c r="E19" s="15">
        <f>E17+E18</f>
        <v>234.84625158831014</v>
      </c>
      <c r="F19" s="17"/>
    </row>
    <row r="20">
      <c r="B20" t="s" s="3">
        <v>488</v>
      </c>
      <c r="C20" s="62">
        <f>C17/C10</f>
        <v>15.813953488372093</v>
      </c>
      <c r="D20" s="62">
        <f>D17/D10</f>
        <v>4.998581055481168</v>
      </c>
      <c r="E20" s="62">
        <f>E17/E10</f>
        <v>7.776365946632782</v>
      </c>
      <c r="F20" s="17"/>
    </row>
    <row r="21">
      <c r="B21" t="s" s="3">
        <v>489</v>
      </c>
      <c r="C21" s="39">
        <f>C17/C16</f>
        <v>0.9999999999999999</v>
      </c>
      <c r="D21" s="39">
        <f>D17/D16</f>
        <v>0.323272172249162</v>
      </c>
      <c r="E21" s="39">
        <f>E17/E16</f>
        <v>0.49999999999999994</v>
      </c>
      <c r="F21" s="17"/>
    </row>
    <row r="22">
      <c r="F22" s="17"/>
    </row>
    <row r="23">
      <c r="B23" t="s" s="16">
        <v>490</v>
      </c>
      <c r="C23" s="16"/>
      <c r="D23" s="16"/>
      <c r="E23" s="16"/>
      <c r="F23" s="37"/>
    </row>
    <row r="24">
      <c r="B24" t="s" s="40">
        <v>491</v>
      </c>
      <c r="C24" s="43">
        <f>Platform!$D$62</f>
        <v>1579.551613532049</v>
      </c>
      <c r="D24" s="43">
        <f>Platform!$D$62</f>
        <v>1579.551613532049</v>
      </c>
      <c r="E24" s="43">
        <f>Platform!$D$62</f>
        <v>1579.551613532049</v>
      </c>
      <c r="F24" t="s" s="17">
        <v>546</v>
      </c>
    </row>
    <row r="25">
      <c r="B25" t="s" s="14">
        <v>492</v>
      </c>
      <c r="C25" s="15">
        <f>C24+C17</f>
        <v>1818.3423112064677</v>
      </c>
      <c r="D25" s="15">
        <f>D24+D17</f>
        <v>1655.0301874698148</v>
      </c>
      <c r="E25" s="15">
        <f>E24+E17</f>
        <v>1696.9747393262041</v>
      </c>
      <c r="F25" t="s" s="17">
        <v>547</v>
      </c>
    </row>
    <row r="26">
      <c r="B26" t="s" s="40">
        <v>493</v>
      </c>
      <c r="C26" s="43">
        <f>Platform!$D$24</f>
        <v>316</v>
      </c>
      <c r="D26" s="43">
        <f>Platform!$D$24</f>
        <v>316</v>
      </c>
      <c r="E26" s="43">
        <f>Platform!$D$24</f>
        <v>316</v>
      </c>
      <c r="F26" s="17"/>
    </row>
    <row r="27">
      <c r="B27" t="s" s="14">
        <v>494</v>
      </c>
      <c r="C27" s="15">
        <f>C26+C10</f>
        <v>331.1</v>
      </c>
      <c r="D27" s="15">
        <f>D26+D10</f>
        <v>331.1</v>
      </c>
      <c r="E27" s="15">
        <f>E26+E10</f>
        <v>331.1</v>
      </c>
      <c r="F27" s="17"/>
    </row>
    <row r="28">
      <c r="B28" t="s" s="40">
        <v>495</v>
      </c>
      <c r="C28" s="43">
        <f>Synergies!$C$185</f>
        <v>5.641829246729743</v>
      </c>
      <c r="D28" s="43">
        <f>Synergies!$C$185</f>
        <v>5.641829246729743</v>
      </c>
      <c r="E28" s="43">
        <f>Synergies!$C$185</f>
        <v>5.641829246729743</v>
      </c>
      <c r="F28" t="s" s="17">
        <v>548</v>
      </c>
    </row>
    <row r="29">
      <c r="B29" t="s" s="40">
        <v>496</v>
      </c>
      <c r="C29" s="43">
        <f>Synergies!$C$184</f>
        <v>5.9028892467297425</v>
      </c>
      <c r="D29" s="43">
        <f>Synergies!$C$184</f>
        <v>5.9028892467297425</v>
      </c>
      <c r="E29" s="43">
        <f>Synergies!$C$184</f>
        <v>5.9028892467297425</v>
      </c>
      <c r="F29" s="17"/>
    </row>
    <row r="30">
      <c r="B30" t="s" s="3">
        <v>497</v>
      </c>
      <c r="C30" s="94">
        <f>C25/C27</f>
        <v>5.491822141970606</v>
      </c>
      <c r="D30" s="94">
        <f>D25/D27</f>
        <v>4.998581055481168</v>
      </c>
      <c r="E30" s="94">
        <f>E25/E27</f>
        <v>5.125263483316835</v>
      </c>
      <c r="F30" s="17"/>
    </row>
    <row r="31">
      <c r="B31" t="s" s="3">
        <v>498</v>
      </c>
      <c r="C31" s="94">
        <f>C25/(C27+C29)</f>
        <v>5.3956282549115056</v>
      </c>
      <c r="D31" s="94">
        <f>D25/(D27+D29)</f>
        <v>4.911026701192815</v>
      </c>
      <c r="E31" s="94">
        <f>E25/(E27+E29)</f>
        <v>5.035490179681513</v>
      </c>
      <c r="F31" s="17"/>
    </row>
    <row r="32">
      <c r="B32" t="s" s="3">
        <v>499</v>
      </c>
      <c r="C32" s="94">
        <f>C25/C27</f>
        <v>5.491822141970606</v>
      </c>
      <c r="D32" s="94">
        <f>D25/D27</f>
        <v>4.998581055481168</v>
      </c>
      <c r="E32" s="94">
        <f>E25/E27</f>
        <v>5.125263483316835</v>
      </c>
      <c r="F32" t="s" s="17">
        <v>549</v>
      </c>
    </row>
    <row r="33">
      <c r="F33" s="17"/>
    </row>
    <row r="34">
      <c r="B34" t="s" s="16">
        <v>500</v>
      </c>
      <c r="C34" s="16"/>
      <c r="D34" s="16"/>
      <c r="E34" s="16"/>
      <c r="F34" s="37"/>
    </row>
    <row r="35">
      <c r="B35" t="s" s="40">
        <v>501</v>
      </c>
      <c r="C35" s="6">
        <f>MIN(C28,Inputs!$C$40*C27)</f>
        <v>5.641829246729743</v>
      </c>
      <c r="D35" s="6">
        <f>MIN(D28,Inputs!$C$40*D27)</f>
        <v>5.641829246729743</v>
      </c>
      <c r="E35" s="6">
        <f>MIN(E28,Inputs!$C$40*E27)</f>
        <v>5.641829246729743</v>
      </c>
      <c r="F35" t="s" s="17">
        <v>550</v>
      </c>
    </row>
    <row r="36">
      <c r="B36" t="s" s="40">
        <v>502</v>
      </c>
      <c r="C36" s="6">
        <f>Inputs!$C$40*C27-C28</f>
        <v>60.57817075327027</v>
      </c>
      <c r="D36" s="6">
        <f>Inputs!$C$40*D27-D28</f>
        <v>60.57817075327027</v>
      </c>
      <c r="E36" s="6">
        <f>Inputs!$C$40*E27-E28</f>
        <v>60.57817075327027</v>
      </c>
      <c r="F36" t="s" s="17">
        <v>551</v>
      </c>
    </row>
    <row r="37">
      <c r="B37" t="s" s="14">
        <v>503</v>
      </c>
      <c r="C37" s="15">
        <f>C27+C35</f>
        <v>336.74182924672976</v>
      </c>
      <c r="D37" s="15">
        <f>D27+D35</f>
        <v>336.74182924672976</v>
      </c>
      <c r="E37" s="15">
        <f>E27+E35</f>
        <v>336.74182924672976</v>
      </c>
      <c r="F37" t="s" s="17">
        <v>552</v>
      </c>
    </row>
    <row r="38">
      <c r="B38" t="s" s="40">
        <v>504</v>
      </c>
      <c r="C38" s="6">
        <f>MAX(Inputs!$C$36,Inputs!$C$37*C37)</f>
        <v>336.74182924672976</v>
      </c>
      <c r="D38" s="6">
        <f>MAX(Inputs!$C$36,Inputs!$C$37*D37)</f>
        <v>336.74182924672976</v>
      </c>
      <c r="E38" s="6">
        <f>MAX(Inputs!$C$36,Inputs!$C$37*E37)</f>
        <v>336.74182924672976</v>
      </c>
      <c r="F38" s="17"/>
    </row>
    <row r="39">
      <c r="B39" t="s" s="3">
        <v>505</v>
      </c>
      <c r="C39" s="95">
        <f>Platform!$C$20</f>
        <v>4.757352941176471</v>
      </c>
      <c r="D39" s="95">
        <f>Platform!$C$20</f>
        <v>4.757352941176471</v>
      </c>
      <c r="E39" s="95">
        <f>Platform!$C$20</f>
        <v>4.757352941176471</v>
      </c>
      <c r="F39" s="17"/>
    </row>
    <row r="40">
      <c r="B40" t="s" s="3">
        <v>506</v>
      </c>
      <c r="C40" s="95">
        <f>Platform!$D$64</f>
        <v>4.998581055481168</v>
      </c>
      <c r="D40" s="95">
        <f>Platform!$D$64</f>
        <v>4.998581055481168</v>
      </c>
      <c r="E40" s="95">
        <f>Platform!$D$64</f>
        <v>4.998581055481168</v>
      </c>
      <c r="F40" t="s" s="17">
        <v>553</v>
      </c>
    </row>
    <row r="41">
      <c r="B41" t="s" s="40">
        <v>507</v>
      </c>
      <c r="C41" s="6">
        <f>MAX(0,C39*C37-C24)</f>
        <v>22.44811825202578</v>
      </c>
      <c r="D41" s="6">
        <f>MAX(0,D39*D37-D24)</f>
        <v>22.44811825202578</v>
      </c>
      <c r="E41" s="6">
        <f>MAX(0,E39*E37-E24)</f>
        <v>22.44811825202578</v>
      </c>
      <c r="F41" t="s" s="17">
        <v>554</v>
      </c>
    </row>
    <row r="42">
      <c r="B42" t="s" s="40">
        <v>508</v>
      </c>
      <c r="C42" s="6">
        <f>MIN(C17,C41)</f>
        <v>22.44811825202578</v>
      </c>
      <c r="D42" s="6">
        <f>MIN(D17,D41)</f>
        <v>22.44811825202578</v>
      </c>
      <c r="E42" s="6">
        <f>MIN(E17,E41)</f>
        <v>22.44811825202578</v>
      </c>
      <c r="F42" t="s" s="17">
        <v>555</v>
      </c>
    </row>
    <row r="43">
      <c r="B43" t="s" s="40">
        <v>509</v>
      </c>
      <c r="C43" s="6">
        <f>C17-C42</f>
        <v>216.3425794223929</v>
      </c>
      <c r="D43" s="6">
        <f>D17-D42</f>
        <v>53.03045568573988</v>
      </c>
      <c r="E43" s="6">
        <f>E17-E42</f>
        <v>94.97500754212928</v>
      </c>
      <c r="F43" s="17"/>
    </row>
    <row r="44">
      <c r="B44" t="s" s="14">
        <v>510</v>
      </c>
      <c r="C44" s="15">
        <f>C38-C43</f>
        <v>120.39924982433686</v>
      </c>
      <c r="D44" s="15">
        <f>D38-D43</f>
        <v>283.7113735609899</v>
      </c>
      <c r="E44" s="15">
        <f>E38-E43</f>
        <v>241.7668217046005</v>
      </c>
      <c r="F44" s="17"/>
    </row>
    <row r="45">
      <c r="B45" t="s" s="40">
        <v>511</v>
      </c>
      <c r="C45" t="str" s="53">
        <f>IF(C43&lt;=C38,"Yes","No")</f>
        <v>Yes</v>
      </c>
      <c r="D45" t="str" s="53">
        <f>IF(D43&lt;=D38,"Yes","No")</f>
        <v>Yes</v>
      </c>
      <c r="E45" t="str" s="53">
        <f>IF(E43&lt;=E38,"Yes","No")</f>
        <v>Yes</v>
      </c>
      <c r="F45" s="17"/>
    </row>
    <row r="46">
      <c r="B46" t="s" s="3">
        <v>512</v>
      </c>
      <c r="C46" s="61">
        <f>Inputs!$C$55+(1-Inputs!$C$56/100)/Inputs!$C$59</f>
        <v>0.035</v>
      </c>
      <c r="D46" s="61">
        <f>Inputs!$C$55+(1-Inputs!$C$56/100)/Inputs!$C$59</f>
        <v>0.035</v>
      </c>
      <c r="E46" s="61">
        <f>Inputs!$C$55+(1-Inputs!$C$56/100)/Inputs!$C$59</f>
        <v>0.035</v>
      </c>
      <c r="F46" s="17"/>
    </row>
    <row r="47">
      <c r="B47" t="s" s="3">
        <v>513</v>
      </c>
      <c r="C47" s="61">
        <f>Inputs!$C$19+(1-Inputs!$C$18/100)/Inputs!$C$59</f>
        <v>0.0325</v>
      </c>
      <c r="D47" s="61">
        <f>Inputs!$C$19+(1-Inputs!$C$18/100)/Inputs!$C$59</f>
        <v>0.0325</v>
      </c>
      <c r="E47" s="61">
        <f>Inputs!$C$19+(1-Inputs!$C$18/100)/Inputs!$C$59</f>
        <v>0.0325</v>
      </c>
      <c r="F47" s="17"/>
    </row>
    <row r="48">
      <c r="B48" t="s" s="3">
        <v>514</v>
      </c>
      <c r="C48" s="61">
        <f>C46-C47</f>
        <v>0.0025000000000000022</v>
      </c>
      <c r="D48" s="61">
        <f>D46-D47</f>
        <v>0.0025000000000000022</v>
      </c>
      <c r="E48" s="61">
        <f>E46-E47</f>
        <v>0.0025000000000000022</v>
      </c>
      <c r="F48" s="17"/>
    </row>
    <row r="49">
      <c r="B49" t="s" s="40">
        <v>515</v>
      </c>
      <c r="C49" s="6">
        <f>ROUND((Inputs!$C$9-Inputs!$C$8)/(365/12),1)</f>
        <v>12</v>
      </c>
      <c r="D49" s="6">
        <f>ROUND((Inputs!$C$9-Inputs!$C$8)/(365/12),1)</f>
        <v>12</v>
      </c>
      <c r="E49" s="6">
        <f>ROUND((Inputs!$C$9-Inputs!$C$8)/(365/12),1)</f>
        <v>12</v>
      </c>
      <c r="F49" t="s" s="17">
        <v>556</v>
      </c>
    </row>
    <row r="50">
      <c r="B50" t="s" s="40">
        <v>516</v>
      </c>
      <c r="C50" t="str" s="53">
        <f>IF(OR(C49&gt;Inputs!$C$39,C48&lt;=Inputs!$C$38),"Not triggered","Triggered")</f>
        <v>Not triggered</v>
      </c>
      <c r="D50" t="str" s="53">
        <f>IF(OR(D49&gt;Inputs!$C$39,D48&lt;=Inputs!$C$38),"Not triggered","Triggered")</f>
        <v>Not triggered</v>
      </c>
      <c r="E50" t="str" s="53">
        <f>IF(OR(E49&gt;Inputs!$C$39,E48&lt;=Inputs!$C$38),"Not triggered","Triggered")</f>
        <v>Not triggered</v>
      </c>
      <c r="F50" t="s" s="17">
        <v>557</v>
      </c>
    </row>
    <row r="51">
      <c r="B51" t="s" s="40">
        <v>517</v>
      </c>
      <c r="C51" s="6">
        <f>Inputs!$C$23-SUM(Platform!$D$39:$G$39)</f>
        <v>0</v>
      </c>
      <c r="D51" s="6">
        <f>Inputs!$C$23-SUM(Platform!$D$39:$G$39)</f>
        <v>0</v>
      </c>
      <c r="E51" s="6">
        <f>Inputs!$C$23-SUM(Platform!$D$39:$G$39)</f>
        <v>0</v>
      </c>
      <c r="F51" t="s" s="17">
        <v>558</v>
      </c>
    </row>
    <row r="52">
      <c r="B52" t="s" s="40">
        <v>518</v>
      </c>
      <c r="C52" t="str" s="53">
        <f>"No"</f>
        <v>No</v>
      </c>
      <c r="D52" t="str" s="53">
        <f>"No"</f>
        <v>No</v>
      </c>
      <c r="E52" t="str" s="53">
        <f>"No"</f>
        <v>No</v>
      </c>
      <c r="F52" t="s" s="17">
        <v>559</v>
      </c>
    </row>
    <row r="53">
      <c r="B53" t="s" s="3">
        <v>519</v>
      </c>
      <c r="C53" s="64">
        <f>Platform!$D$57</f>
        <v>0.3350125833643459</v>
      </c>
      <c r="D53" s="64">
        <f>Platform!$D$57</f>
        <v>0.3350125833643459</v>
      </c>
      <c r="E53" s="64">
        <f>Platform!$D$57</f>
        <v>0.3350125833643459</v>
      </c>
      <c r="F53" s="17"/>
    </row>
    <row r="54">
      <c r="B54" t="s" s="40">
        <v>520</v>
      </c>
      <c r="C54" t="str" s="53">
        <f>IF(C53&gt;Inputs!$C$35,"Tested","Not tested")</f>
        <v>Not tested</v>
      </c>
      <c r="D54" t="str" s="53">
        <f>IF(D53&gt;Inputs!$C$35,"Tested","Not tested")</f>
        <v>Not tested</v>
      </c>
      <c r="E54" t="str" s="53">
        <f>IF(E53&gt;Inputs!$C$35,"Tested","Not tested")</f>
        <v>Not tested</v>
      </c>
      <c r="F54" s="17"/>
    </row>
    <row r="55">
      <c r="B55" t="s" s="3">
        <v>521</v>
      </c>
      <c r="C55" s="94">
        <f>Inputs!$C$34-C32</f>
        <v>2.508177858029394</v>
      </c>
      <c r="D55" s="94">
        <f>Inputs!$C$34-D32</f>
        <v>3.001418944518832</v>
      </c>
      <c r="E55" s="94">
        <f>Inputs!$C$34-E32</f>
        <v>2.874736516683165</v>
      </c>
      <c r="F55" s="17"/>
    </row>
    <row r="56">
      <c r="F56" s="17"/>
    </row>
    <row r="57">
      <c r="B57" t="s" s="16">
        <v>522</v>
      </c>
      <c r="C57" s="16"/>
      <c r="D57" s="16"/>
      <c r="E57" s="16"/>
      <c r="F57" s="37"/>
    </row>
    <row r="58">
      <c r="B58" t="s" s="40">
        <v>523</v>
      </c>
      <c r="C58" s="6">
        <f>MIN(C28,Inputs!$C$50*C27)</f>
        <v>5.641829246729743</v>
      </c>
      <c r="D58" s="6">
        <f>MIN(D28,Inputs!$C$50*D27)</f>
        <v>5.641829246729743</v>
      </c>
      <c r="E58" s="6">
        <f>MIN(E28,Inputs!$C$50*E27)</f>
        <v>5.641829246729743</v>
      </c>
      <c r="F58" s="17"/>
    </row>
    <row r="59">
      <c r="B59" t="s" s="40">
        <v>524</v>
      </c>
      <c r="C59" s="6">
        <f>Inputs!$C$50*C27-C28</f>
        <v>44.02317075327026</v>
      </c>
      <c r="D59" s="6">
        <f>Inputs!$C$50*D27-D28</f>
        <v>44.02317075327026</v>
      </c>
      <c r="E59" s="6">
        <f>Inputs!$C$50*E27-E28</f>
        <v>44.02317075327026</v>
      </c>
      <c r="F59" t="s" s="17">
        <v>560</v>
      </c>
    </row>
    <row r="60">
      <c r="B60" t="s" s="14">
        <v>503</v>
      </c>
      <c r="C60" s="15">
        <f>C27+C58</f>
        <v>336.74182924672976</v>
      </c>
      <c r="D60" s="15">
        <f>D27+D58</f>
        <v>336.74182924672976</v>
      </c>
      <c r="E60" s="15">
        <f>E27+E58</f>
        <v>336.74182924672976</v>
      </c>
      <c r="F60" s="17"/>
    </row>
    <row r="61">
      <c r="B61" t="s" s="40">
        <v>525</v>
      </c>
      <c r="C61" s="6">
        <f>Platform!$D$61-MIN(Platform!$D$59,Inputs!$C$51)</f>
        <v>1579.551613532049</v>
      </c>
      <c r="D61" s="6">
        <f>Platform!$D$61-MIN(Platform!$D$59,Inputs!$C$51)</f>
        <v>1579.551613532049</v>
      </c>
      <c r="E61" s="6">
        <f>Platform!$D$61-MIN(Platform!$D$59,Inputs!$C$51)</f>
        <v>1579.551613532049</v>
      </c>
      <c r="F61" s="17"/>
    </row>
    <row r="62">
      <c r="B62" t="s" s="40">
        <v>526</v>
      </c>
      <c r="C62" s="6">
        <f>C61+C17</f>
        <v>1818.3423112064677</v>
      </c>
      <c r="D62" s="6">
        <f>D61+D17</f>
        <v>1655.0301874698148</v>
      </c>
      <c r="E62" s="6">
        <f>E61+E17</f>
        <v>1696.9747393262041</v>
      </c>
      <c r="F62" s="17"/>
    </row>
    <row r="63">
      <c r="B63" t="s" s="3">
        <v>527</v>
      </c>
      <c r="C63" s="94">
        <f>C62/C60</f>
        <v>5.399811230086814</v>
      </c>
      <c r="D63" s="94">
        <f>D62/D60</f>
        <v>4.914833987722918</v>
      </c>
      <c r="E63" s="94">
        <f>E62/E60</f>
        <v>5.039393956854809</v>
      </c>
      <c r="F63" s="17"/>
    </row>
    <row r="64">
      <c r="B64" t="s" s="40">
        <v>528</v>
      </c>
      <c r="C64" s="6">
        <f>MAX(Inputs!$C$46,Inputs!$C$47*C60)-Inputs!$C$52</f>
        <v>252.5563719350473</v>
      </c>
      <c r="D64" s="6">
        <f>MAX(Inputs!$C$46,Inputs!$C$47*D60)-Inputs!$C$52</f>
        <v>252.5563719350473</v>
      </c>
      <c r="E64" s="6">
        <f>MAX(Inputs!$C$46,Inputs!$C$47*E60)-Inputs!$C$52</f>
        <v>252.5563719350473</v>
      </c>
      <c r="F64" s="17"/>
    </row>
    <row r="65">
      <c r="B65" t="s" s="40">
        <v>529</v>
      </c>
      <c r="C65" s="6">
        <f>MAX(0,Inputs!$C$48*C60-C61)</f>
        <v>693.455733883377</v>
      </c>
      <c r="D65" s="6">
        <f>MAX(0,Inputs!$C$48*D60-D61)</f>
        <v>693.455733883377</v>
      </c>
      <c r="E65" s="6">
        <f>MAX(0,Inputs!$C$48*E60-E61)</f>
        <v>693.455733883377</v>
      </c>
      <c r="F65" s="17"/>
    </row>
    <row r="66">
      <c r="B66" t="s" s="40">
        <v>530</v>
      </c>
      <c r="C66" t="str" s="53">
        <f>IF(C17&lt;=C65,"Ratio prong","Free-and-clear")</f>
        <v>Ratio prong</v>
      </c>
      <c r="D66" t="str" s="53">
        <f>IF(D17&lt;=D65,"Ratio prong","Free-and-clear")</f>
        <v>Ratio prong</v>
      </c>
      <c r="E66" t="str" s="53">
        <f>IF(E17&lt;=E65,"Ratio prong","Free-and-clear")</f>
        <v>Ratio prong</v>
      </c>
      <c r="F66" s="17"/>
    </row>
    <row r="67">
      <c r="B67" t="s" s="14">
        <v>510</v>
      </c>
      <c r="C67" s="15">
        <f>C64-MAX(0,C17-C65)</f>
        <v>252.5563719350473</v>
      </c>
      <c r="D67" s="15">
        <f>D64-MAX(0,D17-D65)</f>
        <v>252.5563719350473</v>
      </c>
      <c r="E67" s="15">
        <f>E64-MAX(0,E17-E65)</f>
        <v>252.5563719350473</v>
      </c>
      <c r="F67" s="17"/>
    </row>
    <row r="68">
      <c r="B68" t="s" s="40">
        <v>531</v>
      </c>
      <c r="C68" t="str" s="53">
        <f>IF(C63&lt;=Inputs!$C$49,"Yes","No")</f>
        <v>Yes</v>
      </c>
      <c r="D68" t="str" s="53">
        <f>IF(D63&lt;=Inputs!$C$49,"Yes","No")</f>
        <v>Yes</v>
      </c>
      <c r="E68" t="str" s="53">
        <f>IF(E63&lt;=Inputs!$C$49,"Yes","No")</f>
        <v>Yes</v>
      </c>
      <c r="F68" t="s" s="17">
        <v>561</v>
      </c>
    </row>
    <row r="69">
      <c r="B69" t="s" s="3">
        <v>532</v>
      </c>
      <c r="C69" s="94">
        <f>Inputs!$C$49-C63</f>
        <v>2.100188769913186</v>
      </c>
      <c r="D69" s="94">
        <f>Inputs!$C$49-D63</f>
        <v>2.5851660122770816</v>
      </c>
      <c r="E69" s="94">
        <f>Inputs!$C$49-E63</f>
        <v>2.460606043145191</v>
      </c>
      <c r="F69" s="17"/>
    </row>
    <row r="70">
      <c r="B70" t="s" s="3">
        <v>533</v>
      </c>
      <c r="C70" s="39">
        <f>1-C62/Inputs!$C$49/C60</f>
        <v>0.28002516932175814</v>
      </c>
      <c r="D70" s="39">
        <f>1-D62/Inputs!$C$49/D60</f>
        <v>0.34468880163694426</v>
      </c>
      <c r="E70" s="39">
        <f>1-E62/Inputs!$C$49/E60</f>
        <v>0.32808080575269205</v>
      </c>
      <c r="F70" s="17"/>
    </row>
    <row r="71">
      <c r="F71" s="17"/>
    </row>
    <row r="72">
      <c r="B72" t="s" s="16">
        <v>534</v>
      </c>
      <c r="C72" s="16"/>
      <c r="D72" s="16"/>
      <c r="E72" s="16"/>
      <c r="F72" s="37"/>
    </row>
    <row r="73">
      <c r="B73" t="s" s="40">
        <v>535</v>
      </c>
      <c r="C73" s="43">
        <f>Platform!$E$56</f>
        <v>112.8478143716851</v>
      </c>
      <c r="D73" s="43">
        <f>Platform!$E$56</f>
        <v>112.8478143716851</v>
      </c>
      <c r="E73" s="43">
        <f>Platform!$E$56</f>
        <v>112.8478143716851</v>
      </c>
      <c r="F73" t="s" s="17">
        <v>562</v>
      </c>
    </row>
    <row r="74">
      <c r="B74" t="s" s="40">
        <v>536</v>
      </c>
      <c r="C74" s="6">
        <f>MAX(0,C39*(Platform!$E$24+Synergies!$D$186)-(Platform!$E$62-C73+Returns!$D$28))</f>
        <v>31.371581732516688</v>
      </c>
      <c r="D74" s="6">
        <f>MAX(0,D39*(Platform!$E$24+Synergies!$D$186)-(Platform!$E$62-D73+Returns!$D$45))</f>
        <v>206.05839488742777</v>
      </c>
      <c r="E74" s="6">
        <f>MAX(0,E39*(Platform!$E$24+Synergies!$D$186)-(Platform!$E$62-E73+Returns!$D$62))</f>
        <v>161.19240499424086</v>
      </c>
      <c r="F74" t="s" s="17">
        <v>563</v>
      </c>
    </row>
    <row r="75">
      <c r="B75" t="s" s="40">
        <v>537</v>
      </c>
      <c r="C75" s="6">
        <f>C44</f>
        <v>120.39924982433686</v>
      </c>
      <c r="D75" s="6">
        <f>D44</f>
        <v>283.7113735609899</v>
      </c>
      <c r="E75" s="6">
        <f>E44</f>
        <v>241.7668217046005</v>
      </c>
      <c r="F75" s="17"/>
    </row>
    <row r="76">
      <c r="B76" t="s" s="14">
        <v>538</v>
      </c>
      <c r="C76" s="15">
        <f>C74+C75</f>
        <v>151.77083155685355</v>
      </c>
      <c r="D76" s="15">
        <f>D74+D75</f>
        <v>489.76976844841766</v>
      </c>
      <c r="E76" s="15">
        <f>E74+E75</f>
        <v>402.95922669884135</v>
      </c>
      <c r="F76" s="17"/>
    </row>
    <row r="77">
      <c r="B77" t="s" s="14">
        <v>539</v>
      </c>
      <c r="C77" s="15">
        <f>C76-C73</f>
        <v>38.92301718516845</v>
      </c>
      <c r="D77" s="15">
        <f>D76-D73</f>
        <v>376.92195407673256</v>
      </c>
      <c r="E77" s="15">
        <f>E76-E73</f>
        <v>290.11141232715624</v>
      </c>
      <c r="F77" s="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3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9" width="13.64453125" customWidth="1"/>
  </cols>
  <sheetData>
    <row r="2">
      <c r="B2" t="s" s="2">
        <v>652</v>
      </c>
    </row>
    <row r="3">
      <c r="B3" t="str" s="38">
        <f>"Takeaway: accretive to equity value per unit in every case, at close (Case C "&amp;TEXT(F19,"$0.00")&amp;" vs "&amp;TEXT(C19,"$0.00")&amp;") and at exit (Case C "&amp;TEXT(F31,"$0.00")&amp;" vs "&amp;TEXT(C31,"$0.00")&amp;", up "&amp;TEXT(F32,"$0.00")&amp;" a unit), because Lariat is bought at "&amp;TEXT(Inputs!C104,"0.0x")&amp;" and marked at "&amp;TEXT(Inputs!C11,"0.0x")&amp;". Leverage is neutral only in Case B; FY28 levered FCF is roughly flat as costs to achieve land in year one."</f>
        <v>Takeaway: accretive to equity value per unit in every case, at close (Case C $11.34 vs $11.24) and at exit (Case C $22.08 vs $21.63, up $0.45 a unit), because Lariat is bought at 15.0x and marked at 18.0x. Leverage is neutral only in Case B; FY28 levered FCF is roughly flat as costs to achieve land in year one.</v>
      </c>
    </row>
    <row r="4">
      <c r="B4" t="s" s="4">
        <v>711</v>
      </c>
    </row>
    <row r="5">
      <c r="B5" s="4"/>
    </row>
    <row r="6">
      <c r="J6" s="17"/>
    </row>
    <row r="7">
      <c r="D7" t="s" s="86">
        <v>685</v>
      </c>
      <c r="E7" s="86"/>
      <c r="F7" s="86"/>
      <c r="G7" t="s" s="86">
        <v>686</v>
      </c>
      <c r="H7" s="86"/>
      <c r="I7" s="86"/>
      <c r="J7" s="17"/>
    </row>
    <row r="8">
      <c r="B8" t="s" s="41">
        <v>149</v>
      </c>
      <c r="C8" t="s" s="42">
        <v>580</v>
      </c>
      <c r="D8" t="s" s="42">
        <v>581</v>
      </c>
      <c r="E8" t="s" s="42">
        <v>582</v>
      </c>
      <c r="F8" t="s" s="42">
        <v>583</v>
      </c>
      <c r="G8" t="s" s="42">
        <v>581</v>
      </c>
      <c r="H8" t="s" s="42">
        <v>582</v>
      </c>
      <c r="I8" t="s" s="42">
        <v>583</v>
      </c>
      <c r="J8" s="50"/>
    </row>
    <row r="9">
      <c r="B9" t="s" s="16">
        <v>564</v>
      </c>
      <c r="C9" s="16"/>
      <c r="D9" s="16"/>
      <c r="E9" s="16"/>
      <c r="F9" s="16"/>
      <c r="G9" s="16"/>
      <c r="H9" s="16"/>
      <c r="I9" s="16"/>
      <c r="J9" s="37"/>
    </row>
    <row r="10">
      <c r="B10" t="s" s="14">
        <v>565</v>
      </c>
      <c r="C10" s="44">
        <f>Platform!$D$24</f>
        <v>316</v>
      </c>
      <c r="D10" s="15">
        <f>C10+Inputs!$C$83</f>
        <v>331.1</v>
      </c>
      <c r="E10" s="15">
        <f>C10+Inputs!$C$83</f>
        <v>331.1</v>
      </c>
      <c r="F10" s="15">
        <f>C10+Inputs!$C$83</f>
        <v>331.1</v>
      </c>
      <c r="G10" t="str" s="81">
        <f>IF(ROUND(D10-C10,4)=0,"Neutral",IF(D10&gt;C10,"Accretive","Dilutive"))</f>
        <v>Accretive</v>
      </c>
      <c r="H10" t="str" s="81">
        <f>IF(ROUND(E10-C10,4)=0,"Neutral",IF(E10&gt;C10,"Accretive","Dilutive"))</f>
        <v>Accretive</v>
      </c>
      <c r="I10" t="str" s="81">
        <f>IF(ROUND(F10-C10,4)=0,"Neutral",IF(F10&gt;C10,"Accretive","Dilutive"))</f>
        <v>Accretive</v>
      </c>
      <c r="J10" s="17"/>
    </row>
    <row r="11">
      <c r="B11" t="s" s="40">
        <v>566</v>
      </c>
      <c r="C11" s="6">
        <f>C10</f>
        <v>316</v>
      </c>
      <c r="D11" s="6">
        <f>C10+Inputs!$C$83+Synergies!$C$184</f>
        <v>337.00288924672975</v>
      </c>
      <c r="E11" s="6">
        <f>C10+Inputs!$C$83+Synergies!$C$184</f>
        <v>337.00288924672975</v>
      </c>
      <c r="F11" s="6">
        <f>C10+Inputs!$C$83+Synergies!$C$184</f>
        <v>337.00288924672975</v>
      </c>
      <c r="G11" t="str" s="82">
        <f>IF(ROUND(D11-C11,4)=0,"Neutral",IF(D11&gt;C11,"Accretive","Dilutive"))</f>
        <v>Accretive</v>
      </c>
      <c r="H11" t="str" s="82">
        <f>IF(ROUND(E11-C11,4)=0,"Neutral",IF(E11&gt;C11,"Accretive","Dilutive"))</f>
        <v>Accretive</v>
      </c>
      <c r="I11" t="str" s="82">
        <f>IF(ROUND(F11-C11,4)=0,"Neutral",IF(F11&gt;C11,"Accretive","Dilutive"))</f>
        <v>Accretive</v>
      </c>
      <c r="J11" t="s" s="17">
        <v>584</v>
      </c>
    </row>
    <row r="12">
      <c r="B12" t="s" s="40">
        <v>439</v>
      </c>
      <c r="C12" s="43">
        <f>Platform!$D$62</f>
        <v>1579.551613532049</v>
      </c>
      <c r="D12" s="43">
        <f>Funding!C25</f>
        <v>1818.3423112064677</v>
      </c>
      <c r="E12" s="43">
        <f>Funding!D25</f>
        <v>1655.0301874698148</v>
      </c>
      <c r="F12" s="43">
        <f>Funding!E25</f>
        <v>1696.9747393262041</v>
      </c>
      <c r="G12" t="str" s="82">
        <f>IF(ROUND(D12-C12,4)=0,"Neutral",IF(D12&lt;C12,"Accretive","Dilutive"))</f>
        <v>Dilutive</v>
      </c>
      <c r="H12" t="str" s="82">
        <f>IF(ROUND(E12-C12,4)=0,"Neutral",IF(E12&lt;C12,"Accretive","Dilutive"))</f>
        <v>Dilutive</v>
      </c>
      <c r="I12" t="str" s="82">
        <f>IF(ROUND(F12-C12,4)=0,"Neutral",IF(F12&lt;C12,"Accretive","Dilutive"))</f>
        <v>Dilutive</v>
      </c>
      <c r="J12" s="17"/>
    </row>
    <row r="13">
      <c r="B13" t="s" s="3">
        <v>567</v>
      </c>
      <c r="C13" s="94">
        <f>C12/C10</f>
        <v>4.998581055481168</v>
      </c>
      <c r="D13" s="94">
        <f>D12/D10</f>
        <v>5.491822141970606</v>
      </c>
      <c r="E13" s="94">
        <f>E12/E10</f>
        <v>4.998581055481168</v>
      </c>
      <c r="F13" s="94">
        <f>F12/F10</f>
        <v>5.125263483316835</v>
      </c>
      <c r="G13" t="str" s="83">
        <f>IF(ROUND(D13-C13,4)=0,"Neutral",IF(D13&lt;C13,"Accretive","Dilutive"))</f>
        <v>Dilutive</v>
      </c>
      <c r="H13" t="str" s="83">
        <f>IF(ROUND(E13-C13,4)=0,"Neutral",IF(E13&lt;C13,"Accretive","Dilutive"))</f>
        <v>Neutral</v>
      </c>
      <c r="I13" t="str" s="83">
        <f>IF(ROUND(F13-C13,4)=0,"Neutral",IF(F13&lt;C13,"Accretive","Dilutive"))</f>
        <v>Dilutive</v>
      </c>
      <c r="J13" s="17"/>
    </row>
    <row r="14">
      <c r="B14" t="s" s="3">
        <v>568</v>
      </c>
      <c r="C14" s="94">
        <f>C12/C11</f>
        <v>4.998581055481168</v>
      </c>
      <c r="D14" s="94">
        <f>D12/D11</f>
        <v>5.3956282549115056</v>
      </c>
      <c r="E14" s="94">
        <f>E12/E11</f>
        <v>4.911026701192815</v>
      </c>
      <c r="F14" s="94">
        <f>F12/F11</f>
        <v>5.035490179681513</v>
      </c>
      <c r="G14" t="str" s="83">
        <f>IF(ROUND(D14-C14,4)=0,"Neutral",IF(D14&lt;C14,"Accretive","Dilutive"))</f>
        <v>Dilutive</v>
      </c>
      <c r="H14" t="str" s="83">
        <f>IF(ROUND(E14-C14,4)=0,"Neutral",IF(E14&lt;C14,"Accretive","Dilutive"))</f>
        <v>Accretive</v>
      </c>
      <c r="I14" t="str" s="83">
        <f>IF(ROUND(F14-C14,4)=0,"Neutral",IF(F14&lt;C14,"Accretive","Dilutive"))</f>
        <v>Dilutive</v>
      </c>
      <c r="J14" s="17"/>
    </row>
    <row r="15">
      <c r="B15" t="s" s="3">
        <v>569</v>
      </c>
      <c r="C15" s="95">
        <f>Platform!$D$64</f>
        <v>4.998581055481168</v>
      </c>
      <c r="D15" s="94">
        <f>D12/D10</f>
        <v>5.491822141970606</v>
      </c>
      <c r="E15" s="94">
        <f>E12/E10</f>
        <v>4.998581055481168</v>
      </c>
      <c r="F15" s="94">
        <f>F12/F10</f>
        <v>5.125263483316835</v>
      </c>
      <c r="G15" t="str" s="83">
        <f>IF(ROUND(D15-C15,4)=0,"Neutral",IF(D15&lt;C15,"Accretive","Dilutive"))</f>
        <v>Dilutive</v>
      </c>
      <c r="H15" t="str" s="83">
        <f>IF(ROUND(E15-C15,4)=0,"Neutral",IF(E15&lt;C15,"Accretive","Dilutive"))</f>
        <v>Neutral</v>
      </c>
      <c r="I15" t="str" s="83">
        <f>IF(ROUND(F15-C15,4)=0,"Neutral",IF(F15&lt;C15,"Accretive","Dilutive"))</f>
        <v>Dilutive</v>
      </c>
      <c r="J15" t="s" s="17">
        <v>549</v>
      </c>
    </row>
    <row r="16">
      <c r="B16" t="s" s="40">
        <v>570</v>
      </c>
      <c r="C16" s="43">
        <f>Platform!$D$69</f>
        <v>4108.448386467951</v>
      </c>
      <c r="D16" s="6">
        <f>Inputs!$C$11*D10-D12</f>
        <v>4141.457688793533</v>
      </c>
      <c r="E16" s="6">
        <f>Inputs!$C$11*E10-E12</f>
        <v>4304.769812530185</v>
      </c>
      <c r="F16" s="6">
        <f>Inputs!$C$11*F10-F12</f>
        <v>4262.825260673796</v>
      </c>
      <c r="G16" t="str" s="82">
        <f>IF(ROUND(D16-C16,4)=0,"Neutral",IF(D16&gt;C16,"Accretive","Dilutive"))</f>
        <v>Accretive</v>
      </c>
      <c r="H16" t="str" s="82">
        <f>IF(ROUND(E16-C16,4)=0,"Neutral",IF(E16&gt;C16,"Accretive","Dilutive"))</f>
        <v>Accretive</v>
      </c>
      <c r="I16" t="str" s="82">
        <f>IF(ROUND(F16-C16,4)=0,"Neutral",IF(F16&gt;C16,"Accretive","Dilutive"))</f>
        <v>Accretive</v>
      </c>
      <c r="J16" s="17"/>
    </row>
    <row r="17">
      <c r="B17" t="s" s="40">
        <v>571</v>
      </c>
      <c r="C17" s="67">
        <f>Platform!$D$70</f>
        <v>11.243916513091254</v>
      </c>
      <c r="D17" s="7">
        <f>C17</f>
        <v>11.243916513091254</v>
      </c>
      <c r="E17" s="7">
        <f>C17</f>
        <v>11.243916513091254</v>
      </c>
      <c r="F17" s="7">
        <f>C17</f>
        <v>11.243916513091254</v>
      </c>
      <c r="G17" s="84"/>
      <c r="H17" s="84"/>
      <c r="I17" s="84"/>
      <c r="J17" t="s" s="17">
        <v>585</v>
      </c>
    </row>
    <row r="18">
      <c r="B18" t="s" s="40">
        <v>572</v>
      </c>
      <c r="C18" s="43">
        <f>Platform!$C$19</f>
        <v>365.3929999999999</v>
      </c>
      <c r="D18" s="6">
        <f>C18+Funding!C18/C17</f>
        <v>365.3929999999999</v>
      </c>
      <c r="E18" s="6">
        <f>C18+Funding!D18/C17</f>
        <v>379.4454415608429</v>
      </c>
      <c r="F18" s="6">
        <f>C18+Funding!E18/C17</f>
        <v>375.8362584195586</v>
      </c>
      <c r="G18" s="82"/>
      <c r="H18" s="82"/>
      <c r="I18" s="82"/>
      <c r="J18" s="17"/>
    </row>
    <row r="19">
      <c r="B19" t="s" s="14">
        <v>573</v>
      </c>
      <c r="C19" s="66">
        <f>C16/C18</f>
        <v>11.243916513091254</v>
      </c>
      <c r="D19" s="66">
        <f>D16/D18</f>
        <v>11.334255688514924</v>
      </c>
      <c r="E19" s="66">
        <f>E16/E18</f>
        <v>11.34489795113253</v>
      </c>
      <c r="F19" s="66">
        <f>F16/F18</f>
        <v>11.342240577318279</v>
      </c>
      <c r="G19" t="str" s="85">
        <f>IF(ROUND(D19-C19,4)=0,"Neutral",IF(D19&gt;C19,"Accretive","Dilutive"))</f>
        <v>Accretive</v>
      </c>
      <c r="H19" t="str" s="85">
        <f>IF(ROUND(E19-C19,4)=0,"Neutral",IF(E19&gt;C19,"Accretive","Dilutive"))</f>
        <v>Accretive</v>
      </c>
      <c r="I19" t="str" s="85">
        <f>IF(ROUND(F19-C19,4)=0,"Neutral",IF(F19&gt;C19,"Accretive","Dilutive"))</f>
        <v>Accretive</v>
      </c>
      <c r="J19" s="17"/>
    </row>
    <row r="20">
      <c r="B20" t="s" s="14">
        <v>574</v>
      </c>
      <c r="C20" s="66">
        <f>C19</f>
        <v>11.243916513091254</v>
      </c>
      <c r="D20" s="66">
        <f>(Inputs!$C$11*D11-D12)/D18</f>
        <v>11.625043980685643</v>
      </c>
      <c r="E20" s="66">
        <f>(Inputs!$C$11*E11-E12)/E18</f>
        <v>11.624917144416473</v>
      </c>
      <c r="F20" s="66">
        <f>(Inputs!$C$11*F11-F12)/F18</f>
        <v>11.62494881544288</v>
      </c>
      <c r="G20" t="str" s="85">
        <f>IF(ROUND(D20-C20,4)=0,"Neutral",IF(D20&gt;C20,"Accretive","Dilutive"))</f>
        <v>Accretive</v>
      </c>
      <c r="H20" t="str" s="85">
        <f>IF(ROUND(E20-C20,4)=0,"Neutral",IF(E20&gt;C20,"Accretive","Dilutive"))</f>
        <v>Accretive</v>
      </c>
      <c r="I20" t="str" s="85">
        <f>IF(ROUND(F20-C20,4)=0,"Neutral",IF(F20&gt;C20,"Accretive","Dilutive"))</f>
        <v>Accretive</v>
      </c>
      <c r="J20" s="17"/>
    </row>
    <row r="21">
      <c r="G21" s="75"/>
      <c r="H21" s="75"/>
      <c r="I21" s="75"/>
      <c r="J21" s="17"/>
    </row>
    <row r="22">
      <c r="B22" t="s" s="16">
        <v>575</v>
      </c>
      <c r="C22" s="16"/>
      <c r="D22" s="16"/>
      <c r="E22" s="16"/>
      <c r="F22" s="16"/>
      <c r="G22" s="74"/>
      <c r="H22" s="74"/>
      <c r="I22" s="74"/>
      <c r="J22" s="37"/>
    </row>
    <row r="23">
      <c r="B23" t="s" s="14">
        <v>576</v>
      </c>
      <c r="C23" s="44">
        <f>Platform!$E$24</f>
        <v>388</v>
      </c>
      <c r="D23" s="15">
        <f>C23+Synergies!$D$186</f>
        <v>407.09342880763546</v>
      </c>
      <c r="E23" s="15">
        <f>C23+Synergies!$D$186</f>
        <v>407.09342880763546</v>
      </c>
      <c r="F23" s="15">
        <f>C23+Synergies!$D$186</f>
        <v>407.09342880763546</v>
      </c>
      <c r="G23" t="str" s="81">
        <f>IF(ROUND(D23-C23,4)=0,"Neutral",IF(D23&gt;C23,"Accretive","Dilutive"))</f>
        <v>Accretive</v>
      </c>
      <c r="H23" t="str" s="81">
        <f>IF(ROUND(E23-C23,4)=0,"Neutral",IF(E23&gt;C23,"Accretive","Dilutive"))</f>
        <v>Accretive</v>
      </c>
      <c r="I23" t="str" s="81">
        <f>IF(ROUND(F23-C23,4)=0,"Neutral",IF(F23&gt;C23,"Accretive","Dilutive"))</f>
        <v>Accretive</v>
      </c>
      <c r="J23" t="s" s="17">
        <v>586</v>
      </c>
    </row>
    <row r="24">
      <c r="B24" t="s" s="40">
        <v>577</v>
      </c>
      <c r="C24" s="43">
        <f>Platform!$E$65</f>
        <v>116.63187144517569</v>
      </c>
      <c r="D24" s="6">
        <f>C24+Returns!$D$25</f>
        <v>133.26364353819895</v>
      </c>
      <c r="E24" s="6">
        <f>C24+Returns!$D$42</f>
        <v>121.88895411994108</v>
      </c>
      <c r="F24" s="6">
        <f>C24+Returns!$D$59</f>
        <v>124.81039215673859</v>
      </c>
      <c r="G24" t="str" s="82">
        <f>IF(ROUND(D24-C24,4)=0,"Neutral",IF(D24&lt;C24,"Accretive","Dilutive"))</f>
        <v>Dilutive</v>
      </c>
      <c r="H24" t="str" s="82">
        <f>IF(ROUND(E24-C24,4)=0,"Neutral",IF(E24&lt;C24,"Accretive","Dilutive"))</f>
        <v>Dilutive</v>
      </c>
      <c r="I24" t="str" s="82">
        <f>IF(ROUND(F24-C24,4)=0,"Neutral",IF(F24&lt;C24,"Accretive","Dilutive"))</f>
        <v>Dilutive</v>
      </c>
      <c r="J24" t="s" s="17">
        <v>587</v>
      </c>
    </row>
    <row r="25">
      <c r="B25" t="s" s="3">
        <v>578</v>
      </c>
      <c r="C25" s="94">
        <f>C23/C24</f>
        <v>3.3267064584690678</v>
      </c>
      <c r="D25" s="94">
        <f>D23/D24</f>
        <v>3.054797377582922</v>
      </c>
      <c r="E25" s="94">
        <f>E23/E24</f>
        <v>3.3398713751128564</v>
      </c>
      <c r="F25" s="94">
        <f>F23/F24</f>
        <v>3.261694974056343</v>
      </c>
      <c r="G25" t="str" s="83">
        <f>IF(ROUND(D25-C25,4)=0,"Neutral",IF(D25&gt;C25,"Accretive","Dilutive"))</f>
        <v>Dilutive</v>
      </c>
      <c r="H25" t="str" s="83">
        <f>IF(ROUND(E25-C25,4)=0,"Neutral",IF(E25&gt;C25,"Accretive","Dilutive"))</f>
        <v>Accretive</v>
      </c>
      <c r="I25" t="str" s="83">
        <f>IF(ROUND(F25-C25,4)=0,"Neutral",IF(F25&gt;C25,"Accretive","Dilutive"))</f>
        <v>Dilutive</v>
      </c>
      <c r="J25" s="17"/>
    </row>
    <row r="26">
      <c r="B26" t="s" s="14">
        <v>579</v>
      </c>
      <c r="C26" s="44">
        <f>Platform!$E$67</f>
        <v>-196.65592686703323</v>
      </c>
      <c r="D26" s="15">
        <f>C26+Returns!$D$26</f>
        <v>-199.82104230431977</v>
      </c>
      <c r="E26" s="15">
        <f>C26+Returns!$D$43</f>
        <v>-188.4463528860619</v>
      </c>
      <c r="F26" s="15">
        <f>C26+Returns!$D$60</f>
        <v>-191.36779092285943</v>
      </c>
      <c r="G26" t="str" s="81">
        <f>IF(ROUND(D26-C26,4)=0,"Neutral",IF(D26&gt;C26,"Accretive","Dilutive"))</f>
        <v>Dilutive</v>
      </c>
      <c r="H26" t="str" s="81">
        <f>IF(ROUND(E26-C26,4)=0,"Neutral",IF(E26&gt;C26,"Accretive","Dilutive"))</f>
        <v>Accretive</v>
      </c>
      <c r="I26" t="str" s="81">
        <f>IF(ROUND(F26-C26,4)=0,"Neutral",IF(F26&gt;C26,"Accretive","Dilutive"))</f>
        <v>Accretive</v>
      </c>
      <c r="J26" t="s" s="17">
        <v>588</v>
      </c>
    </row>
    <row r="28">
      <c r="B28" t="s" s="16">
        <v>700</v>
      </c>
      <c r="C28" s="16"/>
      <c r="D28" s="16"/>
      <c r="E28" s="16"/>
      <c r="F28" s="16"/>
      <c r="G28" s="16"/>
      <c r="H28" s="16"/>
      <c r="I28" s="16"/>
      <c r="J28" s="37"/>
    </row>
    <row r="29">
      <c r="B29" t="s" s="40">
        <v>701</v>
      </c>
      <c r="C29" s="43">
        <f>Returns!$C$87</f>
        <v>7904.029483259216</v>
      </c>
      <c r="D29" s="43">
        <f>Returns!$D$87</f>
        <v>8149.3945978767315</v>
      </c>
      <c r="E29" s="43">
        <f>Returns!$E$87</f>
        <v>8349.17346640553</v>
      </c>
      <c r="F29" s="43">
        <f>Returns!$F$87</f>
        <v>8297.862915057061</v>
      </c>
      <c r="G29" t="str" s="75">
        <f>IF(ROUND(D29-C29,4)=0,"Neutral",IF(D29&gt;C29,"Accretive","Dilutive"))</f>
        <v>Accretive</v>
      </c>
      <c r="H29" t="str" s="75">
        <f>IF(ROUND(E29-C29,4)=0,"Neutral",IF(E29&gt;C29,"Accretive","Dilutive"))</f>
        <v>Accretive</v>
      </c>
      <c r="I29" t="str" s="75">
        <f>IF(ROUND(F29-C29,4)=0,"Neutral",IF(F29&gt;C29,"Accretive","Dilutive"))</f>
        <v>Accretive</v>
      </c>
      <c r="J29" t="s" s="17">
        <v>705</v>
      </c>
    </row>
    <row r="30">
      <c r="B30" t="s" s="40">
        <v>572</v>
      </c>
      <c r="C30" s="6">
        <f>C18</f>
        <v>365.3929999999999</v>
      </c>
      <c r="D30" s="6">
        <f>D18</f>
        <v>365.3929999999999</v>
      </c>
      <c r="E30" s="6">
        <f>E18</f>
        <v>379.4454415608429</v>
      </c>
      <c r="F30" s="6">
        <f>F18</f>
        <v>375.8362584195586</v>
      </c>
      <c r="G30" s="75"/>
      <c r="H30" s="75"/>
      <c r="I30" s="75"/>
      <c r="J30" t="s" s="17">
        <v>706</v>
      </c>
    </row>
    <row r="31">
      <c r="B31" t="s" s="102">
        <v>702</v>
      </c>
      <c r="C31" s="103">
        <f>C29/C30</f>
        <v>21.631584303090694</v>
      </c>
      <c r="D31" s="103">
        <f>D29/D30</f>
        <v>22.30309447054742</v>
      </c>
      <c r="E31" s="103">
        <f>E29/E30</f>
        <v>22.003620420530908</v>
      </c>
      <c r="F31" s="103">
        <f>F29/F30</f>
        <v>22.07839911441934</v>
      </c>
      <c r="G31" t="str" s="104">
        <f>IF(ROUND(D31-C31,4)=0,"Neutral",IF(D31&gt;C31,"Accretive","Dilutive"))</f>
        <v>Accretive</v>
      </c>
      <c r="H31" t="str" s="104">
        <f>IF(ROUND(E31-C31,4)=0,"Neutral",IF(E31&gt;C31,"Accretive","Dilutive"))</f>
        <v>Accretive</v>
      </c>
      <c r="I31" t="str" s="104">
        <f>IF(ROUND(F31-C31,4)=0,"Neutral",IF(F31&gt;C31,"Accretive","Dilutive"))</f>
        <v>Accretive</v>
      </c>
      <c r="J31" t="s" s="17">
        <v>707</v>
      </c>
    </row>
    <row r="32">
      <c r="B32" t="s" s="40">
        <v>703</v>
      </c>
      <c r="C32" s="7"/>
      <c r="D32" s="7">
        <f>D31-$C$31</f>
        <v>0.6715101674567272</v>
      </c>
      <c r="E32" s="7">
        <f>E31-$C$31</f>
        <v>0.3720361174402136</v>
      </c>
      <c r="F32" s="7">
        <f>F31-$C$31</f>
        <v>0.44681481132864675</v>
      </c>
      <c r="G32" t="str" s="75">
        <f>IF(ROUND(D32,4)=0,"Neutral",IF(D32&gt;0,"Accretive","Dilutive"))</f>
        <v>Accretive</v>
      </c>
      <c r="H32" t="str" s="75">
        <f>IF(ROUND(E32,4)=0,"Neutral",IF(E32&gt;0,"Accretive","Dilutive"))</f>
        <v>Accretive</v>
      </c>
      <c r="I32" t="str" s="75">
        <f>IF(ROUND(F32,4)=0,"Neutral",IF(F32&gt;0,"Accretive","Dilutive"))</f>
        <v>Accretive</v>
      </c>
      <c r="J32" t="s" s="17">
        <v>708</v>
      </c>
    </row>
    <row r="33">
      <c r="B33" t="s" s="3">
        <v>704</v>
      </c>
      <c r="C33" s="39"/>
      <c r="D33" t="str" s="64">
        <f>Returns!$C$31</f>
        <v>n.m.</v>
      </c>
      <c r="E33" s="64">
        <f>Returns!$C$48</f>
        <v>0.4119096100330353</v>
      </c>
      <c r="F33" s="64">
        <f>Returns!$C$65</f>
        <v>0.4963268578052521</v>
      </c>
      <c r="G33" s="105"/>
      <c r="H33" s="105"/>
      <c r="I33" s="105"/>
      <c r="J33" t="s" s="17">
        <v>709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3"/>
  <sheetViews>
    <sheetView showGridLines="0" workbookViewId="0">
      <selection activeCell="A1" sqref="A1"/>
    </sheetView>
  </sheetViews>
  <cols>
    <col min="1" max="1" width="2.21875" customWidth="1"/>
    <col min="2" max="2" width="62.7890625" customWidth="1"/>
    <col min="3" max="9" width="13.64453125" customWidth="1"/>
  </cols>
  <sheetData>
    <row r="2">
      <c r="B2" t="s" s="2">
        <v>654</v>
      </c>
    </row>
    <row r="3">
      <c r="B3" t="str" s="38">
        <f>"Takeaway: Case C returns "&amp;TEXT(C65,"0%")&amp;" IRR and "&amp;TEXT(C66,"0.0x")&amp;" on "&amp;TEXT(-C64,"$0")&amp;"M of new equity; Case B "&amp;TEXT(C48,"0%")&amp;" and "&amp;TEXT(C49,"0.0x")&amp;". Re-rating and synergies are "&amp;TEXT((E74+E76)/SUM(E74:E78),"0%")&amp;" of Case C value created."</f>
        <v>Takeaway: Case C returns 50% IRR and 3.4x on $117M of new equity; Case B 41% and 2.8x. Re-rating and synergies are 65% of Case C value created.</v>
      </c>
    </row>
    <row r="4">
      <c r="B4" t="str" s="4">
        <f>"Case A uses no new equity, so its IRR is n.m.; it adds "&amp;TEXT(D90,"$0")&amp;"M to platform exit equity. Exit at 18.0x LTM on 31-Dec-30, no interim distributions; free cash flow repays debt."</f>
        <v>Case A uses no new equity, so its IRR is n.m.; it adds $245M to platform exit equity. Exit at 18.0x LTM on 31-Dec-30, no interim distributions; free cash flow repays debt.</v>
      </c>
    </row>
    <row r="5">
      <c r="B5" s="4"/>
    </row>
    <row r="6">
      <c r="J6" s="17"/>
    </row>
    <row r="7">
      <c r="J7" s="17"/>
    </row>
    <row r="8">
      <c r="B8" t="s" s="1">
        <v>211</v>
      </c>
      <c r="C8" s="63">
        <v>46752</v>
      </c>
      <c r="D8" s="56">
        <v>47118</v>
      </c>
      <c r="E8" s="56">
        <v>47483</v>
      </c>
      <c r="F8" s="56">
        <v>47848</v>
      </c>
      <c r="G8" s="1"/>
      <c r="H8" s="1"/>
      <c r="I8" s="1"/>
      <c r="J8" s="17"/>
    </row>
    <row r="9">
      <c r="B9" t="s" s="16">
        <v>589</v>
      </c>
      <c r="C9" s="16"/>
      <c r="D9" s="16"/>
      <c r="E9" s="16"/>
      <c r="F9" s="16"/>
      <c r="G9" s="16"/>
      <c r="H9" s="16"/>
      <c r="I9" s="16"/>
      <c r="J9" s="37"/>
    </row>
    <row r="10">
      <c r="B10" t="s" s="40">
        <v>590</v>
      </c>
      <c r="C10" s="6"/>
      <c r="D10" s="43">
        <f>Synergies!D84</f>
        <v>15.92462500000001</v>
      </c>
      <c r="E10" s="43">
        <f>Synergies!E84</f>
        <v>17.25814281250002</v>
      </c>
      <c r="F10" s="43">
        <f>Synergies!F84</f>
        <v>18.652824632031255</v>
      </c>
      <c r="G10" s="6"/>
      <c r="H10" s="6"/>
      <c r="I10" s="6"/>
      <c r="J10" s="17"/>
    </row>
    <row r="11">
      <c r="B11" t="s" s="40">
        <v>591</v>
      </c>
      <c r="C11" s="6"/>
      <c r="D11" s="43">
        <f>Synergies!D184</f>
        <v>3.1688038076354377</v>
      </c>
      <c r="E11" s="43">
        <f>Synergies!E184</f>
        <v>6.795521289868242</v>
      </c>
      <c r="F11" s="43">
        <f>Synergies!F184</f>
        <v>7.70637304722853</v>
      </c>
      <c r="G11" s="6"/>
      <c r="H11" s="6"/>
      <c r="I11" s="6"/>
      <c r="J11" s="17"/>
    </row>
    <row r="12">
      <c r="B12" t="s" s="14">
        <v>311</v>
      </c>
      <c r="C12" s="15"/>
      <c r="D12" s="15">
        <f>D10+D11</f>
        <v>19.093428807635448</v>
      </c>
      <c r="E12" s="15">
        <f>E10+E11</f>
        <v>24.05366410236826</v>
      </c>
      <c r="F12" s="15">
        <f>F10+F11</f>
        <v>26.359197679259786</v>
      </c>
      <c r="G12" s="15"/>
      <c r="H12" s="15"/>
      <c r="I12" s="15"/>
      <c r="J12" s="17"/>
    </row>
    <row r="13">
      <c r="B13" t="s" s="40">
        <v>592</v>
      </c>
      <c r="C13" s="6"/>
      <c r="D13" s="43">
        <f>Synergies!D188</f>
        <v>-1.826772151898734</v>
      </c>
      <c r="E13" s="43">
        <f>Synergies!E188</f>
        <v>-0.6089240506329113</v>
      </c>
      <c r="F13" s="43">
        <f>Synergies!F188</f>
        <v>0</v>
      </c>
      <c r="G13" s="6"/>
      <c r="H13" s="6"/>
      <c r="I13" s="6"/>
      <c r="J13" s="17"/>
    </row>
    <row r="14">
      <c r="B14" t="s" s="40">
        <v>410</v>
      </c>
      <c r="C14" s="6"/>
      <c r="D14" s="43">
        <f>Synergies!D86</f>
        <v>-1.8</v>
      </c>
      <c r="E14" s="43">
        <f>Synergies!E86</f>
        <v>-1.8</v>
      </c>
      <c r="F14" s="43">
        <f>Synergies!F86</f>
        <v>-1.8</v>
      </c>
      <c r="G14" s="6"/>
      <c r="H14" s="6"/>
      <c r="I14" s="6"/>
      <c r="J14" s="17"/>
    </row>
    <row r="15">
      <c r="B15" t="s" s="40">
        <v>593</v>
      </c>
      <c r="C15" s="6"/>
      <c r="D15" s="43">
        <f>Synergies!D189</f>
        <v>-2</v>
      </c>
      <c r="E15" s="43">
        <f>Synergies!E189</f>
        <v>0</v>
      </c>
      <c r="F15" s="43">
        <f>Synergies!F189</f>
        <v>0</v>
      </c>
      <c r="G15" s="6"/>
      <c r="H15" s="6"/>
      <c r="I15" s="6"/>
      <c r="J15" s="17"/>
    </row>
    <row r="16">
      <c r="B16" t="s" s="40">
        <v>412</v>
      </c>
      <c r="C16" s="6"/>
      <c r="D16" s="6">
        <f>-Inputs!$C$42*D12</f>
        <v>0</v>
      </c>
      <c r="E16" s="6">
        <f>-Inputs!$C$42*E12</f>
        <v>0</v>
      </c>
      <c r="F16" s="6">
        <f>-Inputs!$C$42*F12</f>
        <v>0</v>
      </c>
      <c r="G16" s="6"/>
      <c r="H16" s="6"/>
      <c r="I16" s="6"/>
      <c r="J16" t="s" s="17">
        <v>634</v>
      </c>
    </row>
    <row r="17">
      <c r="B17" t="s" s="14">
        <v>413</v>
      </c>
      <c r="C17" s="15"/>
      <c r="D17" s="15">
        <f>SUM(D12:D16)</f>
        <v>13.466656655736713</v>
      </c>
      <c r="E17" s="15">
        <f>SUM(E12:E16)</f>
        <v>21.644740051735347</v>
      </c>
      <c r="F17" s="15">
        <f>SUM(F12:F16)</f>
        <v>24.559197679259785</v>
      </c>
      <c r="G17" s="15"/>
      <c r="H17" s="15"/>
      <c r="I17" s="15"/>
      <c r="J17" s="17"/>
    </row>
    <row r="18">
      <c r="J18" s="17"/>
    </row>
    <row r="19">
      <c r="B19" t="s" s="16">
        <v>594</v>
      </c>
      <c r="C19" s="16"/>
      <c r="D19" s="16"/>
      <c r="E19" s="16"/>
      <c r="F19" s="16"/>
      <c r="G19" s="16"/>
      <c r="H19" s="16"/>
      <c r="I19" s="16"/>
      <c r="J19" s="37"/>
    </row>
    <row r="20">
      <c r="B20" t="s" s="40">
        <v>595</v>
      </c>
      <c r="C20" s="6"/>
      <c r="D20" s="6">
        <f>C22</f>
        <v>238.79069767441868</v>
      </c>
      <c r="E20" s="6">
        <f>D22</f>
        <v>236.4027906976745</v>
      </c>
      <c r="F20" s="6">
        <f>E22</f>
        <v>234.01488372093033</v>
      </c>
      <c r="G20" s="6"/>
      <c r="H20" s="6"/>
      <c r="I20" s="6"/>
      <c r="J20" s="17"/>
    </row>
    <row r="21">
      <c r="B21" t="s" s="40">
        <v>416</v>
      </c>
      <c r="C21" s="6"/>
      <c r="D21" s="6">
        <f>-MIN(D20,Inputs!$C$58*$C$22)</f>
        <v>-2.387906976744187</v>
      </c>
      <c r="E21" s="6">
        <f>-MIN(E20,Inputs!$C$58*$C$22)</f>
        <v>-2.387906976744187</v>
      </c>
      <c r="F21" s="6">
        <f>-MIN(F20,Inputs!$C$58*$C$22)</f>
        <v>-2.387906976744187</v>
      </c>
      <c r="G21" s="6"/>
      <c r="H21" s="6"/>
      <c r="I21" s="6"/>
      <c r="J21" s="17"/>
    </row>
    <row r="22">
      <c r="B22" t="s" s="14">
        <v>596</v>
      </c>
      <c r="C22" s="44">
        <f>Funding!$C$17</f>
        <v>238.79069767441868</v>
      </c>
      <c r="D22" s="15">
        <f>D20+D21</f>
        <v>236.4027906976745</v>
      </c>
      <c r="E22" s="15">
        <f>E20+E21</f>
        <v>234.01488372093033</v>
      </c>
      <c r="F22" s="15">
        <f>F20+F21</f>
        <v>231.62697674418615</v>
      </c>
      <c r="G22" s="15"/>
      <c r="H22" s="15"/>
      <c r="I22" s="15"/>
      <c r="J22" s="17"/>
    </row>
    <row r="23">
      <c r="B23" t="s" s="40">
        <v>597</v>
      </c>
      <c r="C23" s="6"/>
      <c r="D23" s="6">
        <f>-(MAX(Inputs!$C$21,Inputs!$C$20)+Inputs!$C$55)*AVERAGE(D20,D22)</f>
        <v>-16.63177209302326</v>
      </c>
      <c r="E23" s="6">
        <f>-(MAX(Inputs!$C$21,Inputs!$C$20)+Inputs!$C$55)*AVERAGE(E20,E22)</f>
        <v>-16.46461860465117</v>
      </c>
      <c r="F23" s="6">
        <f>-(MAX(Inputs!$C$21,Inputs!$C$20)+Inputs!$C$55)*AVERAGE(F20,F22)</f>
        <v>-16.297465116279078</v>
      </c>
      <c r="G23" s="6"/>
      <c r="H23" s="6"/>
      <c r="I23" s="6"/>
      <c r="J23" t="s" s="17">
        <v>635</v>
      </c>
    </row>
    <row r="24">
      <c r="B24" t="s" s="40">
        <v>598</v>
      </c>
      <c r="C24" s="6"/>
      <c r="D24" s="6">
        <f>Inputs!$C$61*C27</f>
        <v>0</v>
      </c>
      <c r="E24" s="6">
        <f>Inputs!$C$61*D27</f>
        <v>-0.37482901294707466</v>
      </c>
      <c r="F24" s="6">
        <f>Inputs!$C$61*E27</f>
        <v>-0.21165549457305294</v>
      </c>
      <c r="G24" s="6"/>
      <c r="H24" s="6"/>
      <c r="I24" s="6"/>
      <c r="J24" s="17"/>
    </row>
    <row r="25">
      <c r="B25" t="s" s="40">
        <v>599</v>
      </c>
      <c r="C25" s="6"/>
      <c r="D25" s="6">
        <f>-(D23+D24)</f>
        <v>16.63177209302326</v>
      </c>
      <c r="E25" s="6">
        <f>-(E23+E24)</f>
        <v>16.839447617598246</v>
      </c>
      <c r="F25" s="6">
        <f>-(F23+F24)</f>
        <v>16.50912061085213</v>
      </c>
      <c r="G25" s="6"/>
      <c r="H25" s="6"/>
      <c r="I25" s="6"/>
      <c r="J25" s="17"/>
    </row>
    <row r="26">
      <c r="B26" t="s" s="14">
        <v>444</v>
      </c>
      <c r="C26" s="15"/>
      <c r="D26" s="15">
        <f>D17+D23+D24</f>
        <v>-3.1651154372865484</v>
      </c>
      <c r="E26" s="15">
        <f>E17+E23+E24</f>
        <v>4.805292434137101</v>
      </c>
      <c r="F26" s="15">
        <f>F17+F23+F24</f>
        <v>8.050077068407655</v>
      </c>
      <c r="G26" s="15"/>
      <c r="H26" s="15"/>
      <c r="I26" s="15"/>
      <c r="J26" s="17"/>
    </row>
    <row r="27">
      <c r="B27" t="s" s="40">
        <v>600</v>
      </c>
      <c r="C27" s="28">
        <v>0</v>
      </c>
      <c r="D27" s="6">
        <f>C27+D26+D21</f>
        <v>-5.553022414030735</v>
      </c>
      <c r="E27" s="6">
        <f>D27+E26+E21</f>
        <v>-3.1356369566378213</v>
      </c>
      <c r="F27" s="6">
        <f>E27+F26+F21</f>
        <v>2.5265331350256464</v>
      </c>
      <c r="G27" s="6"/>
      <c r="H27" s="6"/>
      <c r="I27" s="6"/>
      <c r="J27" s="17"/>
    </row>
    <row r="28">
      <c r="B28" t="s" s="14">
        <v>601</v>
      </c>
      <c r="C28" s="15">
        <f>C22</f>
        <v>238.79069767441868</v>
      </c>
      <c r="D28" s="15">
        <f>D22-D27</f>
        <v>241.95581311170525</v>
      </c>
      <c r="E28" s="15">
        <f>E22-E27</f>
        <v>237.15052067756815</v>
      </c>
      <c r="F28" s="15">
        <f>F22-F27</f>
        <v>229.1004436091605</v>
      </c>
      <c r="G28" s="15"/>
      <c r="H28" s="15"/>
      <c r="I28" s="15"/>
      <c r="J28" s="17"/>
    </row>
    <row r="29">
      <c r="B29" t="s" s="40">
        <v>602</v>
      </c>
      <c r="C29" s="6">
        <f>Inputs!$C$11*Inputs!$C$83-C28</f>
        <v>33.00930232558139</v>
      </c>
      <c r="D29" s="6">
        <f>Inputs!$C$11*D12-D28</f>
        <v>101.72590542573283</v>
      </c>
      <c r="E29" s="6">
        <f>Inputs!$C$11*E12-E28</f>
        <v>195.8154331650605</v>
      </c>
      <c r="F29" s="6">
        <f>Inputs!$C$11*F12-F28</f>
        <v>245.36511461751564</v>
      </c>
      <c r="G29" s="6"/>
      <c r="H29" s="6"/>
      <c r="I29" s="6"/>
      <c r="J29" t="s" s="17">
        <v>478</v>
      </c>
    </row>
    <row r="30">
      <c r="B30" t="s" s="14">
        <v>603</v>
      </c>
      <c r="C30" s="15">
        <f>-Funding!$C$18</f>
        <v>0</v>
      </c>
      <c r="D30" s="15">
        <f>D29*(D8=Inputs!$C$10)</f>
        <v>0</v>
      </c>
      <c r="E30" s="15">
        <f>E29*(E8=Inputs!$C$10)</f>
        <v>0</v>
      </c>
      <c r="F30" s="15">
        <f>F29*(F8=Inputs!$C$10)</f>
        <v>245.36511461751564</v>
      </c>
      <c r="G30" s="15"/>
      <c r="H30" s="15"/>
      <c r="I30" s="15"/>
      <c r="J30" t="s" s="17">
        <v>636</v>
      </c>
    </row>
    <row r="31">
      <c r="B31" t="s" s="14">
        <v>604</v>
      </c>
      <c r="C31" t="str" s="68">
        <f>IF(-C30&lt;=0.0001,"n.m.",XIRR(C30:F30,C8:F8))</f>
        <v>n.m.</v>
      </c>
      <c r="D31" s="68"/>
      <c r="E31" s="68"/>
      <c r="F31" s="68"/>
      <c r="G31" s="68"/>
      <c r="H31" s="68"/>
      <c r="I31" s="68"/>
      <c r="J31" t="s" s="17">
        <v>637</v>
      </c>
    </row>
    <row r="32">
      <c r="B32" t="s" s="14">
        <v>605</v>
      </c>
      <c r="C32" t="str" s="96">
        <f>IF(-C30&lt;=0.0001,"n.m.",SUMIF(C30:F30,"&gt;0")/-SUMIF(C30:F30,"&lt;0"))</f>
        <v>n.m.</v>
      </c>
      <c r="D32" s="96"/>
      <c r="E32" s="96"/>
      <c r="F32" s="96"/>
      <c r="G32" s="60"/>
      <c r="H32" s="60"/>
      <c r="I32" s="60"/>
      <c r="J32" s="17"/>
    </row>
    <row r="33">
      <c r="B33" t="s" s="3">
        <v>606</v>
      </c>
      <c r="C33" s="39"/>
      <c r="D33" t="str" s="39">
        <f>IF(-$C$30&lt;=0.0001,"n.m.",(D29/-$C$30)^(365/(D8-$C$8))-1)</f>
        <v>n.m.</v>
      </c>
      <c r="E33" t="str" s="39">
        <f>IF(-$C$30&lt;=0.0001,"n.m.",(E29/-$C$30)^(365/(E8-$C$8))-1)</f>
        <v>n.m.</v>
      </c>
      <c r="F33" t="str" s="39">
        <f>IF(-$C$30&lt;=0.0001,"n.m.",(F29/-$C$30)^(365/(F8-$C$8))-1)</f>
        <v>n.m.</v>
      </c>
      <c r="G33" s="39"/>
      <c r="H33" s="39"/>
      <c r="I33" s="39"/>
      <c r="J33" s="17"/>
    </row>
    <row r="34">
      <c r="B34" t="s" s="3">
        <v>607</v>
      </c>
      <c r="C34" s="94"/>
      <c r="D34" t="str" s="94">
        <f>IF(-$C$30&lt;=0.0001,"n.m.",D29/-$C$30)</f>
        <v>n.m.</v>
      </c>
      <c r="E34" t="str" s="94">
        <f>IF(-$C$30&lt;=0.0001,"n.m.",E29/-$C$30)</f>
        <v>n.m.</v>
      </c>
      <c r="F34" t="str" s="94">
        <f>IF(-$C$30&lt;=0.0001,"n.m.",F29/-$C$30)</f>
        <v>n.m.</v>
      </c>
      <c r="G34" s="62"/>
      <c r="H34" s="62"/>
      <c r="I34" s="62"/>
      <c r="J34" s="17"/>
    </row>
    <row r="35">
      <c r="J35" s="17"/>
    </row>
    <row r="36">
      <c r="B36" t="s" s="16">
        <v>608</v>
      </c>
      <c r="C36" s="16"/>
      <c r="D36" s="16"/>
      <c r="E36" s="16"/>
      <c r="F36" s="16"/>
      <c r="G36" s="16"/>
      <c r="H36" s="16"/>
      <c r="I36" s="16"/>
      <c r="J36" s="37"/>
    </row>
    <row r="37">
      <c r="B37" t="s" s="40">
        <v>595</v>
      </c>
      <c r="C37" s="6"/>
      <c r="D37" s="6">
        <f>C39</f>
        <v>75.47857393776566</v>
      </c>
      <c r="E37" s="6">
        <f>D39</f>
        <v>74.72378819838801</v>
      </c>
      <c r="F37" s="6">
        <f>E39</f>
        <v>73.96900245901035</v>
      </c>
      <c r="G37" s="6"/>
      <c r="H37" s="6"/>
      <c r="I37" s="6"/>
      <c r="J37" s="17"/>
    </row>
    <row r="38">
      <c r="B38" t="s" s="40">
        <v>416</v>
      </c>
      <c r="C38" s="6"/>
      <c r="D38" s="6">
        <f>-MIN(D37,Inputs!$C$58*$C$39)</f>
        <v>-0.7547857393776566</v>
      </c>
      <c r="E38" s="6">
        <f>-MIN(E37,Inputs!$C$58*$C$39)</f>
        <v>-0.7547857393776566</v>
      </c>
      <c r="F38" s="6">
        <f>-MIN(F37,Inputs!$C$58*$C$39)</f>
        <v>-0.7547857393776566</v>
      </c>
      <c r="G38" s="6"/>
      <c r="H38" s="6"/>
      <c r="I38" s="6"/>
      <c r="J38" s="17"/>
    </row>
    <row r="39">
      <c r="B39" t="s" s="14">
        <v>596</v>
      </c>
      <c r="C39" s="44">
        <f>Funding!$D$17</f>
        <v>75.47857393776566</v>
      </c>
      <c r="D39" s="15">
        <f>D37+D38</f>
        <v>74.72378819838801</v>
      </c>
      <c r="E39" s="15">
        <f>E37+E38</f>
        <v>73.96900245901035</v>
      </c>
      <c r="F39" s="15">
        <f>F37+F38</f>
        <v>73.2142167196327</v>
      </c>
      <c r="G39" s="15"/>
      <c r="H39" s="15"/>
      <c r="I39" s="15"/>
      <c r="J39" s="17"/>
    </row>
    <row r="40">
      <c r="B40" t="s" s="40">
        <v>597</v>
      </c>
      <c r="C40" s="6"/>
      <c r="D40" s="6">
        <f>-(MAX(Inputs!$C$21,Inputs!$C$20)+Inputs!$C$55)*AVERAGE(D37,D39)</f>
        <v>-5.257082674765379</v>
      </c>
      <c r="E40" s="6">
        <f>-(MAX(Inputs!$C$21,Inputs!$C$20)+Inputs!$C$55)*AVERAGE(E37,E39)</f>
        <v>-5.204247673008942</v>
      </c>
      <c r="F40" s="6">
        <f>-(MAX(Inputs!$C$21,Inputs!$C$20)+Inputs!$C$55)*AVERAGE(F37,F39)</f>
        <v>-5.151412671252508</v>
      </c>
      <c r="G40" s="6"/>
      <c r="H40" s="6"/>
      <c r="I40" s="6"/>
      <c r="J40" t="s" s="17">
        <v>635</v>
      </c>
    </row>
    <row r="41">
      <c r="B41" t="s" s="40">
        <v>598</v>
      </c>
      <c r="C41" s="6"/>
      <c r="D41" s="6">
        <f>Inputs!$C$61*C44</f>
        <v>0</v>
      </c>
      <c r="E41" s="6">
        <f>Inputs!$C$61*D44</f>
        <v>0.5031982063075733</v>
      </c>
      <c r="F41" s="6">
        <f>Inputs!$C$61*E44</f>
        <v>1.5959492833893751</v>
      </c>
      <c r="G41" s="6"/>
      <c r="H41" s="6"/>
      <c r="I41" s="6"/>
      <c r="J41" s="17"/>
    </row>
    <row r="42">
      <c r="B42" t="s" s="40">
        <v>599</v>
      </c>
      <c r="C42" s="6"/>
      <c r="D42" s="6">
        <f>-(D40+D41)</f>
        <v>5.257082674765379</v>
      </c>
      <c r="E42" s="6">
        <f>-(E40+E41)</f>
        <v>4.701049466701369</v>
      </c>
      <c r="F42" s="6">
        <f>-(F40+F41)</f>
        <v>3.555463387863133</v>
      </c>
      <c r="G42" s="6"/>
      <c r="H42" s="6"/>
      <c r="I42" s="6"/>
      <c r="J42" s="17"/>
    </row>
    <row r="43">
      <c r="B43" t="s" s="14">
        <v>444</v>
      </c>
      <c r="C43" s="15"/>
      <c r="D43" s="15">
        <f>D17+D40+D41</f>
        <v>8.209573980971335</v>
      </c>
      <c r="E43" s="15">
        <f>E17+E40+E41</f>
        <v>16.943690585033977</v>
      </c>
      <c r="F43" s="15">
        <f>F17+F40+F41</f>
        <v>21.003734291396654</v>
      </c>
      <c r="G43" s="15"/>
      <c r="H43" s="15"/>
      <c r="I43" s="15"/>
      <c r="J43" s="17"/>
    </row>
    <row r="44">
      <c r="B44" t="s" s="40">
        <v>600</v>
      </c>
      <c r="C44" s="28">
        <v>0</v>
      </c>
      <c r="D44" s="6">
        <f>C44+D43+D38</f>
        <v>7.454788241593678</v>
      </c>
      <c r="E44" s="6">
        <f>D44+E43+E38</f>
        <v>23.64369308725</v>
      </c>
      <c r="F44" s="6">
        <f>E44+F43+F38</f>
        <v>43.892641639268994</v>
      </c>
      <c r="G44" s="6"/>
      <c r="H44" s="6"/>
      <c r="I44" s="6"/>
      <c r="J44" s="17"/>
    </row>
    <row r="45">
      <c r="B45" t="s" s="14">
        <v>601</v>
      </c>
      <c r="C45" s="15">
        <f>C39</f>
        <v>75.47857393776566</v>
      </c>
      <c r="D45" s="15">
        <f>D39-D44</f>
        <v>67.26899995679433</v>
      </c>
      <c r="E45" s="15">
        <f>E39-E44</f>
        <v>50.325309371760355</v>
      </c>
      <c r="F45" s="15">
        <f>F39-F44</f>
        <v>29.321575080363708</v>
      </c>
      <c r="G45" s="15"/>
      <c r="H45" s="15"/>
      <c r="I45" s="15"/>
      <c r="J45" s="17"/>
    </row>
    <row r="46">
      <c r="B46" t="s" s="40">
        <v>602</v>
      </c>
      <c r="C46" s="6">
        <f>Inputs!$C$11*Inputs!$C$83-C45</f>
        <v>196.32142606223442</v>
      </c>
      <c r="D46" s="6">
        <f>Inputs!$C$11*D12-D45</f>
        <v>276.41271858064374</v>
      </c>
      <c r="E46" s="6">
        <f>Inputs!$C$11*E12-E45</f>
        <v>382.6406444708683</v>
      </c>
      <c r="F46" s="6">
        <f>Inputs!$C$11*F12-F45</f>
        <v>445.14398314631245</v>
      </c>
      <c r="G46" s="6"/>
      <c r="H46" s="6"/>
      <c r="I46" s="6"/>
      <c r="J46" t="s" s="17">
        <v>478</v>
      </c>
    </row>
    <row r="47">
      <c r="B47" t="s" s="14">
        <v>603</v>
      </c>
      <c r="C47" s="15">
        <f>-Funding!$D$18</f>
        <v>-158.0044797152118</v>
      </c>
      <c r="D47" s="15">
        <f>D46*(D8=Inputs!$C$10)</f>
        <v>0</v>
      </c>
      <c r="E47" s="15">
        <f>E46*(E8=Inputs!$C$10)</f>
        <v>0</v>
      </c>
      <c r="F47" s="15">
        <f>F46*(F8=Inputs!$C$10)</f>
        <v>445.14398314631245</v>
      </c>
      <c r="G47" s="15"/>
      <c r="H47" s="15"/>
      <c r="I47" s="15"/>
      <c r="J47" t="s" s="17">
        <v>636</v>
      </c>
    </row>
    <row r="48">
      <c r="B48" t="s" s="14">
        <v>604</v>
      </c>
      <c r="C48" s="68">
        <f>IF(-C47&lt;=0.0001,"n.m.",XIRR(C47:F47,C8:F8))</f>
        <v>0.4119096100330353</v>
      </c>
      <c r="D48" s="68"/>
      <c r="E48" s="68"/>
      <c r="F48" s="68"/>
      <c r="G48" s="68"/>
      <c r="H48" s="68"/>
      <c r="I48" s="68"/>
      <c r="J48" t="s" s="17">
        <v>637</v>
      </c>
    </row>
    <row r="49">
      <c r="B49" t="s" s="14">
        <v>605</v>
      </c>
      <c r="C49" s="96">
        <f>IF(-C47&lt;=0.0001,"n.m.",SUMIF(C47:F47,"&gt;0")/-SUMIF(C47:F47,"&lt;0"))</f>
        <v>2.817287104445662</v>
      </c>
      <c r="D49" s="96"/>
      <c r="E49" s="96"/>
      <c r="F49" s="96"/>
      <c r="G49" s="60"/>
      <c r="H49" s="60"/>
      <c r="I49" s="60"/>
      <c r="J49" s="17"/>
    </row>
    <row r="50">
      <c r="B50" t="s" s="3">
        <v>606</v>
      </c>
      <c r="C50" s="39"/>
      <c r="D50" s="39">
        <f>IF(-$C$47&lt;=0.0001,"n.m.",(D46/-$C$47)^(365/(D8-$C$8))-1)</f>
        <v>0.7467268337876505</v>
      </c>
      <c r="E50" s="39">
        <f>IF(-$C$47&lt;=0.0001,"n.m.",(E46/-$C$47)^(365/(E8-$C$8))-1)</f>
        <v>0.5552424884102287</v>
      </c>
      <c r="F50" s="39">
        <f>IF(-$C$47&lt;=0.0001,"n.m.",(F46/-$C$47)^(365/(F8-$C$8))-1)</f>
        <v>0.41190960447059366</v>
      </c>
      <c r="G50" s="39"/>
      <c r="H50" s="39"/>
      <c r="I50" s="39"/>
      <c r="J50" s="17"/>
    </row>
    <row r="51">
      <c r="B51" t="s" s="3">
        <v>607</v>
      </c>
      <c r="C51" s="94"/>
      <c r="D51" s="94">
        <f>IF(-$C$47&lt;=0.0001,"n.m.",D46/-$C$47)</f>
        <v>1.7493979859232576</v>
      </c>
      <c r="E51" s="94">
        <f>IF(-$C$47&lt;=0.0001,"n.m.",E46/-$C$47)</f>
        <v>2.4217075690546372</v>
      </c>
      <c r="F51" s="94">
        <f>IF(-$C$47&lt;=0.0001,"n.m.",F46/-$C$47)</f>
        <v>2.817287104445662</v>
      </c>
      <c r="G51" s="62"/>
      <c r="H51" s="62"/>
      <c r="I51" s="62"/>
      <c r="J51" s="17"/>
    </row>
    <row r="52">
      <c r="J52" s="17"/>
    </row>
    <row r="53">
      <c r="B53" t="s" s="16">
        <v>609</v>
      </c>
      <c r="C53" s="16"/>
      <c r="D53" s="16"/>
      <c r="E53" s="16"/>
      <c r="F53" s="16"/>
      <c r="G53" s="16"/>
      <c r="H53" s="16"/>
      <c r="I53" s="16"/>
      <c r="J53" s="37"/>
    </row>
    <row r="54">
      <c r="B54" t="s" s="40">
        <v>595</v>
      </c>
      <c r="C54" s="6"/>
      <c r="D54" s="6">
        <f>C56</f>
        <v>117.42312579415506</v>
      </c>
      <c r="E54" s="6">
        <f>D56</f>
        <v>116.2488945362135</v>
      </c>
      <c r="F54" s="6">
        <f>E56</f>
        <v>115.07466327827194</v>
      </c>
      <c r="G54" s="6"/>
      <c r="H54" s="6"/>
      <c r="I54" s="6"/>
      <c r="J54" s="17"/>
    </row>
    <row r="55">
      <c r="B55" t="s" s="40">
        <v>416</v>
      </c>
      <c r="C55" s="6"/>
      <c r="D55" s="6">
        <f>-MIN(D54,Inputs!$C$58*$C$56)</f>
        <v>-1.1742312579415506</v>
      </c>
      <c r="E55" s="6">
        <f>-MIN(E54,Inputs!$C$58*$C$56)</f>
        <v>-1.1742312579415506</v>
      </c>
      <c r="F55" s="6">
        <f>-MIN(F54,Inputs!$C$58*$C$56)</f>
        <v>-1.1742312579415506</v>
      </c>
      <c r="G55" s="6"/>
      <c r="H55" s="6"/>
      <c r="I55" s="6"/>
      <c r="J55" s="17"/>
    </row>
    <row r="56">
      <c r="B56" t="s" s="14">
        <v>596</v>
      </c>
      <c r="C56" s="44">
        <f>Funding!$E$17</f>
        <v>117.42312579415506</v>
      </c>
      <c r="D56" s="15">
        <f>D54+D55</f>
        <v>116.2488945362135</v>
      </c>
      <c r="E56" s="15">
        <f>E54+E55</f>
        <v>115.07466327827194</v>
      </c>
      <c r="F56" s="15">
        <f>F54+F55</f>
        <v>113.90043202033038</v>
      </c>
      <c r="G56" s="15"/>
      <c r="H56" s="15"/>
      <c r="I56" s="15"/>
      <c r="J56" s="17"/>
    </row>
    <row r="57">
      <c r="B57" t="s" s="40">
        <v>597</v>
      </c>
      <c r="C57" s="6"/>
      <c r="D57" s="6">
        <f>-(MAX(Inputs!$C$21,Inputs!$C$20)+Inputs!$C$55)*AVERAGE(D54,D56)</f>
        <v>-8.1785207115629</v>
      </c>
      <c r="E57" s="6">
        <f>-(MAX(Inputs!$C$21,Inputs!$C$20)+Inputs!$C$55)*AVERAGE(E54,E56)</f>
        <v>-8.096324523506992</v>
      </c>
      <c r="F57" s="6">
        <f>-(MAX(Inputs!$C$21,Inputs!$C$20)+Inputs!$C$55)*AVERAGE(F54,F56)</f>
        <v>-8.014128335451081</v>
      </c>
      <c r="G57" s="6"/>
      <c r="H57" s="6"/>
      <c r="I57" s="6"/>
      <c r="J57" t="s" s="17">
        <v>635</v>
      </c>
    </row>
    <row r="58">
      <c r="B58" t="s" s="40">
        <v>598</v>
      </c>
      <c r="C58" s="6"/>
      <c r="D58" s="6">
        <f>Inputs!$C$61*C61</f>
        <v>0</v>
      </c>
      <c r="E58" s="6">
        <f>Inputs!$C$61*D61</f>
        <v>0.27768856632067773</v>
      </c>
      <c r="F58" s="6">
        <f>Inputs!$C$61*E61</f>
        <v>1.1316899827916829</v>
      </c>
      <c r="G58" s="6"/>
      <c r="H58" s="6"/>
      <c r="I58" s="6"/>
      <c r="J58" s="17"/>
    </row>
    <row r="59">
      <c r="B59" t="s" s="40">
        <v>599</v>
      </c>
      <c r="C59" s="6"/>
      <c r="D59" s="6">
        <f>-(D57+D58)</f>
        <v>8.1785207115629</v>
      </c>
      <c r="E59" s="6">
        <f>-(E57+E58)</f>
        <v>7.818635957186314</v>
      </c>
      <c r="F59" s="6">
        <f>-(F57+F58)</f>
        <v>6.882438352659399</v>
      </c>
      <c r="G59" s="6"/>
      <c r="H59" s="6"/>
      <c r="I59" s="6"/>
      <c r="J59" s="17"/>
    </row>
    <row r="60">
      <c r="B60" t="s" s="14">
        <v>444</v>
      </c>
      <c r="C60" s="15"/>
      <c r="D60" s="15">
        <f>D17+D57+D58</f>
        <v>5.288135944173813</v>
      </c>
      <c r="E60" s="15">
        <f>E17+E57+E58</f>
        <v>13.826104094549033</v>
      </c>
      <c r="F60" s="15">
        <f>F17+F57+F58</f>
        <v>17.67675932660039</v>
      </c>
      <c r="G60" s="15"/>
      <c r="H60" s="15"/>
      <c r="I60" s="15"/>
      <c r="J60" s="17"/>
    </row>
    <row r="61">
      <c r="B61" t="s" s="40">
        <v>600</v>
      </c>
      <c r="C61" s="28">
        <v>0</v>
      </c>
      <c r="D61" s="6">
        <f>C61+D60+D55</f>
        <v>4.113904686232263</v>
      </c>
      <c r="E61" s="6">
        <f>D61+E60+E55</f>
        <v>16.765777522839745</v>
      </c>
      <c r="F61" s="6">
        <f>E61+F60+F55</f>
        <v>33.26830559149858</v>
      </c>
      <c r="G61" s="6"/>
      <c r="H61" s="6"/>
      <c r="I61" s="6"/>
      <c r="J61" s="17"/>
    </row>
    <row r="62">
      <c r="B62" t="s" s="14">
        <v>601</v>
      </c>
      <c r="C62" s="15">
        <f>C56</f>
        <v>117.42312579415506</v>
      </c>
      <c r="D62" s="15">
        <f>D56-D61</f>
        <v>112.13498984998124</v>
      </c>
      <c r="E62" s="15">
        <f>E56-E61</f>
        <v>98.3088857554322</v>
      </c>
      <c r="F62" s="15">
        <f>F56-F61</f>
        <v>80.63212642883181</v>
      </c>
      <c r="G62" s="15"/>
      <c r="H62" s="15"/>
      <c r="I62" s="15"/>
      <c r="J62" s="17"/>
    </row>
    <row r="63">
      <c r="B63" t="s" s="40">
        <v>602</v>
      </c>
      <c r="C63" s="6">
        <f>Inputs!$C$11*Inputs!$C$83-C62</f>
        <v>154.376874205845</v>
      </c>
      <c r="D63" s="6">
        <f>Inputs!$C$11*D12-D62</f>
        <v>231.54672868745683</v>
      </c>
      <c r="E63" s="6">
        <f>Inputs!$C$11*E12-E62</f>
        <v>334.6570680871965</v>
      </c>
      <c r="F63" s="6">
        <f>Inputs!$C$11*F12-F62</f>
        <v>393.83343179784436</v>
      </c>
      <c r="G63" s="6"/>
      <c r="H63" s="6"/>
      <c r="I63" s="6"/>
      <c r="J63" t="s" s="17">
        <v>478</v>
      </c>
    </row>
    <row r="64">
      <c r="B64" t="s" s="14">
        <v>603</v>
      </c>
      <c r="C64" s="15">
        <f>-Funding!$E$18</f>
        <v>-117.42312579415508</v>
      </c>
      <c r="D64" s="15">
        <f>D63*(D8=Inputs!$C$10)</f>
        <v>0</v>
      </c>
      <c r="E64" s="15">
        <f>E63*(E8=Inputs!$C$10)</f>
        <v>0</v>
      </c>
      <c r="F64" s="15">
        <f>F63*(F8=Inputs!$C$10)</f>
        <v>393.83343179784436</v>
      </c>
      <c r="G64" s="15"/>
      <c r="H64" s="15"/>
      <c r="I64" s="15"/>
      <c r="J64" t="s" s="17">
        <v>636</v>
      </c>
    </row>
    <row r="65">
      <c r="B65" t="s" s="14">
        <v>604</v>
      </c>
      <c r="C65" s="68">
        <f>IF(-C64&lt;=0.0001,"n.m.",XIRR(C64:F64,C8:F8))</f>
        <v>0.4963268578052521</v>
      </c>
      <c r="D65" s="68"/>
      <c r="E65" s="68"/>
      <c r="F65" s="68"/>
      <c r="G65" s="68"/>
      <c r="H65" s="68"/>
      <c r="I65" s="68"/>
      <c r="J65" t="s" s="17">
        <v>637</v>
      </c>
    </row>
    <row r="66">
      <c r="B66" t="s" s="14">
        <v>605</v>
      </c>
      <c r="C66" s="96">
        <f>IF(-C64&lt;=0.0001,"n.m.",SUMIF(C64:F64,"&gt;0")/-SUMIF(C64:F64,"&lt;0"))</f>
        <v>3.3539682165184534</v>
      </c>
      <c r="D66" s="96"/>
      <c r="E66" s="96"/>
      <c r="F66" s="96"/>
      <c r="G66" s="60"/>
      <c r="H66" s="60"/>
      <c r="I66" s="60"/>
      <c r="J66" s="17"/>
    </row>
    <row r="67">
      <c r="B67" t="s" s="3">
        <v>606</v>
      </c>
      <c r="C67" s="39"/>
      <c r="D67" s="39">
        <f>IF(-$C$64&lt;=0.0001,"n.m.",(D63/-$C$64)^(365/(D8-$C$8))-1)</f>
        <v>0.9682457202565482</v>
      </c>
      <c r="E67" s="39">
        <f>IF(-$C$64&lt;=0.0001,"n.m.",(E63/-$C$64)^(365/(E8-$C$8))-1)</f>
        <v>0.6869882977078665</v>
      </c>
      <c r="F67" s="39">
        <f>IF(-$C$64&lt;=0.0001,"n.m.",(F63/-$C$64)^(365/(F8-$C$8))-1)</f>
        <v>0.4963268629593456</v>
      </c>
      <c r="G67" s="39"/>
      <c r="H67" s="39"/>
      <c r="I67" s="39"/>
      <c r="J67" s="17"/>
    </row>
    <row r="68">
      <c r="B68" t="s" s="3">
        <v>607</v>
      </c>
      <c r="C68" s="94"/>
      <c r="D68" s="94">
        <f>IF(-$C$64&lt;=0.0001,"n.m.",D63/-$C$64)</f>
        <v>1.9719005700236811</v>
      </c>
      <c r="E68" s="94">
        <f>IF(-$C$64&lt;=0.0001,"n.m.",E63/-$C$64)</f>
        <v>2.850009875174474</v>
      </c>
      <c r="F68" s="94">
        <f>IF(-$C$64&lt;=0.0001,"n.m.",F63/-$C$64)</f>
        <v>3.3539682165184534</v>
      </c>
      <c r="G68" s="62"/>
      <c r="H68" s="62"/>
      <c r="I68" s="62"/>
      <c r="J68" s="17"/>
    </row>
    <row r="69">
      <c r="J69" s="17"/>
    </row>
    <row r="70">
      <c r="B70" t="s" s="16">
        <v>610</v>
      </c>
      <c r="C70" s="16"/>
      <c r="D70" s="16"/>
      <c r="E70" s="16"/>
      <c r="F70" s="16"/>
      <c r="G70" s="16"/>
      <c r="H70" s="16"/>
      <c r="I70" s="16"/>
      <c r="J70" s="37"/>
    </row>
    <row r="71">
      <c r="B71" t="s" s="41">
        <v>211</v>
      </c>
      <c r="C71" t="s" s="42">
        <v>581</v>
      </c>
      <c r="D71" t="s" s="42">
        <v>582</v>
      </c>
      <c r="E71" t="s" s="42">
        <v>583</v>
      </c>
      <c r="F71" s="42"/>
      <c r="G71" s="42"/>
      <c r="H71" s="42"/>
      <c r="I71" s="42"/>
      <c r="J71" s="50"/>
    </row>
    <row r="72">
      <c r="B72" t="s" s="40">
        <v>611</v>
      </c>
      <c r="C72" s="43">
        <f>Funding!C18</f>
        <v>0</v>
      </c>
      <c r="D72" s="43">
        <f>Funding!D18</f>
        <v>158.0044797152118</v>
      </c>
      <c r="E72" s="43">
        <f>Funding!E18</f>
        <v>117.42312579415508</v>
      </c>
      <c r="F72" s="6"/>
      <c r="G72" s="6"/>
      <c r="H72" s="6"/>
      <c r="I72" s="6"/>
      <c r="J72" s="17"/>
    </row>
    <row r="73">
      <c r="B73" t="s" s="40">
        <v>612</v>
      </c>
      <c r="C73" s="6">
        <f>-(Funding!C13+Funding!C15)</f>
        <v>-12.290697674418611</v>
      </c>
      <c r="D73" s="6">
        <f>-(Funding!D13+Funding!D15)</f>
        <v>-6.983053652977387</v>
      </c>
      <c r="E73" s="6">
        <f>-(Funding!E13+Funding!E15)</f>
        <v>-8.346251588310043</v>
      </c>
      <c r="F73" s="6"/>
      <c r="G73" s="6"/>
      <c r="H73" s="6"/>
      <c r="I73" s="6"/>
      <c r="J73" s="17"/>
    </row>
    <row r="74">
      <c r="B74" t="s" s="40">
        <v>613</v>
      </c>
      <c r="C74" s="6">
        <f>(Inputs!$C$11-Inputs!$C$104)*Inputs!$C$83</f>
        <v>45.30000000000001</v>
      </c>
      <c r="D74" s="6">
        <f>(Inputs!$C$11-Inputs!$C$104)*Inputs!$C$83</f>
        <v>45.30000000000001</v>
      </c>
      <c r="E74" s="6">
        <f>(Inputs!$C$11-Inputs!$C$104)*Inputs!$C$83</f>
        <v>45.30000000000001</v>
      </c>
      <c r="F74" s="6"/>
      <c r="G74" s="6"/>
      <c r="H74" s="6"/>
      <c r="I74" s="6"/>
      <c r="J74" s="17"/>
    </row>
    <row r="75">
      <c r="B75" t="s" s="40">
        <v>614</v>
      </c>
      <c r="C75" s="6">
        <f>Inputs!$C$11*(Synergies!$F$84-Inputs!$C$83)</f>
        <v>63.950843376562496</v>
      </c>
      <c r="D75" s="6">
        <f>Inputs!$C$11*(Synergies!$F$84-Inputs!$C$83)</f>
        <v>63.950843376562496</v>
      </c>
      <c r="E75" s="6">
        <f>Inputs!$C$11*(Synergies!$F$84-Inputs!$C$83)</f>
        <v>63.950843376562496</v>
      </c>
      <c r="F75" s="6"/>
      <c r="G75" s="6"/>
      <c r="H75" s="6"/>
      <c r="I75" s="6"/>
      <c r="J75" s="17"/>
    </row>
    <row r="76">
      <c r="B76" t="s" s="40">
        <v>615</v>
      </c>
      <c r="C76" s="6">
        <f>Inputs!$C$11*Synergies!$F$184</f>
        <v>138.71471485011352</v>
      </c>
      <c r="D76" s="6">
        <f>Inputs!$C$11*Synergies!$F$184</f>
        <v>138.71471485011352</v>
      </c>
      <c r="E76" s="6">
        <f>Inputs!$C$11*Synergies!$F$184</f>
        <v>138.71471485011352</v>
      </c>
      <c r="F76" s="6"/>
      <c r="G76" s="6"/>
      <c r="H76" s="6"/>
      <c r="I76" s="6"/>
      <c r="J76" s="17"/>
    </row>
    <row r="77">
      <c r="B77" t="s" s="40">
        <v>616</v>
      </c>
      <c r="C77" s="6">
        <f>($C$22-$F$28)-SUM($D$13:$F$13)-SUM($D$15:$F$15)</f>
        <v>14.125950267789833</v>
      </c>
      <c r="D77" s="6">
        <f>($C$39-$F$45)-SUM($D$13:$F$13)-SUM($D$15:$F$15)</f>
        <v>50.5926950599336</v>
      </c>
      <c r="E77" s="6">
        <f>($C$56-$F$62)-SUM($D$13:$F$13)-SUM($D$15:$F$15)</f>
        <v>41.22669556785489</v>
      </c>
      <c r="F77" s="6"/>
      <c r="G77" s="6"/>
      <c r="H77" s="6"/>
      <c r="I77" s="6"/>
      <c r="J77" s="17"/>
    </row>
    <row r="78">
      <c r="B78" t="s" s="40">
        <v>617</v>
      </c>
      <c r="C78" s="6">
        <f>SUM($D$13:$F$13)+SUM($D$15:$F$15)</f>
        <v>-4.435696202531645</v>
      </c>
      <c r="D78" s="6">
        <f>SUM($D$13:$F$13)+SUM($D$15:$F$15)</f>
        <v>-4.435696202531645</v>
      </c>
      <c r="E78" s="6">
        <f>SUM($D$13:$F$13)+SUM($D$15:$F$15)</f>
        <v>-4.435696202531645</v>
      </c>
      <c r="F78" s="6"/>
      <c r="G78" s="6"/>
      <c r="H78" s="6"/>
      <c r="I78" s="6"/>
      <c r="J78" s="17"/>
    </row>
    <row r="79">
      <c r="B79" t="s" s="14">
        <v>618</v>
      </c>
      <c r="C79" s="15">
        <f>SUM(C72:C78)</f>
        <v>245.36511461751564</v>
      </c>
      <c r="D79" s="15">
        <f>SUM(D72:D78)</f>
        <v>445.1439831463124</v>
      </c>
      <c r="E79" s="15">
        <f>SUM(E72:E78)</f>
        <v>393.83343179784436</v>
      </c>
      <c r="F79" s="15"/>
      <c r="G79" s="15"/>
      <c r="H79" s="15"/>
      <c r="I79" s="15"/>
      <c r="J79" s="17"/>
    </row>
    <row r="80">
      <c r="B80" t="s" s="40">
        <v>619</v>
      </c>
      <c r="C80" s="6">
        <f>$F$29</f>
        <v>245.36511461751564</v>
      </c>
      <c r="D80" s="6">
        <f>$F$46</f>
        <v>445.14398314631245</v>
      </c>
      <c r="E80" s="6">
        <f>$F$63</f>
        <v>393.83343179784436</v>
      </c>
      <c r="F80" s="6"/>
      <c r="G80" s="6"/>
      <c r="H80" s="6"/>
      <c r="I80" s="6"/>
      <c r="J80" s="17"/>
    </row>
    <row r="81">
      <c r="B81" t="s" s="3">
        <v>185</v>
      </c>
      <c r="C81" s="69">
        <f>C79-C80</f>
        <v>0</v>
      </c>
      <c r="D81" s="69">
        <f>D79-D80</f>
        <v>0</v>
      </c>
      <c r="E81" s="69">
        <f>E79-E80</f>
        <v>0</v>
      </c>
      <c r="F81" s="69"/>
      <c r="G81" s="69"/>
      <c r="H81" s="69"/>
      <c r="I81" s="69"/>
      <c r="J81" s="17"/>
    </row>
    <row r="82">
      <c r="J82" s="17"/>
    </row>
    <row r="83">
      <c r="B83" t="s" s="16">
        <v>620</v>
      </c>
      <c r="C83" s="16"/>
      <c r="D83" s="16"/>
      <c r="E83" s="16"/>
      <c r="F83" s="16"/>
      <c r="G83" s="16"/>
      <c r="H83" s="16"/>
      <c r="I83" s="16"/>
      <c r="J83" s="37"/>
    </row>
    <row r="84">
      <c r="B84" t="s" s="41">
        <v>211</v>
      </c>
      <c r="C84" t="s" s="42">
        <v>633</v>
      </c>
      <c r="D84" t="s" s="42">
        <v>581</v>
      </c>
      <c r="E84" t="s" s="42">
        <v>582</v>
      </c>
      <c r="F84" t="s" s="42">
        <v>583</v>
      </c>
      <c r="G84" s="42"/>
      <c r="H84" s="42"/>
      <c r="I84" s="42"/>
      <c r="J84" s="50"/>
    </row>
    <row r="85">
      <c r="B85" t="s" s="40">
        <v>621</v>
      </c>
      <c r="C85" s="43">
        <f>Platform!$G$69</f>
        <v>7904.029483259216</v>
      </c>
      <c r="D85" s="43">
        <f>Platform!$G$69</f>
        <v>7904.029483259216</v>
      </c>
      <c r="E85" s="43">
        <f>Platform!$G$69</f>
        <v>7904.029483259216</v>
      </c>
      <c r="F85" s="43">
        <f>Platform!$G$69</f>
        <v>7904.029483259216</v>
      </c>
      <c r="G85" s="6"/>
      <c r="H85" s="6"/>
      <c r="I85" s="6"/>
      <c r="J85" s="17"/>
    </row>
    <row r="86">
      <c r="B86" t="s" s="40">
        <v>622</v>
      </c>
      <c r="C86" s="28">
        <v>0</v>
      </c>
      <c r="D86" s="6">
        <f>$F$29</f>
        <v>245.36511461751564</v>
      </c>
      <c r="E86" s="6">
        <f>$F$46</f>
        <v>445.14398314631245</v>
      </c>
      <c r="F86" s="6">
        <f>$F$63</f>
        <v>393.83343179784436</v>
      </c>
      <c r="G86" s="6"/>
      <c r="H86" s="6"/>
      <c r="I86" s="6"/>
      <c r="J86" s="17"/>
    </row>
    <row r="87">
      <c r="B87" t="s" s="14">
        <v>623</v>
      </c>
      <c r="C87" s="15">
        <f>C85+C86</f>
        <v>7904.029483259216</v>
      </c>
      <c r="D87" s="15">
        <f>D85+D86</f>
        <v>8149.3945978767315</v>
      </c>
      <c r="E87" s="15">
        <f>E85+E86</f>
        <v>8349.17346640553</v>
      </c>
      <c r="F87" s="15">
        <f>F85+F86</f>
        <v>8297.862915057061</v>
      </c>
      <c r="G87" s="15"/>
      <c r="H87" s="15"/>
      <c r="I87" s="15"/>
      <c r="J87" s="17"/>
    </row>
    <row r="88">
      <c r="B88" t="s" s="40">
        <v>624</v>
      </c>
      <c r="C88" s="43">
        <f>Platform!$C$16</f>
        <v>3653.9299999999994</v>
      </c>
      <c r="D88" s="6">
        <f>Platform!$C$16+Funding!$C$18</f>
        <v>3653.9299999999994</v>
      </c>
      <c r="E88" s="6">
        <f>Platform!$C$16+Funding!$D$18</f>
        <v>3811.934479715211</v>
      </c>
      <c r="F88" s="6">
        <f>Platform!$C$16+Funding!$E$18</f>
        <v>3771.3531257941545</v>
      </c>
      <c r="G88" s="6"/>
      <c r="H88" s="6"/>
      <c r="I88" s="6"/>
      <c r="J88" t="s" s="17">
        <v>638</v>
      </c>
    </row>
    <row r="89">
      <c r="B89" t="s" s="14">
        <v>625</v>
      </c>
      <c r="C89" s="96">
        <f>C87/C88</f>
        <v>2.1631584303090694</v>
      </c>
      <c r="D89" s="96">
        <f>D87/D88</f>
        <v>2.2303094470547418</v>
      </c>
      <c r="E89" s="96">
        <f>E87/E88</f>
        <v>2.190272028765115</v>
      </c>
      <c r="F89" s="96">
        <f>F87/F88</f>
        <v>2.200234939100203</v>
      </c>
      <c r="G89" s="60"/>
      <c r="H89" s="60"/>
      <c r="I89" s="60"/>
      <c r="J89" s="17"/>
    </row>
    <row r="90">
      <c r="B90" t="s" s="40">
        <v>626</v>
      </c>
      <c r="C90" s="6">
        <f>C87-$C$87</f>
        <v>0</v>
      </c>
      <c r="D90" s="6">
        <f>D87-$C$87</f>
        <v>245.36511461751525</v>
      </c>
      <c r="E90" s="6">
        <f>E87-$C$87</f>
        <v>445.1439831463131</v>
      </c>
      <c r="F90" s="6">
        <f>F87-$C$87</f>
        <v>393.83343179784515</v>
      </c>
      <c r="G90" s="6"/>
      <c r="H90" s="6"/>
      <c r="I90" s="6"/>
      <c r="J90" s="17"/>
    </row>
    <row r="91">
      <c r="B91" t="s" s="3">
        <v>627</v>
      </c>
      <c r="C91" s="70">
        <f>C89-$C$89</f>
        <v>0</v>
      </c>
      <c r="D91" s="70">
        <f>D89-$C$89</f>
        <v>0.06715101674567237</v>
      </c>
      <c r="E91" s="70">
        <f>E89-$C$89</f>
        <v>0.02711359845604555</v>
      </c>
      <c r="F91" s="70">
        <f>F89-$C$89</f>
        <v>0.037076508791133556</v>
      </c>
      <c r="G91" s="70"/>
      <c r="H91" s="70"/>
      <c r="I91" s="70"/>
      <c r="J91" s="17"/>
    </row>
    <row r="92">
      <c r="B92" t="s" s="40">
        <v>572</v>
      </c>
      <c r="C92" s="43">
        <f>Accretion!$C$18</f>
        <v>365.3929999999999</v>
      </c>
      <c r="D92" s="43">
        <f>Accretion!$D$18</f>
        <v>365.3929999999999</v>
      </c>
      <c r="E92" s="43">
        <f>Accretion!$E$18</f>
        <v>379.4454415608429</v>
      </c>
      <c r="F92" s="43">
        <f>Accretion!$F$18</f>
        <v>375.8362584195586</v>
      </c>
      <c r="G92" s="6"/>
      <c r="H92" s="6"/>
      <c r="I92" s="6"/>
      <c r="J92" s="17"/>
    </row>
    <row r="93">
      <c r="B93" t="s" s="14">
        <v>628</v>
      </c>
      <c r="C93" s="66">
        <f>C87/C92</f>
        <v>21.631584303090694</v>
      </c>
      <c r="D93" s="66">
        <f>D87/D92</f>
        <v>22.30309447054742</v>
      </c>
      <c r="E93" s="66">
        <f>E87/E92</f>
        <v>22.003620420530908</v>
      </c>
      <c r="F93" s="66">
        <f>F87/F92</f>
        <v>22.07839911441934</v>
      </c>
      <c r="G93" s="66"/>
      <c r="H93" s="66"/>
      <c r="I93" s="66"/>
      <c r="J93" s="17"/>
    </row>
    <row r="94">
      <c r="J94" s="17"/>
    </row>
    <row r="95">
      <c r="B95" t="s" s="16">
        <v>629</v>
      </c>
      <c r="C95" s="16"/>
      <c r="D95" s="16"/>
      <c r="E95" s="16"/>
      <c r="F95" s="16"/>
      <c r="G95" s="16"/>
      <c r="H95" s="16"/>
      <c r="I95" s="16"/>
      <c r="J95" s="37"/>
    </row>
    <row r="96">
      <c r="B96" t="s" s="40">
        <v>630</v>
      </c>
      <c r="C96" s="5"/>
      <c r="D96" s="5"/>
      <c r="E96" s="5"/>
      <c r="F96" s="5"/>
      <c r="G96" s="5"/>
      <c r="H96" s="5"/>
      <c r="I96" s="5"/>
      <c r="J96" t="s" s="17">
        <v>639</v>
      </c>
    </row>
    <row r="97">
      <c r="B97" t="s" s="40">
        <v>631</v>
      </c>
      <c r="C97" s="9"/>
      <c r="D97" s="9"/>
      <c r="E97" s="9"/>
      <c r="F97" s="9"/>
      <c r="G97" s="9"/>
      <c r="H97" s="9"/>
      <c r="I97" s="9"/>
      <c r="J97" s="17"/>
    </row>
    <row r="98">
      <c r="B98" t="s" s="90">
        <v>632</v>
      </c>
      <c r="C98" s="87">
        <f>C65</f>
        <v>0.4963268578052521</v>
      </c>
      <c r="D98" s="88">
        <v>0</v>
      </c>
      <c r="E98" s="88">
        <v>0.25</v>
      </c>
      <c r="F98" s="88">
        <v>0.5</v>
      </c>
      <c r="G98" s="88">
        <v>0.75</v>
      </c>
      <c r="H98" s="88">
        <v>1</v>
      </c>
      <c r="I98" s="88">
        <v>1.25</v>
      </c>
      <c r="J98" t="s" s="17">
        <v>688</v>
      </c>
    </row>
    <row r="99">
      <c r="B99" t="s" s="40">
        <v>687</v>
      </c>
      <c r="C99" s="89">
        <v>13</v>
      </c>
      <c r="D99" s="9">
        <f t="dataTable" ref="D99:I103" dt2D="1" dtr="1" r1="D97" r2="D96"/>
        <v>0.3591050565242768</v>
      </c>
      <c r="E99" s="9">
        <v>0.425416749715805</v>
      </c>
      <c r="F99" s="9">
        <v>0.48606651425361636</v>
      </c>
      <c r="G99" s="9">
        <v>0.5421270072460176</v>
      </c>
      <c r="H99" s="9">
        <v>0.5943786203861238</v>
      </c>
      <c r="I99" s="9">
        <v>0.6434089004993441</v>
      </c>
      <c r="J99" s="17"/>
    </row>
    <row r="100">
      <c r="C100" s="89">
        <v>14</v>
      </c>
      <c r="D100" s="9">
        <v>0.30922386050224315</v>
      </c>
      <c r="E100" s="9">
        <v>0.3754691183567047</v>
      </c>
      <c r="F100" s="9">
        <v>0.43587545752525325</v>
      </c>
      <c r="G100" s="9">
        <v>0.49158070683479305</v>
      </c>
      <c r="H100" s="9">
        <v>0.5434047162532808</v>
      </c>
      <c r="I100" s="9">
        <v>0.5919600546360017</v>
      </c>
      <c r="J100" s="17"/>
    </row>
    <row r="101">
      <c r="C101" s="89">
        <v>15</v>
      </c>
      <c r="D101" s="9">
        <v>0.2626863539218903</v>
      </c>
      <c r="E101" s="9">
        <v>0.3290360629558564</v>
      </c>
      <c r="F101" s="9">
        <v>0.3893424332141876</v>
      </c>
      <c r="G101" s="9">
        <v>0.44481782317161556</v>
      </c>
      <c r="H101" s="91">
        <v>0.4963268578052521</v>
      </c>
      <c r="I101" s="9">
        <v>0.5445103585720065</v>
      </c>
      <c r="J101" s="17"/>
    </row>
    <row r="102">
      <c r="C102" s="89">
        <v>16</v>
      </c>
      <c r="D102" s="9">
        <v>0.21894490122795104</v>
      </c>
      <c r="E102" s="9">
        <v>0.2855605900287629</v>
      </c>
      <c r="F102" s="9">
        <v>0.34589909911155703</v>
      </c>
      <c r="G102" s="9">
        <v>0.4012579739093781</v>
      </c>
      <c r="H102" s="9">
        <v>0.45255246758461</v>
      </c>
      <c r="I102" s="9">
        <v>0.5004551589488984</v>
      </c>
      <c r="J102" s="17"/>
    </row>
    <row r="103">
      <c r="C103" s="89">
        <v>17</v>
      </c>
      <c r="D103" s="9">
        <v>0.177554589509964</v>
      </c>
      <c r="E103" s="9">
        <v>0.24459269642829892</v>
      </c>
      <c r="F103" s="9">
        <v>0.30508772730827327</v>
      </c>
      <c r="G103" s="9">
        <v>0.36043458580970766</v>
      </c>
      <c r="H103" s="9">
        <v>0.4116057097911835</v>
      </c>
      <c r="I103" s="9">
        <v>0.45930929780006413</v>
      </c>
      <c r="J103" s="17"/>
    </row>
  </sheetData>
  <pageMargins left="0.7" right="0.7" top="0.75" bottom="0.75" header="0.3" footer="0.3"/>
</worksheet>
</file>

<file path=ccalc/calcState.xml><?xml version="1.0" encoding="utf-8"?>
<calcState xmlns="urn:twentyai:ccalc:calc-state" version="1" digest="66e38f5774d6a036af5bdc07a358a22535c011336ba6977741d85a67da039479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Add-on acquisition model (Project Lariat, illustrative)</dc:title>
  <dc:subject/>
  <dc:creator/>
  <cp:keywords/>
  <dc:description/>
  <cp:lastModifiedBy/>
  <cp:revision/>
  <dcterms:created xsi:type="dcterms:W3CDTF">2026-10-22T18:54:33Z</dcterms:created>
  <dcterms:modified xsi:type="dcterms:W3CDTF">2026-10-22T18:54:33Z</dcterms:modified>
  <cp:category/>
  <cp:contentStatus/>
</cp:coreProperties>
</file>