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ms-office.chartex+xml"/>
  <Override PartName="/xl/charts/colors1.xml" ContentType="application/vnd.ms-office.chartcolorstyle+xml"/>
  <Override PartName="/xl/charts/style1.xml" ContentType="application/vnd.ms-office.chart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ummary" sheetId="1" r:id="rId1"/>
    <sheet name="Seller Bridge" sheetId="2" r:id="rId2"/>
    <sheet name="Add-Back Tests" sheetId="3" r:id="rId3"/>
    <sheet name="Diligence EBITDA" sheetId="4" r:id="rId4"/>
    <sheet name="Waterfall Data" sheetId="7" r:id="rId5"/>
  </sheets>
  <calcPr/>
  <extLst>
    <ext xmlns:xccaches="urn:twentyai:ccalc:caches" uri="{3C5F2E7A-9B41-4D6E-A8C2-19409CCA1C01}">
      <xccaches:writer/>
    </ext>
  </extLst>
</workbook>
</file>

<file path=xl/comments2.xml><?xml version="1.0" encoding="utf-8"?>
<comments xmlns="http://schemas.openxmlformats.org/spreadsheetml/2006/main">
  <authors>
    <author>Compound</author>
  </authors>
  <commentList>
    <comment ref="C7" authorId="0">
      <text>
        <r>
          <t xml:space="preserve">2.01 Audited_Financial_Statements_FY23_vF p. 1</t>
        </r>
      </text>
    </comment>
    <comment ref="C8" authorId="0">
      <text>
        <r>
          <t xml:space="preserve">Cited for C8:C10
2.01 Audited_Financial_Statements_FY23_vF p. 1</t>
        </r>
      </text>
    </comment>
    <comment ref="D8" authorId="0">
      <text>
        <r>
          <t xml:space="preserve">Cited for D8:D10
2.02 Audited_Financial_Statements_FY24_vF p. 1</t>
        </r>
      </text>
    </comment>
    <comment ref="E15" authorId="0">
      <text>
        <r>
          <t xml:space="preserve">Cited for 7 cells in C15:E19
11.04 Project_Voltaic_Sell-Side_QoE_Report_DRAFT p. 6</t>
        </r>
      </text>
    </comment>
    <comment ref="E23" authorId="0">
      <text>
        <r>
          <t xml:space="preserve">Cited for C23:E23
2.03 Audited_Financial_Statements_FY25_vF p. 16</t>
        </r>
      </text>
    </comment>
    <comment ref="E27" authorId="0">
      <text>
        <r>
          <t xml:space="preserve">Cited for C27:E27
11.02 Project_Voltaic_CIM_vF p. 29</t>
        </r>
      </text>
    </comment>
    <comment ref="E30" authorId="0">
      <text>
        <r>
          <t xml:space="preserve">Cited for C30:E31
11.02 Project_Voltaic_CIM_vF p. 29</t>
        </r>
      </text>
    </comment>
    <comment ref="E35" authorId="0">
      <text>
        <r>
          <t xml:space="preserve">Cited for C35:E35
11.03 Management_Presentation_DRAFT_v3 p. 17</t>
        </r>
      </text>
    </comment>
    <comment ref="E38" authorId="0">
      <text>
        <r>
          <t xml:space="preserve">11.04 Project_Voltaic_Sell-Side_QoE_Report_DRAFT p. 6</t>
        </r>
      </text>
    </comment>
    <comment ref="E41" authorId="0">
      <text>
        <r>
          <t xml:space="preserve">Cited for C41:E41
11.04 Project_Voltaic_Sell-Side_QoE_Report_DRAFT p. 4</t>
        </r>
      </text>
    </comment>
    <comment ref="E47" authorId="0">
      <text>
        <r>
          <t xml:space="preserve">Cited for C47:E47
11.04 Project_Voltaic_Sell-Side_QoE_Report_DRAFT p. 6</t>
        </r>
      </text>
    </comment>
    <comment ref="E48" authorId="0">
      <text>
        <r>
          <t xml:space="preserve">2.05 Management_Accounts_FY25_Monthly_v3 (P&amp;L (Monthly) B6:N21)</t>
        </r>
      </text>
    </comment>
    <comment ref="E50" authorId="0">
      <text>
        <r>
          <t xml:space="preserve">2.03 Audited_Financial_Statements_FY25_vF p. 4</t>
        </r>
      </text>
    </comment>
    <comment ref="E56" authorId="0">
      <text>
        <r>
          <t xml:space="preserve">2.05 Management_Accounts_FY25_Monthly_v3 (P&amp;L (Monthly) B6:N21)</t>
        </r>
      </text>
    </comment>
    <comment ref="E59" authorId="0">
      <text>
        <r>
          <t xml:space="preserve">10.01 Board_Deck_2025.11_Q3_Review_and_FY26_Budget p. 2</t>
        </r>
      </text>
    </comment>
    <comment ref="E60" authorId="0">
      <text>
        <r>
          <t xml:space="preserve">2.05 Management_Accounts_FY25_Monthly_v3 (P&amp;L (Monthly) B6:N21)</t>
        </r>
      </text>
    </comment>
    <comment ref="E62" authorId="0">
      <text>
        <r>
          <t xml:space="preserve">10.01 Board_Deck_2025.11_Q3_Review_and_FY26_Budget p. 2</t>
        </r>
      </text>
    </comment>
    <comment ref="E63" authorId="0">
      <text>
        <r>
          <t xml:space="preserve">2.05 Management_Accounts_FY25_Monthly_v3 (P&amp;L (Monthly) B6:N21)</t>
        </r>
      </text>
    </comment>
    <comment ref="E7" authorId="0">
      <text>
        <r>
          <t xml:space="preserve">Cited for D7:E7
2.03 Audited_Financial_Statements_FY25_vF p. 4</t>
        </r>
      </text>
    </comment>
    <comment ref="E8" authorId="0">
      <text>
        <r>
          <t xml:space="preserve">Cited for E8:E10
2.03 Audited_Financial_Statements_FY25_vF p. 4</t>
        </r>
      </text>
    </comment>
    <comment ref="F11" authorId="0">
      <text>
        <r>
          <t xml:space="preserve">2.05 Management_Accounts_FY25_Monthly_v3 (P&amp;L (Monthly) B6:N21)</t>
        </r>
      </text>
    </comment>
    <comment ref="F48" authorId="0">
      <text>
        <r>
          <t xml:space="preserve">2.07 Q1_FY26_Flash_Report_2026.04 (Detail by Campus B90:E93)</t>
        </r>
      </text>
    </comment>
    <comment ref="F53" authorId="0">
      <text>
        <r>
          <t xml:space="preserve">Cited for E53:F53
2.05 Management_Accounts_FY25_Monthly_v3 (P&amp;L (Monthly) B6:N21)</t>
        </r>
      </text>
    </comment>
    <comment ref="F7" authorId="0">
      <text>
        <r>
          <t xml:space="preserve">2.07 Q1_FY26_Flash_Report_2026.04 (Q1 FY26 Flash B6:F17)</t>
        </r>
      </text>
    </comment>
    <comment ref="G15" authorId="0">
      <text>
        <r>
          <t xml:space="preserve">2.09 Q1_FY26_Consolidated Financial Statements (Revenue &amp; Cost Detail B81:B84)</t>
        </r>
      </text>
    </comment>
    <comment ref="G18" authorId="0">
      <text>
        <r>
          <t xml:space="preserve">12.01 Buyer_QA_Log_2026.07.08 (Log G115)</t>
        </r>
      </text>
    </comment>
    <comment ref="G23" authorId="0">
      <text>
        <r>
          <t xml:space="preserve">Cited for F23:G23
2.07 Q1_FY26_Flash_Report_2026.04 (Q1 FY26 Flash B6:F17)</t>
        </r>
      </text>
    </comment>
    <comment ref="G27" authorId="0">
      <text>
        <r>
          <t xml:space="preserve">11.02 Project_Voltaic_CIM_vF p. 29</t>
        </r>
      </text>
    </comment>
    <comment ref="G30" authorId="0">
      <text>
        <r>
          <t xml:space="preserve">Cited for G30:G31
11.02 Project_Voltaic_CIM_vF p. 29</t>
        </r>
      </text>
    </comment>
    <comment ref="G35" authorId="0">
      <text>
        <r>
          <t xml:space="preserve">11.03 Management_Presentation_DRAFT_v3 p. 17</t>
        </r>
      </text>
    </comment>
    <comment ref="G48" authorId="0">
      <text>
        <r>
          <t xml:space="preserve">2.07 Q1_FY26_Flash_Report_2026.04 (Q1 FY26 Flash B6:F17)</t>
        </r>
      </text>
    </comment>
    <comment ref="G50" authorId="0">
      <text>
        <r>
          <t xml:space="preserve">2.09 Q1_FY26_Consolidated Financial Statements (Q1 FY26 IS B6:B24)</t>
        </r>
      </text>
    </comment>
    <comment ref="G65" authorId="0">
      <text>
        <r>
          <t xml:space="preserve">2.09 Q1_FY26_Consolidated Financial Statements (Q1 FY26 IS B6:B24)</t>
        </r>
      </text>
    </comment>
    <comment ref="G7" authorId="0">
      <text>
        <r>
          <t xml:space="preserve">Cited for G7:G10
2.09 Q1_FY26_Consolidated Financial Statements (Q1 FY26 IS B6:B24)</t>
        </r>
      </text>
    </comment>
    <comment ref="H44" authorId="0">
      <text>
        <r>
          <t xml:space="preserve">11.04 Project_Voltaic_Sell-Side_QoE_Report_DRAFT p. 19</t>
        </r>
      </text>
    </comment>
    <comment ref="H47" authorId="0">
      <text>
        <r>
          <t xml:space="preserve">11.04 Project_Voltaic_Sell-Side_QoE_Report_DRAFT p. 6</t>
        </r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E18" authorId="0">
      <text>
        <r>
          <t xml:space="preserve">Cited for E18:E20
11.04 Project_Voltaic_Sell-Side_QoE_Report_DRAFT p. 6</t>
        </r>
      </text>
    </comment>
    <comment ref="E24" authorId="0">
      <text>
        <r>
          <t xml:space="preserve">Cited for E24:E31
11.04 Project_Voltaic_Sell-Side_QoE_Report_DRAFT p. 6</t>
        </r>
      </text>
    </comment>
    <comment ref="E37" authorId="0">
      <text>
        <r>
          <t xml:space="preserve">Cited for E37:E38
11.04 Project_Voltaic_Sell-Side_QoE_Report_DRAFT p. 6</t>
        </r>
      </text>
    </comment>
    <comment ref="E45" authorId="0">
      <text>
        <r>
          <t xml:space="preserve">Cited for E45:E56
2.05 Management_Accounts_FY25_Monthly_v3 (G&amp;A Detail B9:M9)</t>
        </r>
      </text>
    </comment>
    <comment ref="E58" authorId="0">
      <text>
        <r>
          <t xml:space="preserve">2.09 Q1_FY26_Consolidated Financial Statements (Revenue &amp; Cost Detail B69)</t>
        </r>
      </text>
    </comment>
    <comment ref="E66" authorId="0">
      <text>
        <r>
          <t xml:space="preserve">2.06 FY26_Budget_and_Long-Range_Plan_FY26-FY30_v3.2 (7. G&amp;A Build C9)</t>
        </r>
      </text>
    </comment>
    <comment ref="E8" authorId="0">
      <text>
        <r>
          <t xml:space="preserve">2.05 Management_Accounts_FY25_Monthly_v3 (Non-recurring F9:J9)</t>
        </r>
      </text>
    </comment>
    <comment ref="E80" authorId="0">
      <text>
        <r>
          <t xml:space="preserve">2.01 Audited_Financial_Statements_FY23_vF p. 2</t>
        </r>
      </text>
    </comment>
    <comment ref="E9" authorId="0">
      <text>
        <r>
          <t xml:space="preserve">2.05 Management_Accounts_FY25_Monthly_v3 (Non-recurring L9:M9)</t>
        </r>
      </text>
    </comment>
    <comment ref="F18" authorId="0">
      <text>
        <r>
          <t xml:space="preserve">Cited for F18:F19
2.05 Management_Accounts_FY25_Monthly_v3 (Other Income B6:N9)</t>
        </r>
      </text>
    </comment>
    <comment ref="F37" authorId="0">
      <text>
        <r>
          <t xml:space="preserve">2.03 Audited_Financial_Statements_FY25_vF p. 7</t>
        </r>
      </text>
    </comment>
    <comment ref="F45" authorId="0">
      <text>
        <r>
          <t xml:space="preserve">Cited for F45:F56
2.05 Management_Accounts_FY25_Monthly_v3 (Non-recurring B9:M9)</t>
        </r>
      </text>
    </comment>
    <comment ref="F58" authorId="0">
      <text>
        <r>
          <t xml:space="preserve">2.09 Q1_FY26_Consolidated Financial Statements (Revenue &amp; Cost Detail B84)</t>
        </r>
      </text>
    </comment>
    <comment ref="F86" authorId="0">
      <text>
        <r>
          <t xml:space="preserve">Cited for E86:F86
8.04 Attrition_and_Hiring_Analysis_FY24-FY25 (FY26 Hiring Plan B10:D10)</t>
        </r>
      </text>
    </comment>
    <comment ref="F87" authorId="0">
      <text>
        <r>
          <t xml:space="preserve">Cited for E87:F87
2.07 Q1_FY26_Flash_Report_2026.04 (Detail by Campus B92:F92)</t>
        </r>
      </text>
    </comment>
    <comment ref="F88" authorId="0">
      <text>
        <r>
          <t xml:space="preserve">Cited for E88:F88
2.07 Q1_FY26_Flash_Report_2026.04 (Detail by Campus B76:F76)</t>
        </r>
      </text>
    </comment>
    <comment ref="G80" authorId="0">
      <text>
        <r>
          <t xml:space="preserve">Cited for F80:G80
2.03 Audited_Financial_Statements_FY25_vF p. 7</t>
        </r>
      </text>
    </comment>
    <comment ref="J18" authorId="0">
      <text>
        <r>
          <t xml:space="preserve">Cited for J18:J20
2.07 Q1_FY26_Flash_Report_2026.04 (Q1 FY26 Flash B6:F17)</t>
        </r>
      </text>
    </comment>
    <comment ref="J24" authorId="0">
      <text>
        <r>
          <t xml:space="preserve">Cited for J24:J31
2.07 Q1_FY26_Flash_Report_2026.04 (Q1 FY26 Flash B6:F17)</t>
        </r>
      </text>
    </comment>
    <comment ref="J37" authorId="0">
      <text>
        <r>
          <t xml:space="preserve">Cited for J37:J38
2.07 Q1_FY26_Flash_Report_2026.04 (Q1 FY26 Flash B6:F17)</t>
        </r>
      </text>
    </comment>
    <comment ref="K18" authorId="0">
      <text>
        <r>
          <t xml:space="preserve">Cited for K18:K19
2.07 Q1_FY26_Flash_Report_2026.04 (Detail by Campus B90:E93)</t>
        </r>
      </text>
    </comment>
    <comment ref="K37" authorId="0">
      <text>
        <r>
          <t xml:space="preserve">2.09 Q1_FY26_Consolidated Financial Statements (Q1 FY26 CF B11)</t>
        </r>
      </text>
    </comment>
    <comment ref="L18" authorId="0">
      <text>
        <r>
          <t xml:space="preserve">Cited for L18:L20
2.07 Q1_FY26_Flash_Report_2026.04 (Q1 FY26 Flash B6:F17)</t>
        </r>
      </text>
    </comment>
    <comment ref="L24" authorId="0">
      <text>
        <r>
          <t xml:space="preserve">Cited for L24:L31
2.07 Q1_FY26_Flash_Report_2026.04 (Q1 FY26 Flash B6:F17)</t>
        </r>
      </text>
    </comment>
    <comment ref="L37" authorId="0">
      <text>
        <r>
          <t xml:space="preserve">Cited for L37:L38
2.07 Q1_FY26_Flash_Report_2026.04 (Q1 FY26 Flash B6:F17)</t>
        </r>
      </text>
    </comment>
    <comment ref="M18" authorId="0">
      <text>
        <r>
          <t xml:space="preserve">Cited for M18:M19
2.07 Q1_FY26_Flash_Report_2026.04 (Detail by Campus B90:E93)</t>
        </r>
      </text>
    </comment>
    <comment ref="P18" authorId="0">
      <text>
        <r>
          <t xml:space="preserve">Cited for P18:P20
11.04 Project_Voltaic_Sell-Side_QoE_Report_DRAFT p. 6</t>
        </r>
      </text>
    </comment>
    <comment ref="P24" authorId="0">
      <text>
        <r>
          <t xml:space="preserve">Cited for P24:P31
11.04 Project_Voltaic_Sell-Side_QoE_Report_DRAFT p. 6</t>
        </r>
      </text>
    </comment>
    <comment ref="P37" authorId="0">
      <text>
        <r>
          <t xml:space="preserve">Cited for P37:P38
11.04 Project_Voltaic_Sell-Side_QoE_Report_DRAFT p. 6</t>
        </r>
      </text>
    </comment>
    <comment ref="Q37" authorId="0">
      <text>
        <r>
          <t xml:space="preserve">2.01 Audited_Financial_Statements_FY23_vF p. 2</t>
        </r>
      </text>
    </comment>
    <comment ref="R18" authorId="0">
      <text>
        <r>
          <t xml:space="preserve">Cited for R18:R20
11.04 Project_Voltaic_Sell-Side_QoE_Report_DRAFT p. 6</t>
        </r>
      </text>
    </comment>
    <comment ref="R24" authorId="0">
      <text>
        <r>
          <t xml:space="preserve">Cited for R24:R31
11.04 Project_Voltaic_Sell-Side_QoE_Report_DRAFT p. 6</t>
        </r>
      </text>
    </comment>
    <comment ref="R37" authorId="0">
      <text>
        <r>
          <t xml:space="preserve">Cited for R37:R38
11.04 Project_Voltaic_Sell-Side_QoE_Report_DRAFT p. 6</t>
        </r>
      </text>
    </comment>
    <comment ref="S37" authorId="0">
      <text>
        <r>
          <t xml:space="preserve">2.03 Audited_Financial_Statements_FY25_vF p. 7</t>
        </r>
      </text>
    </comment>
  </commentList>
</comments>
</file>

<file path=xl/sharedStrings.xml><?xml version="1.0" encoding="utf-8"?>
<sst xmlns="http://schemas.openxmlformats.org/spreadsheetml/2006/main" count="539" uniqueCount="539">
  <si>
    <t>Step</t>
  </si>
  <si>
    <t/>
  </si>
  <si>
    <t/>
  </si>
  <si>
    <t/>
  </si>
  <si>
    <t/>
  </si>
  <si>
    <t>Seller Bridge: net income to management-adjusted EBITDA, as presented</t>
  </si>
  <si>
    <t>US$ millions. LTM Q1 FY26 = FY25 + Q1 FY26 less Q1 FY25. Blue = hard-coded input from the cited source; black = formula. Add-backs positive, deductions negative.</t>
  </si>
  <si>
    <t>US$ millions</t>
  </si>
  <si>
    <t>A. NET INCOME TO REPORTED EBITDA</t>
  </si>
  <si>
    <t>Total revenue</t>
  </si>
  <si>
    <t>Net income (loss)</t>
  </si>
  <si>
    <t>(+) Interest expense, net</t>
  </si>
  <si>
    <t>(+) Depreciation &amp; amortization</t>
  </si>
  <si>
    <t>Reported EBITDA ($M)</t>
  </si>
  <si>
    <t>Reported EBITDA margin</t>
  </si>
  <si>
    <t>B. MANAGEMENT ADD-BACKS, AS PRESENTED BY THE SELLER</t>
  </si>
  <si>
    <t>(+) Transaction &amp; process costs (non-recurring line)</t>
  </si>
  <si>
    <t>(+) Storm repair: DFW I hail, June 2025</t>
  </si>
  <si>
    <t>(+) Severance: two commercial roles</t>
  </si>
  <si>
    <t>(-) Insurance recoveries: DFW I storm</t>
  </si>
  <si>
    <t>(-) One-time property tax refund: PHX I appeal</t>
  </si>
  <si>
    <t>Unexplained residual needed to tie ("management adjustments")</t>
  </si>
  <si>
    <t>Total management adjustments</t>
  </si>
  <si>
    <t>Management-adjusted EBITDA, per bridge ($M)</t>
  </si>
  <si>
    <t>Management-adjusted EBITDA, as presented ($M)</t>
  </si>
  <si>
    <t>Management-adjusted EBITDA margin</t>
  </si>
  <si>
    <t>C. TIE-OUT CHECKS: SELLER DOCUMENTS VS AUDITED STATEMENTS AND EACH OTHER</t>
  </si>
  <si>
    <t>1. CIM (11.02) financial summary: Adjusted EBITDA</t>
  </si>
  <si>
    <t>Presented Adjusted EBITDA (row 23)</t>
  </si>
  <si>
    <t>Difference</t>
  </si>
  <si>
    <t>2. CIM (11.02) table: NOI</t>
  </si>
  <si>
    <t>CIM table: G&amp;A</t>
  </si>
  <si>
    <t>CIM NOI less G&amp;A (the table shows no other line)</t>
  </si>
  <si>
    <t>CIM Adjusted EBITDA (row 27)</t>
  </si>
  <si>
    <t>Difference: other income and adjustments omitted from the CIM table</t>
  </si>
  <si>
    <t>3. Management presentation (11.03): Adjusted EBITDA</t>
  </si>
  <si>
    <t>4. QoE (11.04) FY25 bridge: reported EBITDA</t>
  </si>
  <si>
    <t>Reported EBITDA from audited statements (row 11)</t>
  </si>
  <si>
    <t>5. QoE (11.04) dashboard: total adjustments</t>
  </si>
  <si>
    <t>Adjustments the bridge actually needs (row 21)</t>
  </si>
  <si>
    <t>Difference: residual not shown in the QoE dashboard</t>
  </si>
  <si>
    <t>6. QoE (11.04) databook: LTM Adjusted EBITDA</t>
  </si>
  <si>
    <t>LTM rebuilt: FY25 + Q1 FY26 less Q1 FY25 (row 23)</t>
  </si>
  <si>
    <t>7. QoE (11.04) multi-period bridge: other income, net</t>
  </si>
  <si>
    <t>Other income &amp; adjustments per management accounts</t>
  </si>
  <si>
    <t>Difference: QoE carries FY25 other income into LTM and plugs the rest</t>
  </si>
  <si>
    <t>8. Other income, net per audited / Q1 statements</t>
  </si>
  <si>
    <t>Other income &amp; adjustments per management accounts (row 48)</t>
  </si>
  <si>
    <t>Difference: amounts excluded inside the seller's other income line</t>
  </si>
  <si>
    <t>9. Management accounts (2.05): Adjusted EBITDA</t>
  </si>
  <si>
    <t>10. Management accounts (2.05): memo reported EBITDA</t>
  </si>
  <si>
    <t>11. Board deck (10.01): YTD Sep-25 revenue</t>
  </si>
  <si>
    <t>Jan-Sep 2025 revenue per management accounts v3</t>
  </si>
  <si>
    <t>Difference: Jan-Sep revenue re-phased after Board reporting</t>
  </si>
  <si>
    <t>12. Board deck (10.01): YTD Sep-25 Adjusted EBITDA</t>
  </si>
  <si>
    <t>Jan-Sep 2025 Adjusted EBITDA per management accounts v3</t>
  </si>
  <si>
    <t>13. Q1 FY26 statements (2.09): memo Adjusted EBITDA</t>
  </si>
  <si>
    <t>Q1 FY26 flash (2.07): Adjusted EBITDA (row 23)</t>
  </si>
  <si>
    <t>Notes: (1) Q1 FY25 net income, interest and D&amp;A are not in the data room, so Q1 FY25 reported EBITDA is the management-accounts memo line (no non-recurring costs in Q1 FY25). (2) Check 11 compares the same nine months: FY25 totals are unchanged, so revenue and EBITDA moved into Jan-Sep from Q4 after the Board was told YTD results.</t>
  </si>
  <si>
    <t>n/a</t>
  </si>
  <si>
    <t>Source</t>
  </si>
  <si>
    <t>2.01 p.1; 2.03 p.4; 2.07 Q1 FY26 Flash!E10; 2.09 Q1 FY26 IS!B10</t>
  </si>
  <si>
    <t>2.01 p.1; 2.02 p.1; 2.03 p.4; 2.09 Q1 FY26 IS!B22</t>
  </si>
  <si>
    <t>2.01 p.1; 2.02 p.1; 2.03 p.4; 2.09 Q1 FY26 IS!B21</t>
  </si>
  <si>
    <t>2.01 p.1; 2.02 p.1; 2.03 p.4; 2.09 Q1 FY26 IS!B20</t>
  </si>
  <si>
    <t>Q1 FY25: 2.05 P&amp;L (Monthly)!B21:D21 (Q1 FY25 net income, interest and D&amp;A are not in the data room)</t>
  </si>
  <si>
    <t>11.04 QoE p.6, p.13; 2.09 Revenue &amp; Cost Detail!B84</t>
  </si>
  <si>
    <t>11.04 QoE p.6</t>
  </si>
  <si>
    <t>11.04 QoE p.6-7; 12.01 Q&amp;A Log!G115 (Q1 FY26 $0.1M)</t>
  </si>
  <si>
    <t>Formula: presented Adjusted EBITDA less reported EBITDA less itemized add-backs</t>
  </si>
  <si>
    <t>2.03 Schedule I memo (FY23-FY25); 2.07 Q1 FY26 Flash!E17, B17</t>
  </si>
  <si>
    <t>11.02 CIM p.29</t>
  </si>
  <si>
    <t>11.03 Management Presentation p.17</t>
  </si>
  <si>
    <t>11.04 QoE p.4</t>
  </si>
  <si>
    <t>11.04 QoE p.6, p.19</t>
  </si>
  <si>
    <t>11.04 QoE p.6 (LTM column shows the FY25 figure)</t>
  </si>
  <si>
    <t>2.05 P&amp;L (Monthly)!N16; 2.07 Detail by Campus!E93, B93</t>
  </si>
  <si>
    <t>2.03 p.4; 2.09 Q1 FY26 IS!B19</t>
  </si>
  <si>
    <t>2.05 P&amp;L (Monthly)!N17; 2.05 P&amp;L (Monthly)!B17:D17 (Q1 FY25)</t>
  </si>
  <si>
    <t>2.05 P&amp;L (Monthly)!N21</t>
  </si>
  <si>
    <t>10.01 Board Deck Nov-25 p.2</t>
  </si>
  <si>
    <t>2.05 P&amp;L (Monthly)!B10:J10 (sum of nine months)</t>
  </si>
  <si>
    <t>2.05 P&amp;L (Monthly)!B17:J17 (sum of nine months)</t>
  </si>
  <si>
    <t>2.09 Q1 FY26 IS!B24</t>
  </si>
  <si>
    <t>Add-Back Tests: every seller adjustment, every other-income component left in, and every item a buyer should consider</t>
  </si>
  <si>
    <t>US$ millions. Sign shows the effect on EBITDA: add-backs positive, deductions negative. Seller = as presented; Diligence = our position. LTM = FY25 + Q1 FY26 less Q1 FY25. Zero diligence amounts on yellow are our judgment; FY23-FY24 other-income components are not disclosed and are shown as zero (unquantified, not economically zero).</t>
  </si>
  <si>
    <t>Ref</t>
  </si>
  <si>
    <t>A. SELLER ADD-BACKS AND DEDUCTIONS</t>
  </si>
  <si>
    <t>A1</t>
  </si>
  <si>
    <t>A2</t>
  </si>
  <si>
    <t>A3</t>
  </si>
  <si>
    <t>A4</t>
  </si>
  <si>
    <t>A5</t>
  </si>
  <si>
    <t>A6</t>
  </si>
  <si>
    <t>B. OTHER INCOME LEFT INSIDE ADJUSTED EBITDA BY THE SELLER</t>
  </si>
  <si>
    <t>B1</t>
  </si>
  <si>
    <t>B2</t>
  </si>
  <si>
    <t>B3</t>
  </si>
  <si>
    <t>C. ITEMS A BUYER SHOULD CONSIDER THAT THE SELLER DID NOT ADJUST</t>
  </si>
  <si>
    <t>C1</t>
  </si>
  <si>
    <t>C2</t>
  </si>
  <si>
    <t>C3</t>
  </si>
  <si>
    <t>C4</t>
  </si>
  <si>
    <t>C5</t>
  </si>
  <si>
    <t>C6</t>
  </si>
  <si>
    <t>C7</t>
  </si>
  <si>
    <t>C8</t>
  </si>
  <si>
    <t>D. NON-CASH REVENUE (CASH EBITDA ONLY)</t>
  </si>
  <si>
    <t>D1</t>
  </si>
  <si>
    <t>D2</t>
  </si>
  <si>
    <t>Item</t>
  </si>
  <si>
    <t>Transaction &amp; process costs</t>
  </si>
  <si>
    <t/>
  </si>
  <si>
    <t/>
  </si>
  <si>
    <t>Storm repair: DFW I hail, June 2025</t>
  </si>
  <si>
    <t>Severance: two commercial roles</t>
  </si>
  <si>
    <t>Insurance recoveries: DFW I storm</t>
  </si>
  <si>
    <t>One-time property tax refund: PHX I appeal</t>
  </si>
  <si>
    <t>Unexplained residual "management adjustments"</t>
  </si>
  <si>
    <t>Subtotal: seller adjustments</t>
  </si>
  <si>
    <t>Interest income on cash balances</t>
  </si>
  <si>
    <t>Realized VPPA settlements (Maumee Ridge)</t>
  </si>
  <si>
    <t>Development, management &amp; energy services fees</t>
  </si>
  <si>
    <t>Subtotal: other income</t>
  </si>
  <si>
    <t>Bonus funded at 108% of target ($9.4M paid Mar-26)</t>
  </si>
  <si>
    <t>Retention pool $6.5M for 22 employees (approved Apr-26)</t>
  </si>
  <si>
    <t>PHX II mechanic's lien accrual $1.2M (claim $4.6M)</t>
  </si>
  <si>
    <t>CMH I property tax abatement expiring 2036</t>
  </si>
  <si>
    <t>DFW I-A chiller replacement ~$18M (FY27 budget)</t>
  </si>
  <si>
    <t>ATL I 2 MW hyperscale non-renewal (Oct-25)</t>
  </si>
  <si>
    <t>FY25 monthly phasing vs Board YTD Sep-25 reporting</t>
  </si>
  <si>
    <t>Sponsor and related-party charges</t>
  </si>
  <si>
    <t>Subtotal: buyer items</t>
  </si>
  <si>
    <t>Total adjustments to reported EBITDA (A + B + C)</t>
  </si>
  <si>
    <t>Straight-line rent (GAAP rent above cash billed)</t>
  </si>
  <si>
    <t>Other non-cash revenue (deferred fees, incentives)</t>
  </si>
  <si>
    <t>Total non-cash adjustments</t>
  </si>
  <si>
    <t>Category</t>
  </si>
  <si>
    <t>Non-recurring</t>
  </si>
  <si>
    <t>Memo</t>
  </si>
  <si>
    <t>Out-of-period</t>
  </si>
  <si>
    <t>Non-operating</t>
  </si>
  <si>
    <t>Run-rate or pro forma</t>
  </si>
  <si>
    <t>Owner or related party</t>
  </si>
  <si>
    <t>Non-cash</t>
  </si>
  <si>
    <t>FY25</t>
  </si>
  <si>
    <t>Seller</t>
  </si>
  <si>
    <t>Diligence</t>
  </si>
  <si>
    <t>Verdict</t>
  </si>
  <si>
    <t>Adjust</t>
  </si>
  <si>
    <t>Accept</t>
  </si>
  <si>
    <t>Reject</t>
  </si>
  <si>
    <t>Evidence tested and reason</t>
  </si>
  <si>
    <t/>
  </si>
  <si>
    <t>The event and the $1.1M cost are confirmed by the Sep-25 Board minutes and Q-111 and are matched by the recovery in A4, but 2.05 shows no discrete charge in DFW I opex and 7.07 / Q-018 report no claim above $0.5M, so the claim file should be requested.</t>
  </si>
  <si>
    <t/>
  </si>
  <si>
    <t>Recoveries of $1.0M in Q4 FY25 and $0.1M in Q1 FY26 (Q-111) mirror the accepted repair cost, so each is deducted in the period received and the event nets to nil over LTM.</t>
  </si>
  <si>
    <t>The refund relates to the 2023 assessment year and Q-085 confirms it is one-time, so deducting it from FY25 is correct.</t>
  </si>
  <si>
    <t>The seller's bridge needs unsupported residual add-backs of $2.8M (FY23) and $2.2M (FY24), which we reject; in Q1 FY26 it excludes $0.5M of reported other income ($0.1M explained as insurance), and we keep the $0.4M deduction pending support.</t>
  </si>
  <si>
    <t>Interest on cash ($3.2M in FY25) is financing income the buyer's capital structure will not carry and the existing credit agreement nets it against interest charges, so it is removed; FY23-FY24 amounts are not disclosed.</t>
  </si>
  <si>
    <t>The VPPA is a financially settled contract for differences with no power delivered (tenant power is passed through at cost), the credit agreement excludes Swap Contract gains and the Caliza VPPA is already a $3.1M liability, so settlements are removed.</t>
  </si>
  <si>
    <t>Fee income from tenants and construction arrangements appears in every audited year and accrues smoothly by month ($5.8M in FY25), so it stays in EBITDA, but the Q1 FY26 step-up to $2.8M (Q1 FY25 $1.2M) needs a fee schedule because related development staff costs are capitalized.</t>
  </si>
  <si>
    <t>The bonus is the normal annual scheme (70% Adjusted EBITDA vs budget, 30% scorecard) and is in the cost base, so no adjustment, but the Q1 FY26 corporate incentive accrual rose to $1.5M from $1.1M and may include a FY25 true-up.</t>
  </si>
  <si>
    <t>Payable 50% at closing and 50% six months later, it is not in the LTM P&amp;L and is a seller transaction cost for the equity bridge, so there is no EBITDA adjustment.</t>
  </si>
  <si>
    <t>The accrual relates to PHX II construction, no charge appears in corporate legal costs in 2.05 and the QoE treats it as debt-like, so it is priced in the equity bridge rather than EBITDA.</t>
  </si>
  <si>
    <t>The 75% abatement is contractual through 2036, so current EBITDA is not adjusted, but the annual benefit is stated three ways (2.03 Note 9 $3.1M; QoE $2.9M; 7.05 FY25 savings $2.0M) and the step-up belongs in valuation.</t>
  </si>
  <si>
    <t>It is capital expenditure directed into the FY27 capital plan by the Board, not an operating cost, so it belongs in the capex case.</t>
  </si>
  <si>
    <t>ATL I hyperscale rent fell by about $0.2M a month from October 2025 and the space is not yet re-let, but we make no run-rate deduction, consistent with giving no run-rate credit for escalators or contracted lease-up.</t>
  </si>
  <si>
    <t>2.05 v3 shows Jan-Sep 2025 revenue and Adjusted EBITDA $4.3M and $1.8M above what the Board was told (FY25 totals unchanged), so FY25 is not adjusted, but Q1 FY25 and Q4 phasing drive LTM and need the cut-off testing the QoE has not completed.</t>
  </si>
  <si>
    <t>Note 14 states no management, monitoring or advisory fee is paid to the sponsor or its affiliates and no other related-party transactions, so there is nothing to restate to market.</t>
  </si>
  <si>
    <t>GAAP rent exceeded cash billed by $8.4M in FY25 and rises every year, so it is deducted to reach cash EBITDA (the credit agreement deducts it too); Q1 FY25 is estimated at one quarter of FY25 because no Q1 FY25 cash flow statement is in the data room.</t>
  </si>
  <si>
    <t>Deferred revenue and tenant deposits rose in each year (FY25 +$4.8M), so cash received runs ahead of other revenue and no further non-cash deduction is needed.</t>
  </si>
  <si>
    <t/>
  </si>
  <si>
    <t>2.05 Non-recurring!F9:J9</t>
  </si>
  <si>
    <t>2.05 Non-recurring!L9:M9</t>
  </si>
  <si>
    <t>11.04 QoE p.6-7; 10.04 p.4; 12.01 Q&amp;A Log!G115, G22; 2.05 Property Opex by Campus!B29:N39; 7.07 A26</t>
  </si>
  <si>
    <t/>
  </si>
  <si>
    <t>11.04 QoE p.7; 12.01 Q&amp;A Log!G115</t>
  </si>
  <si>
    <t>11.04 QoE p.6-7; 12.01 Q&amp;A Log!G89</t>
  </si>
  <si>
    <t>11.04 QoE p.4, p.6; Seller Bridge rows 20, 50-52; 2.07 Detail by Campus!B90:B93; 2.09 Q1 FY26 IS!B19</t>
  </si>
  <si>
    <t>2.05 Other Income!B7:N7; 2.07 Detail by Campus!B91:E91; 2.03 Note 15; 9.07 p.12</t>
  </si>
  <si>
    <t>2.05 Other Income!B6:N6; 2.07 Detail by Campus!B90:E90; 6.02 p.1-2; 2.03 Notes 7 and 12; 9.07 p.12, p.22</t>
  </si>
  <si>
    <t>2.05 Other Income!B8:N8; 2.07 Detail by Campus!B92:E92; 2.03 Note 15; 2.05 G&amp;A Detail!A3; 2.06 2. P&amp;L (FY26-FY30)!C16</t>
  </si>
  <si>
    <t>8.03 p.1; 11.04 QoE p.8, p.13; 2.07 Detail by Campus!B76:E76</t>
  </si>
  <si>
    <t>8.03 p.2; 11.04 QoE p.13</t>
  </si>
  <si>
    <t>2.03 Note 7; 11.04 QoE p.8; 2.05 G&amp;A Detail!B10:N10</t>
  </si>
  <si>
    <t>2.03 Note 9; 11.04 QoE p.7; 7.05 G23</t>
  </si>
  <si>
    <t>10.04 p.3-4; 11.04 QoE p.7</t>
  </si>
  <si>
    <t>2.05 Revenue by Campus!B13:N13; 10.03 p.4</t>
  </si>
  <si>
    <t>10.01 p.2; 2.05 P&amp;L (Monthly)!B10:J17; 11.04 QoE p.2; Seller Bridge checks 11-12</t>
  </si>
  <si>
    <t>2.03 Note 14</t>
  </si>
  <si>
    <t>2.01 p.2; 2.03 p.7; 2.09 Q1 FY26 CF!B11; 11.04 QoE p.8; Q1 FY25 = FY25 / 4 (estimate)</t>
  </si>
  <si>
    <t>2.03 p.7</t>
  </si>
  <si>
    <t>Q1 FY26</t>
  </si>
  <si>
    <t>Q1 FY25</t>
  </si>
  <si>
    <t>LTM Q1 FY26</t>
  </si>
  <si>
    <t>FY23</t>
  </si>
  <si>
    <t>FY24</t>
  </si>
  <si>
    <t>Diligence less seller</t>
  </si>
  <si>
    <t>LTM</t>
  </si>
  <si>
    <t>Assumption: Q1 FY25 straight-line rent as a share of FY25 (no Q1 FY25 cash flow statement in the data room)</t>
  </si>
  <si>
    <t>Estimate</t>
  </si>
  <si>
    <t>Diligence EBITDA: reported EBITDA to diligence-adjusted and cash EBITDA</t>
  </si>
  <si>
    <t>US$ millions. Each line links to the diligence column of the Add-Back Tests tab. LTM Q1 FY26 = FY25 + Q1 FY26 less Q1 FY25.</t>
  </si>
  <si>
    <t>DILIGENCE-ADJUSTED EBITDA</t>
  </si>
  <si>
    <t/>
  </si>
  <si>
    <t>(+) Storm repair: DFW I hail</t>
  </si>
  <si>
    <t>(+) Severance (rejected)</t>
  </si>
  <si>
    <t>(-) One-time property tax refund: PHX I</t>
  </si>
  <si>
    <t>Seller residual adjustments (FY23-FY24 rejected; Q1 FY26 deduction kept)</t>
  </si>
  <si>
    <t>(-) Interest income on cash balances</t>
  </si>
  <si>
    <t>(-) Realized VPPA settlements</t>
  </si>
  <si>
    <t>Total diligence adjustments</t>
  </si>
  <si>
    <t>Diligence-adjusted EBITDA ($M)</t>
  </si>
  <si>
    <t>Diligence-adjusted EBITDA margin</t>
  </si>
  <si>
    <t>CASH EBITDA</t>
  </si>
  <si>
    <t>(-) Straight-line rent (non-cash revenue)</t>
  </si>
  <si>
    <t>(-) Other non-cash revenue</t>
  </si>
  <si>
    <t>Cash EBITDA ($M)</t>
  </si>
  <si>
    <t>Cash EBITDA margin</t>
  </si>
  <si>
    <t>COMPARISON WITH THE SELLER</t>
  </si>
  <si>
    <t>Management-adjusted EBITDA ($M)</t>
  </si>
  <si>
    <t>Diligence-adjusted less management-adjusted</t>
  </si>
  <si>
    <t>Difference as % of management-adjusted</t>
  </si>
  <si>
    <t>GROWTH, FY23 TO FY25</t>
  </si>
  <si>
    <t>Management-adjusted EBITDA (seller)</t>
  </si>
  <si>
    <t>Diligence-adjusted EBITDA</t>
  </si>
  <si>
    <t>Difference vs seller (percentage points)</t>
  </si>
  <si>
    <t>Diligence-adjusted, like-for-like (excluding B1-B2 in all years)</t>
  </si>
  <si>
    <t>Cash EBITDA</t>
  </si>
  <si>
    <t/>
  </si>
  <si>
    <t>FY24 growth</t>
  </si>
  <si>
    <t>FY25 growth</t>
  </si>
  <si>
    <t>FY23-FY25 CAGR</t>
  </si>
  <si>
    <t>Seller Bridge row 7</t>
  </si>
  <si>
    <t>Seller Bridge row 11</t>
  </si>
  <si>
    <t>Add-Back Tests A1</t>
  </si>
  <si>
    <t>Add-Back Tests A2</t>
  </si>
  <si>
    <t>Add-Back Tests A3</t>
  </si>
  <si>
    <t>Add-Back Tests A4</t>
  </si>
  <si>
    <t>Add-Back Tests A5</t>
  </si>
  <si>
    <t>Add-Back Tests A6</t>
  </si>
  <si>
    <t>Add-Back Tests B1</t>
  </si>
  <si>
    <t>Add-Back Tests B2</t>
  </si>
  <si>
    <t>Add-Back Tests D1</t>
  </si>
  <si>
    <t>Add-Back Tests D2</t>
  </si>
  <si>
    <t>Seller Bridge row 23</t>
  </si>
  <si>
    <t/>
  </si>
  <si>
    <t/>
  </si>
  <si>
    <t/>
  </si>
  <si>
    <t/>
  </si>
  <si>
    <t/>
  </si>
  <si>
    <t/>
  </si>
  <si>
    <t>Straight-line rent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</si>
  <si>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</si>
  <si>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</si>
  <si>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</si>
  <si>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</si>
  <si>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</si>
  <si>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</si>
  <si>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</si>
  <si>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</si>
  <si>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</si>
  <si>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</si>
  <si>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</si>
  <si>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</si>
  <si>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</si>
  <si>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</si>
  <si>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</si>
  <si>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</si>
  <si>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</si>
  <si>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</si>
  <si>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</si>
  <si>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</si>
  <si>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</si>
  <si>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</si>
  <si>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</si>
  <si>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</si>
  <si>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</si>
  <si>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</si>
  <si>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</si>
  <si>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</si>
  <si>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</si>
  <si>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</si>
  <si>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</si>
  <si>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</si>
  <si>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</si>
  <si>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</si>
  <si>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</si>
  <si>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</si>
  <si>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</si>
  <si>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Reported EBITDA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</si>
  <si>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</si>
  <si>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</si>
  <si>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</si>
  <si>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</si>
  <si>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</si>
  <si>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</si>
  <si>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</si>
  <si>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</si>
  <si>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</si>
  <si>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</si>
  <si>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</si>
  <si>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</si>
  <si>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</si>
  <si>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</si>
  <si>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</si>
  <si>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</si>
  <si>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</si>
  <si>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</si>
  <si>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</si>
  <si>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</si>
  <si>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</si>
  <si>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</si>
  <si>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</si>
  <si>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</si>
  <si>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</si>
  <si>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</si>
  <si>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</si>
  <si>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</si>
  <si>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</si>
  <si>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</si>
  <si>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</si>
  <si>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</si>
  <si>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</si>
  <si>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</si>
  <si>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</si>
  <si>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</si>
  <si>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</si>
  <si>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</si>
  <si>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</si>
  <si>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</si>
  <si>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</si>
  <si>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</si>
  <si>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</si>
  <si>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</si>
  <si>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</si>
  <si>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</si>
  <si>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</si>
  <si>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</si>
  <si>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</si>
  <si>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Seller Bridge row 15</t>
  </si>
  <si>
    <t>Seller Bridge row 17</t>
  </si>
  <si>
    <t/>
  </si>
  <si>
    <t>Seller Bridge row 19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</si>
  <si>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</si>
  <si>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</si>
  <si>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</si>
  <si>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</si>
  <si>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</si>
  <si>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</si>
  <si>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</si>
  <si>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</si>
  <si>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</si>
  <si>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</si>
  <si>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</si>
  <si>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</si>
  <si>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</si>
  <si>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</si>
  <si>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</si>
  <si>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</si>
  <si>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</si>
  <si>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</si>
  <si>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</si>
  <si>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</si>
  <si>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</si>
  <si>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</si>
  <si>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</si>
  <si>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</si>
  <si>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</si>
  <si>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</si>
  <si>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</si>
  <si>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(b) Management-adjusted EBITDA (seller)</t>
  </si>
  <si>
    <t>(c) Diligence-adjusted EBITDA (ours)</t>
  </si>
  <si>
    <t/>
  </si>
  <si>
    <t/>
  </si>
  <si>
    <t/>
  </si>
  <si>
    <t/>
  </si>
  <si>
    <t/>
  </si>
  <si>
    <t>Realized VPPA settlements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</si>
  <si>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</si>
  <si>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</si>
  <si>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</si>
  <si>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</si>
  <si>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</si>
  <si>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</si>
  <si>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</si>
  <si>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</si>
  <si>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</si>
  <si>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</si>
  <si>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</si>
  <si>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</si>
  <si>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</si>
  <si>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</si>
  <si>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</si>
  <si>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</si>
  <si>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</si>
  <si>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</si>
  <si>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</si>
  <si>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Waterfall Data: FY25 bridge from reported EBITDA to cash EBITDA</t>
  </si>
  <si>
    <t>US$ millions, FY25. Totals are levels; steps are changes. The chart plots the start and each step; subtotal points plot as zero steps labelled with their level.</t>
  </si>
  <si>
    <t>Transaction &amp; process costs (seller)</t>
  </si>
  <si>
    <t>Storm repair: DFW I (seller)</t>
  </si>
  <si>
    <t>Severance (seller)</t>
  </si>
  <si>
    <t>Insurance recoveries (seller)</t>
  </si>
  <si>
    <t>PHX I tax refund (seller)</t>
  </si>
  <si>
    <t>Management-adjusted EBITDA</t>
  </si>
  <si>
    <t/>
  </si>
  <si>
    <t>Severance rejected</t>
  </si>
  <si>
    <t>Interest income removed</t>
  </si>
  <si>
    <t>VPPA settlements removed</t>
  </si>
  <si>
    <t>Check: running level before each total less that total</t>
  </si>
  <si>
    <t>Running level</t>
  </si>
  <si>
    <t>Point type</t>
  </si>
  <si>
    <t>Total</t>
  </si>
  <si>
    <t>Chart value</t>
  </si>
  <si>
    <t>Chart label</t>
  </si>
  <si>
    <t>Seller Bridge row 16</t>
  </si>
  <si>
    <t>Seller Bridge row 18</t>
  </si>
  <si>
    <t>Diligence EBITDA row 18</t>
  </si>
  <si>
    <t>Diligence EBITDA row 24</t>
  </si>
  <si>
    <t>Project Voltaic (Ironvale Digital Infrastructure): Adjusted EBITDA diligence summary</t>
  </si>
  <si>
    <t/>
  </si>
  <si>
    <t>KEY TAKEAWAYS</t>
  </si>
  <si>
    <t>EBITDA BY DEFINITION</t>
  </si>
  <si>
    <t>(a) Reported EBITDA (net income + interest + D&amp;A, audited)</t>
  </si>
  <si>
    <t>(d) Cash EBITDA (ours, after straight-line rent)</t>
  </si>
  <si>
    <t>Gap, (b) less (c)</t>
  </si>
  <si>
    <t>Gap as % of (b)</t>
  </si>
  <si>
    <t/>
  </si>
  <si>
    <t>WHAT THE GAP IS MADE OF</t>
  </si>
  <si>
    <t/>
  </si>
  <si>
    <t>Severance (recurring cost)</t>
  </si>
  <si>
    <t>Total, (c) less (b)</t>
  </si>
  <si>
    <t/>
  </si>
  <si>
    <t/>
  </si>
  <si>
    <t/>
  </si>
  <si>
    <t/>
  </si>
  <si>
    <t/>
  </si>
  <si>
    <t/>
  </si>
  <si>
    <t>Tab</t>
  </si>
  <si>
    <t>Seller Bridge</t>
  </si>
  <si>
    <t>Diligence EBITDA</t>
  </si>
  <si>
    <t/>
  </si>
  <si>
    <t>Add-Back Tests ref</t>
  </si>
  <si>
    <t/>
  </si>
  <si>
    <t>Chart category</t>
  </si>
  <si>
    <t>E. A1 EVIDENCE: WHAT THE MAY-SEP 2025 SPEND DISPLACED, THE FINANCING OVERLAP AND THE FY23-FY24 SPLIT</t>
  </si>
  <si>
    <t>US$ millions, by month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</si>
  <si>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</si>
  <si>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</si>
  <si>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</si>
  <si>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</si>
  <si>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</si>
  <si>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</si>
  <si>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</si>
  <si>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</si>
  <si>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</si>
  <si>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</si>
  <si>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</si>
  <si>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</si>
  <si>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FY25 total</t>
  </si>
  <si>
    <t>Q1 FY26 (three months)</t>
  </si>
  <si>
    <t>Advisory per month, Jan-Mar 2025 (audit fieldwork; FY24 opinion dated 20-Mar-25)</t>
  </si>
  <si>
    <t>Advisory per month, Q1 FY26 (FY25 opinion dated 18-Mar-26)</t>
  </si>
  <si>
    <t>Advisory per month, Apr and Oct 2025 (no readiness cost booked, outside audit season)</t>
  </si>
  <si>
    <t>Advisory per month, May-Sep 2025 (readiness costs booked)</t>
  </si>
  <si>
    <t>Advisory per month, Nov-Dec 2025 (readiness costs also booked)</t>
  </si>
  <si>
    <t>Ordinary advisory displaced into the line, May-Sep 2025, at the Apr/Oct rate (judgment)</t>
  </si>
  <si>
    <t>FY26 budget: audit, tax &amp; accounting advisory</t>
  </si>
  <si>
    <t>Cross-check: FY26 budget less FY25 actual</t>
  </si>
  <si>
    <t>Upper bound: displaced at the Jan-Mar 2025 rate (overstates: that rate includes audit fieldwork)</t>
  </si>
  <si>
    <t>May-Sep 2025 costs in the non-recurring line</t>
  </si>
  <si>
    <t>of which ordinary advisory displaced: rejected (judgment)</t>
  </si>
  <si>
    <t>of which held back pending invoices and engagement letters (judgment)</t>
  </si>
  <si>
    <t>May-Jun 2025, after ATL II approval with its construction facility (14-May-25)</t>
  </si>
  <si>
    <t>Sep 2025, after Amendment No. 1 ($150M incremental term loans, 8-Aug-25)</t>
  </si>
  <si>
    <t>Check: May-Sep total (E) vs A1 memo row 8 (F); difference (G)</t>
  </si>
  <si>
    <t>Check: FY25 total (E) vs seller A1 amount (F); difference (G)</t>
  </si>
  <si>
    <t>FY23-FY24 line: "principally financing and abandoned-project costs" (QoE p.6)</t>
  </si>
  <si>
    <t>Non-recurring / transaction costs (audited)</t>
  </si>
  <si>
    <t>Debt issuance costs capitalized (cash flow statement), for scale</t>
  </si>
  <si>
    <t>Financing part: outside EBITDA, added back once evidenced by facility</t>
  </si>
  <si>
    <t>Abandoned-project part: a development pursuit cost, stays in EBITDA</t>
  </si>
  <si>
    <t>Held back pending the seller's split</t>
  </si>
  <si>
    <t/>
  </si>
  <si>
    <t/>
  </si>
  <si>
    <t>Comment</t>
  </si>
  <si>
    <t>Q1 is high in both years (FY25 $0.55M, FY26 $0.51M): the annual audit is fieldworked in Q1 and signed in March.</t>
  </si>
  <si>
    <t>Audit opinions were dated 20-Mar-25 (FY24) and 18-Mar-26 (FY25), so Jan-Mar carries audit fieldwork and is not a run-rate month.</t>
  </si>
  <si>
    <t>April has no readiness cost yet is already at $0.08M: the drop starts a month before the readiness spend, which points to seasonality.</t>
  </si>
  <si>
    <t>Ordinary advisory rose in Nov-Dec while $1.9M of readiness costs were also booked, so the two lines move independently.</t>
  </si>
  <si>
    <t>Judgment: at the Apr/Oct rate, about $0.1M of ordinary advisory may have been booked in the non-recurring line. Not material, and the FY26 budget cross-check gives the same size.</t>
  </si>
  <si>
    <t>Annualising the Jan-Mar rate would imply $2.2M of advisory a year against $1.5M actual and a $1.6M budget, so this bound overstates.</t>
  </si>
  <si>
    <t>Not rejected: board timing alone does not make the cost recurring, and the test shows no material displacement. Not accepted: the data room has no invoices or engagement letters, and the vendor list (9.05) shows no advisory or tax firm paid on this scale in FY25.</t>
  </si>
  <si>
    <t>$2.2M fell in the month the Board approved ATL II and its construction facility. Financing costs would still sit outside EBITDA, but FY25 debt issuance costs of $2.0M were capitalized, so any expensed financing cost needs its invoice.</t>
  </si>
  <si>
    <t>Amendment No. 1 proceeds paid fees and expenses of the amendment and Restricted Payments (FY25 distributions $179.2M). Legal for mortgage amendments and officer certificates (s.4) fits a $0.3M legal line in Sep.</t>
  </si>
  <si>
    <t>Zero until the seller splits the line by facility (unquantified, not economically zero). Financing costs are non-operating and a buyer's capital structure replaces them, so they are added back whether or not they recur.</t>
  </si>
  <si>
    <t>A developer with a continuous land bank (San Antonio, Henrico, ATL II pre-development) abandons pursuits every year, so a buyer treats these as an ordinary cost of development and does not add them back.</t>
  </si>
  <si>
    <t>Held back from diligence EBITDA on the same basis as May-Sep 2025: added back only once evidenced as financing.</t>
  </si>
  <si>
    <t>2.05 G&amp;A Detail!B9:M9; 2.05 Non-recurring!B9:M9</t>
  </si>
  <si>
    <t>2.09 Revenue &amp; Cost Detail!B69, B84</t>
  </si>
  <si>
    <t>12.01 Q&amp;A Log!G8 (Q-004)</t>
  </si>
  <si>
    <t>2.06 7. G&amp;A Build!C9</t>
  </si>
  <si>
    <t>9.05 Vendor List; 11.04 QoE p.6-7</t>
  </si>
  <si>
    <t>10.04 p.4</t>
  </si>
  <si>
    <t>9.08 p.1-2; 2.03 p.7</t>
  </si>
  <si>
    <t>2.01 p.2; 2.02 p.2; 2.03 p.7</t>
  </si>
  <si>
    <t>11.04 QoE p.6 (judgment)</t>
  </si>
  <si>
    <t>10.04 p.2, p.5; 11.04 QoE p.6</t>
  </si>
  <si>
    <t>of which May-Sep 2025: held back pending invoices and engagement letters (block E)</t>
  </si>
  <si>
    <t>of which Nov-Dec 2025 (after the Board authorized the review of alternatives, 19-Nov-25): accepted</t>
  </si>
  <si>
    <t>Hold back</t>
  </si>
  <si>
    <t>One basis for every year: a cost in this line is added back only where it is evidenced as a sale-process or financing cost (both sit outside EBITDA however often they occur); operating costs stay in EBITDA. Nov-Dec 2025 ($1.9M) and Q1 FY26 ($1.7M) follow the Board's 19-Nov-25 authorization and are accepted. May-Sep 2025 ($2.9M): the dip in ordinary advisory is seasonal (Q1 audit fieldwork; the dip starts in April, before any readiness cost), so at most about $0.1M was displaced into the line, and the spend may relate to the ATL II facility (14-May-25) or Amendment No. 1 (8-Aug-25), which would still sit outside EBITDA. Judgment: hold back the $2.9M pending invoices and engagement letters ($2.7M is acceptable on support; the $0.1M displaced is rejected). FY23 ($2.9M) and FY24 ($1.6M): held back until the seller splits financing costs (add back) from abandoned-project costs (not added back). See block E.</t>
  </si>
  <si>
    <t>Judgment: reject. The QoE accepts the add-back because "the roles were not replaced" (11.04 p.7), but the FY26 hiring plan adds 4 commercial roles (colo sales, service delivery), 2 of them filled by 31-May-26, so the commercial team is being rebuilt and the permanent saving that would make severance non-recurring does not exist. With no severance plan (Q-088) and involuntary exits in every quarter of FY24-FY25 (14 in total), severance is a recurring cost of running the business.</t>
  </si>
  <si>
    <t>2.05 Non-recurring!F9:M9; 2.05 G&amp;A Detail!B9:M9; 2.09 Revenue &amp; Cost Detail!B69, B81:B84; 10.04 p.4-5; 9.08 p.1-2; 11.04 QoE p.6-7, p.13; block E below</t>
  </si>
  <si>
    <t>11.04 QoE p.6-7; 12.01 Q&amp;A Log!G92; 8.04 Headcount Walk!B4:F14; 8.04 FY26 Hiring Plan!B10:D10; 2.05 G&amp;A Detail!B6:N19</t>
  </si>
  <si>
    <t>(+) Transaction &amp; process costs (accepted; FY23-FY24 and May-Sep 2025 held back)</t>
  </si>
  <si>
    <t>Notes: (1) FY23-FY24 interest income and VPPA settlements are not separately disclosed (2.01 and 2.02 Note 8), so they are zero in those years (unquantified, not economically zero); the like-for-like row removes them from FY25 too. (2) Transaction costs follow one basis in every year: added back only where evidenced as sale-process or financing costs, so FY23-FY24 ($2.9M, $1.6M) and May-Sep 2025 ($2.9M) are held back pending the seller's support (Add-Back Tests block E); diligence FY25 also excludes the rejected severance. (3) Seller FY23-FY24 figures include unexplained residual add-backs ($2.8M, $2.2M).</t>
  </si>
  <si>
    <t/>
  </si>
  <si>
    <t>Transaction costs held back pending invoices (May-Sep 2025)</t>
  </si>
  <si>
    <t>May-Sep 2025 transaction costs held back</t>
  </si>
  <si>
    <t>Other inputs for the open requests</t>
  </si>
  <si>
    <t>FY26 planned commercial hires (E) and filled by 31-May-26 (F)</t>
  </si>
  <si>
    <t>Development, management &amp; energy services fees: Q1 FY26 (E), Q1 FY25 (F), step-up (G)</t>
  </si>
  <si>
    <t>Corporate incentive compensation accrual: Q1 FY26 (E), Q1 FY25 (F), step-up (G)</t>
  </si>
  <si>
    <t>8.04 FY26 Hiring Plan!B10:D10</t>
  </si>
  <si>
    <t>2.07 Detail by Campus!B92, E92</t>
  </si>
  <si>
    <t>2.07 Detail by Campus!B76, E76</t>
  </si>
  <si>
    <t>QUESTIONS FOR THE SELLER</t>
  </si>
  <si>
    <t>Open request (EBITDA at stake, before any adjustment)</t>
  </si>
  <si>
    <t>A2: DFW I hail claim file against the insurance schedule (7.07 and Q-018 show no claim above $0.5M); the repair add-back nets to nil over LTM with the recoveries</t>
  </si>
  <si>
    <t>B3: fee schedule behind the Q1 FY26 step-up in development, management &amp; energy services fees (Q1 FY26 $2.8M vs Q1 FY25 $1.2M); none in FY25</t>
  </si>
  <si>
    <t>C1: Q1 FY26 corporate incentive accrual ($1.5M vs $1.1M): how much is a FY25 bonus true-up, which would lower FY25</t>
  </si>
  <si>
    <t>A6: support for the $0.5M of Q1 FY26 other income excluded from Adjusted EBITDA ($0.1M explained as insurance; we keep the $0.4M deduction); none in FY25</t>
  </si>
  <si>
    <t>C7: FY25 monthly phasing against the November Board deck (Jan-Sep EBITDA $1.8M above what the Board was told); FY25 total unchanged, LTM direction depends on Q1 FY25</t>
  </si>
  <si>
    <t>Advisory (G&amp;A)</t>
  </si>
  <si>
    <t>Readiness (non-rec. line)</t>
  </si>
  <si>
    <t>US$ millions unless stated. LTM = twelve months to 31-Mar-26.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</si>
</sst>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&quot;FY&quot;yy"/>
    <numFmt numFmtId="165" formatCode="&quot;Q1 FY&quot;yy"/>
    <numFmt numFmtId="166" formatCode="&quot;LTM Q1 FY&quot;yy"/>
    <numFmt numFmtId="167" formatCode="#,##0.0_);(#,##0.0);&quot;–&quot;_)"/>
    <numFmt numFmtId="168" formatCode="0.0%_);(0.0%);&quot;–&quot;_)"/>
    <numFmt numFmtId="169" formatCode="0.00&quot;x&quot;"/>
    <numFmt numFmtId="170" formatCode="0.0&quot;x&quot;"/>
    <numFmt numFmtId="171" formatCode="#,##0.0_);(#,##0.0)"/>
    <numFmt numFmtId="172" formatCode="&quot;•  &quot;@"/>
    <numFmt numFmtId="173" formatCode="#,##0.00_);(#,##0.00);&quot;–&quot;_)"/>
  </numFmts>
  <fonts count="29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00206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u val="singleAccounting"/>
      <sz val="10"/>
      <color rgb="FF000000"/>
      <name val="Arial"/>
      <family val="2"/>
    </font>
    <font>
      <b/>
      <u val="singleAccounting"/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i/>
      <sz val="10"/>
      <color rgb="FFFFFFFF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646464"/>
      <name val="Arial"/>
      <family val="2"/>
    </font>
    <font>
      <b/>
      <i/>
      <sz val="9"/>
      <color rgb="FF646464"/>
      <name val="Arial"/>
      <family val="2"/>
    </font>
    <font>
      <i/>
      <sz val="9"/>
      <color rgb="FF646464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sz val="10"/>
      <color rgb="FFB8860B"/>
      <name val="Arial"/>
      <family val="2"/>
    </font>
    <font>
      <b/>
      <sz val="10"/>
      <color rgb="FFB8860B"/>
      <name val="Arial"/>
      <family val="2"/>
    </font>
    <font>
      <sz val="10"/>
      <color rgb="FF00704A"/>
      <name val="Arial"/>
      <family val="2"/>
    </font>
    <font>
      <b/>
      <sz val="10"/>
      <color rgb="FF00704A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i/>
      <sz val="10"/>
      <color rgb="FF0000FF"/>
      <name val="Arial"/>
      <family val="2"/>
    </font>
    <font>
      <b/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/>
      <bottom style="double"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/>
      <top style="thin"/>
      <bottom/>
      <diagonal/>
    </border>
    <border>
      <left style="thin"/>
      <right/>
      <top style="thin"/>
      <bottom style="double"/>
      <diagonal/>
    </border>
    <border>
      <left style="thin">
        <color rgb="FFA6A6A6"/>
      </left>
      <right/>
      <top/>
      <bottom/>
      <diagonal/>
    </border>
    <border>
      <left style="thin">
        <color rgb="FFA6A6A6"/>
      </left>
      <right/>
      <top/>
      <bottom style="thin"/>
      <diagonal/>
    </border>
    <border>
      <left style="thin">
        <color rgb="FFA6A6A6"/>
      </left>
      <right/>
      <top style="thin"/>
      <bottom/>
      <diagonal/>
    </border>
    <border>
      <left style="thin">
        <color rgb="FFA6A6A6"/>
      </left>
      <right/>
      <top style="thin"/>
      <bottom style="double"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borderId="0" fillId="0" fontId="0" numFmtId="0" applyAlignment="1" applyFont="1" applyFill="1"/>
  </cellStyleXfs>
  <cellXfs count="129">
    <xf xfId="0" borderId="0" fillId="0" fontId="0" numFmtId="0"/>
    <xf xfId="0" borderId="0" fillId="0" fontId="1" numFmtId="0" applyFont="1"/>
    <xf xfId="0" borderId="0" fillId="0" fontId="3" numFmtId="0" applyFont="1"/>
    <xf xfId="0" borderId="0" fillId="0" fontId="4" numFmtId="0" applyFont="1"/>
    <xf xfId="0" borderId="0" fillId="0" fontId="5" numFmtId="0" applyFont="1"/>
    <xf xfId="0" borderId="1" fillId="0" fontId="1" numFmtId="0" applyFont="1"/>
    <xf xfId="0" borderId="1" fillId="0" fontId="7" numFmtId="164" applyAlignment="1" applyFont="1">
      <alignment horizontal="right"/>
    </xf>
    <xf xfId="0" borderId="1" fillId="0" fontId="7" numFmtId="165" applyAlignment="1" applyFont="1">
      <alignment horizontal="right"/>
    </xf>
    <xf xfId="0" borderId="1" fillId="0" fontId="7" numFmtId="166" applyAlignment="1" applyFont="1">
      <alignment horizontal="right"/>
    </xf>
    <xf xfId="0" borderId="0" fillId="2" fontId="9" numFmtId="0" applyFont="1" applyFill="1"/>
    <xf xfId="0" borderId="0" fillId="0" fontId="0" numFmtId="167"/>
    <xf xfId="0" borderId="0" fillId="2" fontId="9" numFmtId="167" applyFont="1" applyFill="1"/>
    <xf xfId="0" borderId="0" fillId="0" fontId="0" numFmtId="168"/>
    <xf xfId="0" borderId="0" fillId="0" fontId="4" numFmtId="168" applyFont="1"/>
    <xf xfId="0" borderId="0" fillId="0" fontId="1" numFmtId="167" applyFont="1"/>
    <xf xfId="0" borderId="2" fillId="0" fontId="1" numFmtId="0" applyFont="1"/>
    <xf xfId="0" borderId="2" fillId="0" fontId="1" numFmtId="167" applyFont="1"/>
    <xf xfId="0" borderId="2" fillId="0" fontId="0" numFmtId="0"/>
    <xf xfId="0" borderId="2" fillId="0" fontId="0" numFmtId="167"/>
    <xf xfId="0" borderId="3" fillId="0" fontId="1" numFmtId="0" applyFont="1"/>
    <xf xfId="0" borderId="3" fillId="0" fontId="1" numFmtId="167" applyFont="1"/>
    <xf xfId="0" borderId="0" fillId="0" fontId="0" numFmtId="0" applyAlignment="1">
      <alignment indent="1"/>
    </xf>
    <xf xfId="0" borderId="2" fillId="0" fontId="4" numFmtId="167" applyFont="1"/>
    <xf xfId="0" borderId="2" fillId="0" fontId="4" numFmtId="0" applyAlignment="1" applyFont="1">
      <alignment indent="1"/>
    </xf>
    <xf xfId="0" borderId="0" fillId="0" fontId="0" numFmtId="167" applyAlignment="1">
      <alignment horizontal="right"/>
    </xf>
    <xf xfId="0" borderId="0" fillId="2" fontId="13" numFmtId="0" applyFont="1" applyFill="1"/>
    <xf xfId="0" borderId="0" fillId="0" fontId="14" numFmtId="0" applyFont="1"/>
    <xf xfId="0" borderId="2" fillId="0" fontId="13" numFmtId="0" applyFont="1"/>
    <xf xfId="0" borderId="2" fillId="0" fontId="14" numFmtId="0" applyFont="1"/>
    <xf xfId="0" borderId="3" fillId="0" fontId="13" numFmtId="0" applyFont="1"/>
    <xf xfId="0" borderId="0" fillId="0" fontId="5" numFmtId="0" applyAlignment="1" applyFont="1">
      <alignment wrapText="1" vertical="top"/>
    </xf>
    <xf xfId="0" borderId="0" fillId="0" fontId="15" numFmtId="167" applyFont="1"/>
    <xf xfId="0" borderId="2" fillId="0" fontId="16" numFmtId="167" applyFont="1"/>
    <xf xfId="0" borderId="3" fillId="0" fontId="16" numFmtId="167" applyFont="1"/>
    <xf xfId="0" borderId="3" fillId="0" fontId="14" numFmtId="0" applyFont="1"/>
    <xf xfId="0" borderId="0" fillId="0" fontId="7" numFmtId="0" applyAlignment="1" applyFont="1">
      <alignment horizontal="centerContinuous"/>
    </xf>
    <xf xfId="0" borderId="1" fillId="0" fontId="1" numFmtId="0" applyAlignment="1" applyFont="1">
      <alignment wrapText="1"/>
    </xf>
    <xf xfId="0" borderId="1" fillId="0" fontId="1" numFmtId="0" applyAlignment="1" applyFont="1">
      <alignment wrapText="1" horizontal="right"/>
    </xf>
    <xf xfId="0" borderId="1" fillId="0" fontId="1" numFmtId="0" applyAlignment="1" applyFont="1">
      <alignment wrapText="1" horizontal="center"/>
    </xf>
    <xf xfId="0" borderId="0" fillId="0" fontId="4" numFmtId="167" applyFont="1"/>
    <xf xfId="0" borderId="0" fillId="0" fontId="4" numFmtId="0" applyAlignment="1" applyFont="1">
      <alignment indent="1"/>
    </xf>
    <xf xfId="0" borderId="0" fillId="0" fontId="0" numFmtId="0" applyAlignment="1">
      <alignment vertical="top"/>
    </xf>
    <xf xfId="0" borderId="0" fillId="0" fontId="0" numFmtId="167" applyAlignment="1">
      <alignment vertical="top"/>
    </xf>
    <xf xfId="0" borderId="0" fillId="0" fontId="4" numFmtId="0" applyAlignment="1" applyFont="1">
      <alignment vertical="top"/>
    </xf>
    <xf xfId="0" borderId="0" fillId="0" fontId="4" numFmtId="167" applyAlignment="1" applyFont="1">
      <alignment vertical="top"/>
    </xf>
    <xf xfId="0" borderId="2" fillId="0" fontId="1" numFmtId="0" applyAlignment="1" applyFont="1">
      <alignment vertical="top"/>
    </xf>
    <xf xfId="0" borderId="2" fillId="0" fontId="1" numFmtId="167" applyAlignment="1" applyFont="1">
      <alignment vertical="top"/>
    </xf>
    <xf xfId="0" borderId="0" fillId="2" fontId="9" numFmtId="0" applyAlignment="1" applyFont="1" applyFill="1">
      <alignment vertical="top"/>
    </xf>
    <xf xfId="0" borderId="0" fillId="2" fontId="9" numFmtId="167" applyAlignment="1" applyFont="1" applyFill="1">
      <alignment vertical="top"/>
    </xf>
    <xf xfId="0" borderId="4" fillId="0" fontId="1" numFmtId="0" applyAlignment="1" applyFont="1">
      <alignment vertical="top"/>
    </xf>
    <xf xfId="0" borderId="4" fillId="0" fontId="1" numFmtId="167" applyAlignment="1" applyFont="1">
      <alignment vertical="top"/>
    </xf>
    <xf xfId="0" borderId="0" fillId="0" fontId="0" numFmtId="0" applyAlignment="1">
      <alignment wrapText="1" vertical="top"/>
    </xf>
    <xf xfId="0" borderId="0" fillId="0" fontId="4" numFmtId="0" applyAlignment="1" applyFont="1">
      <alignment wrapText="1" vertical="top" indent="1"/>
    </xf>
    <xf xfId="0" borderId="0" fillId="0" fontId="4" numFmtId="0" applyAlignment="1" applyFont="1">
      <alignment wrapText="1" vertical="top"/>
    </xf>
    <xf xfId="0" borderId="2" fillId="0" fontId="1" numFmtId="0" applyAlignment="1" applyFont="1">
      <alignment wrapText="1" vertical="top"/>
    </xf>
    <xf xfId="0" borderId="0" fillId="2" fontId="9" numFmtId="0" applyAlignment="1" applyFont="1" applyFill="1">
      <alignment wrapText="1" vertical="top"/>
    </xf>
    <xf xfId="0" borderId="4" fillId="0" fontId="1" numFmtId="0" applyAlignment="1" applyFont="1">
      <alignment wrapText="1" vertical="top"/>
    </xf>
    <xf xfId="0" borderId="0" fillId="0" fontId="14" numFmtId="167" applyAlignment="1" applyFont="1">
      <alignment wrapText="1" vertical="top"/>
    </xf>
    <xf xfId="0" borderId="2" fillId="0" fontId="13" numFmtId="167" applyAlignment="1" applyFont="1">
      <alignment wrapText="1" vertical="top"/>
    </xf>
    <xf xfId="0" borderId="0" fillId="2" fontId="13" numFmtId="167" applyAlignment="1" applyFont="1" applyFill="1">
      <alignment wrapText="1" vertical="top"/>
    </xf>
    <xf xfId="0" borderId="4" fillId="0" fontId="13" numFmtId="167" applyAlignment="1" applyFont="1">
      <alignment wrapText="1" vertical="top"/>
    </xf>
    <xf xfId="0" borderId="0" fillId="0" fontId="17" numFmtId="167" applyAlignment="1" applyFont="1">
      <alignment wrapText="1" vertical="top"/>
    </xf>
    <xf xfId="0" borderId="0" fillId="0" fontId="18" numFmtId="167" applyAlignment="1" applyFont="1">
      <alignment wrapText="1" vertical="top"/>
    </xf>
    <xf xfId="0" borderId="2" fillId="0" fontId="19" numFmtId="167" applyAlignment="1" applyFont="1">
      <alignment wrapText="1" vertical="top"/>
    </xf>
    <xf xfId="0" borderId="0" fillId="2" fontId="20" numFmtId="167" applyAlignment="1" applyFont="1" applyFill="1">
      <alignment wrapText="1" vertical="top"/>
    </xf>
    <xf xfId="0" borderId="4" fillId="0" fontId="19" numFmtId="167" applyAlignment="1" applyFont="1">
      <alignment wrapText="1" vertical="top"/>
    </xf>
    <xf xfId="0" borderId="0" fillId="0" fontId="0" numFmtId="167" applyAlignment="1">
      <alignment horizontal="center" vertical="top"/>
    </xf>
    <xf xfId="0" borderId="0" fillId="0" fontId="4" numFmtId="167" applyAlignment="1" applyFont="1">
      <alignment horizontal="center" vertical="top"/>
    </xf>
    <xf xfId="0" borderId="2" fillId="0" fontId="1" numFmtId="167" applyAlignment="1" applyFont="1">
      <alignment horizontal="center" vertical="top"/>
    </xf>
    <xf xfId="0" borderId="0" fillId="2" fontId="9" numFmtId="167" applyAlignment="1" applyFont="1" applyFill="1">
      <alignment horizontal="center" vertical="top"/>
    </xf>
    <xf xfId="0" borderId="4" fillId="0" fontId="1" numFmtId="167" applyAlignment="1" applyFont="1">
      <alignment horizontal="center" vertical="top"/>
    </xf>
    <xf xfId="0" borderId="0" fillId="0" fontId="22" numFmtId="167" applyAlignment="1" applyFont="1">
      <alignment horizontal="center" vertical="top"/>
    </xf>
    <xf xfId="0" borderId="0" fillId="0" fontId="24" numFmtId="167" applyAlignment="1" applyFont="1">
      <alignment horizontal="center" vertical="top"/>
    </xf>
    <xf xfId="0" borderId="0" fillId="0" fontId="26" numFmtId="167" applyAlignment="1" applyFont="1">
      <alignment horizontal="center" vertical="top"/>
    </xf>
    <xf xfId="0" borderId="9" fillId="0" fontId="7" numFmtId="0" applyAlignment="1" applyFont="1">
      <alignment horizontal="centerContinuous"/>
    </xf>
    <xf xfId="0" borderId="10" fillId="0" fontId="1" numFmtId="0" applyAlignment="1" applyFont="1">
      <alignment wrapText="1" horizontal="right"/>
    </xf>
    <xf xfId="0" borderId="9" fillId="2" fontId="9" numFmtId="0" applyFont="1" applyFill="1"/>
    <xf xfId="0" borderId="9" fillId="0" fontId="0" numFmtId="167" applyAlignment="1">
      <alignment vertical="top"/>
    </xf>
    <xf xfId="0" borderId="11" fillId="0" fontId="1" numFmtId="167" applyAlignment="1" applyFont="1">
      <alignment vertical="top"/>
    </xf>
    <xf xfId="0" borderId="9" fillId="2" fontId="9" numFmtId="167" applyAlignment="1" applyFont="1" applyFill="1">
      <alignment vertical="top"/>
    </xf>
    <xf xfId="0" borderId="12" fillId="0" fontId="1" numFmtId="167" applyAlignment="1" applyFont="1">
      <alignment vertical="top"/>
    </xf>
    <xf xfId="0" borderId="0" fillId="0" fontId="27" numFmtId="167" applyAlignment="1" applyFont="1">
      <alignment vertical="top"/>
    </xf>
    <xf xfId="0" borderId="0" fillId="0" fontId="15" numFmtId="167" applyAlignment="1" applyFont="1">
      <alignment vertical="top"/>
    </xf>
    <xf xfId="0" borderId="0" fillId="3" fontId="15" numFmtId="167" applyAlignment="1" applyFont="1" applyFill="1">
      <alignment vertical="top"/>
    </xf>
    <xf xfId="0" borderId="0" fillId="3" fontId="15" numFmtId="9" applyAlignment="1" applyFont="1" applyFill="1">
      <alignment vertical="top"/>
    </xf>
    <xf xfId="0" borderId="1" fillId="0" fontId="1" numFmtId="0" applyAlignment="1" applyFont="1">
      <alignment wrapText="1" horizontal="left"/>
    </xf>
    <xf xfId="0" borderId="1" fillId="0" fontId="1" numFmtId="0" applyAlignment="1" applyFont="1">
      <alignment horizontal="right"/>
    </xf>
    <xf xfId="0" borderId="0" fillId="0" fontId="1" numFmtId="168" applyFont="1"/>
    <xf xfId="0" borderId="0" fillId="0" fontId="17" numFmtId="0" applyAlignment="1" applyFont="1">
      <alignment wrapText="1" vertical="top"/>
    </xf>
    <xf xfId="0" borderId="0" fillId="0" fontId="19" numFmtId="0" applyAlignment="1" applyFont="1">
      <alignment wrapText="1" vertical="top"/>
    </xf>
    <xf xfId="0" borderId="0" fillId="0" fontId="14" numFmtId="0" applyAlignment="1" applyFont="1">
      <alignment wrapText="1" vertical="top"/>
    </xf>
    <xf xfId="0" borderId="0" fillId="0" fontId="0" numFmtId="169"/>
    <xf xfId="0" borderId="0" fillId="0" fontId="1" numFmtId="169" applyFont="1"/>
    <xf xfId="0" borderId="0" fillId="0" fontId="15" numFmtId="9" applyFont="1"/>
    <xf xfId="0" borderId="0" fillId="0" fontId="16" numFmtId="167" applyFont="1"/>
    <xf xfId="0" borderId="0" fillId="0" fontId="15" numFmtId="169" applyFont="1"/>
    <xf xfId="0" borderId="0" fillId="0" fontId="15" numFmtId="170" applyFont="1"/>
    <xf xfId="0" borderId="0" fillId="0" fontId="0" numFmtId="171"/>
    <xf xfId="0" borderId="0" fillId="0" fontId="5" numFmtId="170" applyAlignment="1" applyFont="1">
      <alignment horizontal="center"/>
    </xf>
    <xf xfId="0" borderId="0" fillId="0" fontId="5" numFmtId="171" applyFont="1"/>
    <xf xfId="0" borderId="0" fillId="0" fontId="1" numFmtId="171" applyFont="1"/>
    <xf xfId="0" borderId="0" fillId="3" fontId="16" numFmtId="170" applyFont="1" applyFill="1"/>
    <xf xfId="0" borderId="0" fillId="3" fontId="15" numFmtId="170" applyAlignment="1" applyFont="1" applyFill="1">
      <alignment horizontal="center"/>
    </xf>
    <xf xfId="0" borderId="0" fillId="3" fontId="16" numFmtId="170" applyAlignment="1" applyFont="1" applyFill="1">
      <alignment horizontal="center"/>
    </xf>
    <xf xfId="0" borderId="0" fillId="0" fontId="0" numFmtId="167" applyAlignment="1">
      <alignment horizontal="center"/>
    </xf>
    <xf xfId="0" borderId="0" fillId="0" fontId="0" numFmtId="0" applyAlignment="1">
      <alignment horizontal="right"/>
    </xf>
    <xf xfId="0" borderId="2" fillId="0" fontId="1" numFmtId="167" applyAlignment="1" applyFont="1">
      <alignment horizontal="center"/>
    </xf>
    <xf xfId="0" borderId="2" fillId="0" fontId="1" numFmtId="0" applyAlignment="1" applyFont="1">
      <alignment horizontal="right"/>
    </xf>
    <xf xfId="0" borderId="1" fillId="0" fontId="0" numFmtId="0" applyAlignment="1">
      <alignment indent="1"/>
    </xf>
    <xf xfId="0" borderId="1" fillId="0" fontId="0" numFmtId="167"/>
    <xf xfId="0" borderId="0" fillId="0" fontId="0" numFmtId="172" applyAlignment="1">
      <alignment wrapText="1" vertical="top" indent="1"/>
    </xf>
    <xf xfId="0" borderId="0" fillId="0" fontId="4" numFmtId="170" applyFont="1"/>
    <xf xfId="0" borderId="0" fillId="2" fontId="1" numFmtId="0" applyFont="1" applyFill="1"/>
    <xf xfId="0" borderId="13" fillId="0" fontId="1" numFmtId="0" applyAlignment="1" applyFont="1">
      <alignment wrapText="1" vertical="top"/>
    </xf>
    <xf xfId="0" borderId="13" fillId="0" fontId="1" numFmtId="0" applyAlignment="1" applyFont="1">
      <alignment wrapText="1" horizontal="right" vertical="top"/>
    </xf>
    <xf xfId="0" borderId="13" fillId="0" fontId="19" numFmtId="0" applyAlignment="1" applyFont="1">
      <alignment wrapText="1" vertical="top"/>
    </xf>
    <xf xfId="0" borderId="0" fillId="0" fontId="0" numFmtId="17" applyAlignment="1">
      <alignment wrapText="1" horizontal="left" vertical="top"/>
    </xf>
    <xf xfId="0" borderId="0" fillId="0" fontId="15" numFmtId="173" applyAlignment="1" applyFont="1">
      <alignment vertical="top"/>
    </xf>
    <xf xfId="0" borderId="0" fillId="0" fontId="0" numFmtId="173" applyAlignment="1">
      <alignment vertical="top"/>
    </xf>
    <xf xfId="0" borderId="14" fillId="0" fontId="1" numFmtId="0" applyAlignment="1" applyFont="1">
      <alignment wrapText="1" vertical="top"/>
    </xf>
    <xf xfId="0" borderId="14" fillId="0" fontId="1" numFmtId="0" applyAlignment="1" applyFont="1">
      <alignment vertical="top"/>
    </xf>
    <xf xfId="0" borderId="14" fillId="0" fontId="1" numFmtId="173" applyAlignment="1" applyFont="1">
      <alignment vertical="top"/>
    </xf>
    <xf xfId="0" borderId="0" fillId="0" fontId="4" numFmtId="173" applyAlignment="1" applyFont="1">
      <alignment vertical="top"/>
    </xf>
    <xf xfId="0" borderId="13" fillId="0" fontId="13" numFmtId="0" applyAlignment="1" applyFont="1">
      <alignment wrapText="1" vertical="top"/>
    </xf>
    <xf xfId="0" borderId="14" fillId="0" fontId="1" numFmtId="167" applyAlignment="1" applyFont="1">
      <alignment vertical="top"/>
    </xf>
    <xf xfId="0" borderId="0" fillId="0" fontId="1" numFmtId="0" applyAlignment="1" applyFont="1">
      <alignment vertical="top"/>
    </xf>
    <xf xfId="0" borderId="0" fillId="0" fontId="15" numFmtId="1" applyAlignment="1" applyFont="1">
      <alignment vertical="top"/>
    </xf>
    <xf xfId="0" borderId="0" fillId="0" fontId="14" numFmtId="0" applyAlignment="1" applyFont="1">
      <alignment vertical="top"/>
    </xf>
    <xf xfId="0" borderId="0" fillId="0" fontId="17" numFmtId="0" applyAlignment="1" applyFont="1">
      <alignment wrapText="1" vertical="top" indent="1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x:chartSpace xmlns:cx="http://schemas.microsoft.com/office/drawing/2014/chartex" xmlns:cx1="http://schemas.microsoft.com/office/drawing/2014/chartex" xmlns:r="http://schemas.openxmlformats.org/officeDocument/2006/relationships" xmlns:mc="http://schemas.openxmlformats.org/markup-compatibility/2006" xmlns:a="http://schemas.openxmlformats.org/drawingml/2006/main">
  <cx:chartData>
    <cx:data id="0">
      <cx:strDim type="cat">
        <cx:f>'Waterfall Data'!$I$6:$I$19</cx:f>
        <cx:lvl ptCount="14">
          <cx:pt idx="0">Reported EBITDA 219.1</cx:pt>
          <cx:pt idx="1">Transaction &amp; process costs (seller) 4.8</cx:pt>
          <cx:pt idx="2">Storm repair: DFW I (seller) 1.1</cx:pt>
          <cx:pt idx="3">Severance (seller) 0.6</cx:pt>
          <cx:pt idx="4">Insurance recoveries (seller) (1.0)</cx:pt>
          <cx:pt idx="5">PHX I tax refund (seller) (0.6)</cx:pt>
          <cx:pt idx="6">Management-adjusted EBITDA 224.0</cx:pt>
          <cx:pt idx="7">May-Sep 2025 transaction costs held back (2.9)</cx:pt>
          <cx:pt idx="8">Severance rejected (0.6)</cx:pt>
          <cx:pt idx="9">Interest income removed (3.2)</cx:pt>
          <cx:pt idx="10">VPPA settlements removed (2.2)</cx:pt>
          <cx:pt idx="11">Diligence-adjusted EBITDA 215.1</cx:pt>
          <cx:pt idx="12">Straight-line rent (8.4)</cx:pt>
          <cx:pt idx="13">Cash EBITDA 206.7</cx:pt>
        </cx:lvl>
      </cx:strDim>
      <cx:numDim type="val">
        <cx:f>'Waterfall Data'!$F$6:$F$19</cx:f>
        <cx:lvl ptCount="14" formatCode="#,##0.0_);(#,##0.0);&quot;–&quot;_)">
          <cx:pt idx="0">219.10000000000002</cx:pt>
          <cx:pt idx="1">4.8</cx:pt>
          <cx:pt idx="2">1.1</cx:pt>
          <cx:pt idx="3">0.6</cx:pt>
          <cx:pt idx="4">-1</cx:pt>
          <cx:pt idx="5">-0.6</cx:pt>
          <cx:pt idx="6">0</cx:pt>
          <cx:pt idx="7">-2.88</cx:pt>
          <cx:pt idx="8">-0.6</cx:pt>
          <cx:pt idx="9">-3.24</cx:pt>
          <cx:pt idx="10">-2.2</cx:pt>
          <cx:pt idx="11">0</cx:pt>
          <cx:pt idx="12">-8.4</cx:pt>
          <cx:pt idx="13">0</cx:pt>
        </cx:lvl>
      </cx:numDim>
    </cx:data>
  </cx:chartData>
  <cx:chart>
    <cx:title pos="t" align="ctr" overlay="0">
      <cx:tx>
        <cx:rich>
          <a:bodyPr spcFirstLastPara="1" vertOverflow="ellipsis" wrap="square" anchor="ctr" anchorCtr="1"/>
          <a:lstStyle/>
          <a:p>
            <a:pPr algn="ctr">
              <a:defRPr/>
            </a:pPr>
            <a:r>
              <a:rPr lang="en-US"/>
              <a:t>FY25 EBITDA bridge: reported to cash EBITDA (US$ millions)</a:t>
            </a:r>
          </a:p>
        </cx:rich>
      </cx:tx>
    </cx:title>
    <cx:plotArea>
      <cx:plotAreaRegion>
        <cx:plotSurface/>
        <cx:series layoutId="waterfall" hidden="0">
          <cx:tx>
            <cx:txData>
              <cx:f>'Waterfall Data'!$F$5</cx:f>
              <cx:v>Chart value</cx:v>
            </cx:txData>
          </cx:tx>
          <cx:dataId val="0"/>
          <cx:layoutPr>
            <cx:subtotals/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5.xml.rels><?xml version="1.0" encoding="UTF-8" standalone="yes"?>
<Relationships xmlns="http://schemas.openxmlformats.org/package/2006/relationships"><Relationship Id="rId1" Type="http://schemas.microsoft.com/office/2014/relationships/chartEx" Target="../charts/chart1.xml"/></Relationships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4</xdr:row>
      <xdr:rowOff>0</xdr:rowOff>
    </xdr:from>
    <xdr:to>
      <xdr:col>24</xdr:col>
      <xdr:colOff>0</xdr:colOff>
      <xdr:row>32</xdr:row>
      <xdr:rowOff>0</xdr:rowOff>
    </xdr:to>
    <xdr:graphicFrame macro="">
      <xdr:nvGraphicFramePr>
        <xdr:cNvPr id="1" name="Chart 1">
          <a:extLst>
            <a:ext uri="{FF2B5EF4-FFF2-40B4-BE49-F238E27FC236}">
              <a16:creationId xmlns:a16="http://schemas.microsoft.com/office/drawing/2014/main" id="{00000000-FE4B-4C1D-8CA1-000000000003}"/>
            </a:ext>
          </a:extLst>
        </xdr:cNvPr>
        <xdr:cNvGraphicFramePr/>
      </xdr:nvGraphicFramePr>
      <xdr:xfrm>
        <a:off x="0" y="0"/>
        <a:ext cx="8534400" cy="5334000"/>
      </xdr:xfrm>
      <a:graphic>
        <a:graphicData uri="http://schemas.microsoft.com/office/drawing/2014/chartex">
          <cx:chart xmlns:cx="http://schemas.microsoft.com/office/drawing/2014/chartex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showGridLines="0" tabSelected="1" workbookViewId="0">
      <selection activeCell="A1" sqref="A1"/>
    </sheetView>
  </sheetViews>
  <cols>
    <col min="1" max="1" width="2.21875" customWidth="1"/>
    <col min="2" max="2" width="62.7890625" customWidth="1"/>
    <col min="3" max="4" width="17.07421875" customWidth="1"/>
    <col min="5" max="5" width="20.9296875" customWidth="1"/>
  </cols>
  <sheetData>
    <row r="2">
      <c r="B2" t="s" s="2">
        <v>421</v>
      </c>
    </row>
    <row r="3" ht="28" customHeight="1">
      <c r="B3" t="s" s="30">
        <v>538</v>
      </c>
    </row>
    <row r="5">
      <c r="B5" t="s" s="9">
        <v>423</v>
      </c>
      <c r="C5" s="9"/>
      <c r="D5" s="9"/>
      <c r="E5" s="9"/>
    </row>
    <row r="6" ht="30" customHeight="1">
      <c r="B6" t="str" s="110">
        <f>"We underwrite LTM Q1 FY26 EBITDA of $"&amp;TEXT(D15,"0.0")&amp;"M, $"&amp;TEXT(D18,"0.0")&amp;"M ("&amp;TEXT(D19,"0.0%")&amp;") below the seller's $"&amp;TEXT(D14,"0.0")&amp;"M (FY25: $"&amp;TEXT(C15,"0.0")&amp;"M vs $"&amp;TEXT(C14,"0.0")&amp;"M, a gap of $"&amp;TEXT(C18,"0.0")&amp;"M or "&amp;TEXT(C19,"0.0%")&amp;")."</f>
        <v>We underwrite LTM Q1 FY26 EBITDA of $226.7M, $9.0M (3.8%) below the seller's $235.6M (FY25: $215.1M vs $224.0M, a gap of $8.9M or 4.0%).</v>
      </c>
    </row>
    <row r="7" ht="30" customHeight="1">
      <c r="B7" t="str" s="110">
        <f>TEXT((C25+C26)/C27,"0%")&amp;" of the FY25 gap is other income the seller leaves in EBITDA: $"&amp;TEXT(-C25,"0.0")&amp;"M of interest on cash and $"&amp;TEXT(-C26,"0.0")&amp;"M of VPPA derivative settlements, both excluded by the existing credit agreement's own EBITDA definition."</f>
        <v>61% of the FY25 gap is other income the seller leaves in EBITDA: $3.2M of interest on cash and $2.2M of VPPA derivative settlements, both excluded by the existing credit agreement's own EBITDA definition.</v>
      </c>
    </row>
    <row r="8" ht="40" customHeight="1">
      <c r="B8" t="str" s="110">
        <f>"$"&amp;TEXT(-C23,"0.0")&amp;"M of FY25 transaction costs (May-Sep 2025) is held back pending invoices and engagement letters: the dip in ordinary advisory is seasonal (about $"&amp;TEXT('Add-Back Tests'!E65,"0.0")&amp;"M displaced) and the spend may be financing-related, which would still sit outside EBITDA. FY23-FY24 costs are held back on the same basis. The $"&amp;TEXT(-C24,"0.0")&amp;"M severance stays rejected: the QoE says the roles were not replaced, but the FY26 plan hires "&amp;TEXT('Add-Back Tests'!E86,"0")&amp;" commercial staff."</f>
        <v>$2.9M of FY25 transaction costs (May-Sep 2025) is held back pending invoices and engagement letters: the dip in ordinary advisory is seasonal (about $0.1M displaced) and the spend may be financing-related, which would still sit outside EBITDA. FY23-FY24 costs are held back on the same basis. The $0.6M severance stays rejected: the QoE says the roles were not replaced, but the FY26 plan hires 4 commercial staff.</v>
      </c>
    </row>
    <row r="9" ht="30" customHeight="1">
      <c r="B9" t="str" s="110">
        <f>"The seller's documents do not tie without plugs: unexplained add-backs of $"&amp;TEXT('Seller Bridge'!C20,"0.0")&amp;"M (FY23) and $"&amp;TEXT('Seller Bridge'!D20,"0.0")&amp;"M (FY24), a QoE LTM column that carries FY25 other income, a CIM table that omits other income, and Jan-Sep 2025 results re-phased after Board reporting."</f>
        <v>The seller's documents do not tie without plugs: unexplained add-backs of $2.8M (FY23) and $2.2M (FY24), a QoE LTM column that carries FY25 other income, a CIM table that omits other income, and Jan-Sep 2025 results re-phased after Board reporting.</v>
      </c>
    </row>
    <row r="11">
      <c r="B11" t="s" s="9">
        <v>424</v>
      </c>
      <c r="C11" s="9"/>
      <c r="D11" s="9"/>
      <c r="E11" s="9"/>
    </row>
    <row r="12">
      <c r="B12" s="36"/>
      <c r="C12" t="s" s="37">
        <v>145</v>
      </c>
      <c r="D12" t="s" s="37">
        <v>195</v>
      </c>
      <c r="E12" t="s" s="36">
        <v>440</v>
      </c>
    </row>
    <row r="13">
      <c r="B13" t="s">
        <v>425</v>
      </c>
      <c r="C13" s="10">
        <f>'Seller Bridge'!E11</f>
        <v>219.10000000000002</v>
      </c>
      <c r="D13" s="10">
        <f>'Seller Bridge'!H11</f>
        <v>229.50000000000003</v>
      </c>
      <c r="E13" t="s" s="26">
        <v>441</v>
      </c>
    </row>
    <row r="14">
      <c r="B14" t="s">
        <v>372</v>
      </c>
      <c r="C14" s="10">
        <f>'Seller Bridge'!E23</f>
        <v>224</v>
      </c>
      <c r="D14" s="10">
        <f>'Seller Bridge'!H23</f>
        <v>235.6</v>
      </c>
      <c r="E14" t="s" s="26">
        <v>441</v>
      </c>
    </row>
    <row r="15">
      <c r="B15" t="s" s="1">
        <v>373</v>
      </c>
      <c r="C15" s="14">
        <f>'Diligence EBITDA'!E18</f>
        <v>215.08</v>
      </c>
      <c r="D15" s="14">
        <f>'Diligence EBITDA'!F18</f>
        <v>226.65000000000003</v>
      </c>
      <c r="E15" t="s" s="26">
        <v>442</v>
      </c>
    </row>
    <row r="16">
      <c r="B16" t="s" s="1">
        <v>426</v>
      </c>
      <c r="C16" s="14">
        <f>'Diligence EBITDA'!E24</f>
        <v>206.68</v>
      </c>
      <c r="D16" s="14">
        <f>'Diligence EBITDA'!F24</f>
        <v>218.15000000000003</v>
      </c>
      <c r="E16" t="s" s="26">
        <v>442</v>
      </c>
    </row>
    <row r="17">
      <c r="C17" s="10"/>
      <c r="D17" s="10"/>
      <c r="E17" s="26"/>
    </row>
    <row r="18">
      <c r="B18" t="s" s="15">
        <v>427</v>
      </c>
      <c r="C18" s="16">
        <f>ROUND(C14-C15,6)</f>
        <v>8.92</v>
      </c>
      <c r="D18" s="16">
        <f>ROUND(D14-D15,6)</f>
        <v>8.95</v>
      </c>
      <c r="E18" t="s" s="26">
        <v>442</v>
      </c>
    </row>
    <row r="19">
      <c r="B19" t="s" s="3">
        <v>428</v>
      </c>
      <c r="C19" s="13">
        <f>C18/C14</f>
        <v>0.03982142857142857</v>
      </c>
      <c r="D19" s="13">
        <f>D18/D14</f>
        <v>0.03798811544991511</v>
      </c>
      <c r="E19" s="26"/>
    </row>
    <row r="21">
      <c r="B21" t="s" s="9">
        <v>430</v>
      </c>
      <c r="C21" s="112"/>
      <c r="D21" s="112"/>
      <c r="E21" s="9"/>
    </row>
    <row r="22">
      <c r="B22" s="36"/>
      <c r="C22" t="s" s="37">
        <v>145</v>
      </c>
      <c r="D22" t="s" s="37">
        <v>195</v>
      </c>
      <c r="E22" t="s" s="36">
        <v>444</v>
      </c>
    </row>
    <row r="23">
      <c r="B23" t="s" s="21">
        <v>520</v>
      </c>
      <c r="C23" s="10">
        <f>'Add-Back Tests'!T7</f>
        <v>-2.88</v>
      </c>
      <c r="D23" s="10">
        <f>'Add-Back Tests'!U7</f>
        <v>-2.88</v>
      </c>
      <c r="E23" t="s" s="26">
        <v>88</v>
      </c>
    </row>
    <row r="24">
      <c r="B24" t="s" s="21">
        <v>432</v>
      </c>
      <c r="C24" s="10">
        <f>'Add-Back Tests'!T11</f>
        <v>-0.6</v>
      </c>
      <c r="D24" s="10">
        <f>'Add-Back Tests'!U11</f>
        <v>-0.6</v>
      </c>
      <c r="E24" t="s" s="26">
        <v>90</v>
      </c>
    </row>
    <row r="25">
      <c r="B25" t="s" s="21">
        <v>120</v>
      </c>
      <c r="C25" s="10">
        <f>'Add-Back Tests'!T18</f>
        <v>-3.24</v>
      </c>
      <c r="D25" s="10">
        <f>'Add-Back Tests'!U18</f>
        <v>-3.3040000000000003</v>
      </c>
      <c r="E25" t="s" s="26">
        <v>95</v>
      </c>
    </row>
    <row r="26">
      <c r="B26" t="s" s="21">
        <v>379</v>
      </c>
      <c r="C26" s="10">
        <f>'Add-Back Tests'!T19</f>
        <v>-2.2</v>
      </c>
      <c r="D26" s="10">
        <f>'Add-Back Tests'!U19</f>
        <v>-2.1660000000000004</v>
      </c>
      <c r="E26" t="s" s="26">
        <v>96</v>
      </c>
    </row>
    <row r="27">
      <c r="B27" t="s" s="15">
        <v>433</v>
      </c>
      <c r="C27" s="16">
        <f>SUM(C23:C26)</f>
        <v>-8.920000000000002</v>
      </c>
      <c r="D27" s="16">
        <f>SUM(D23:D26)</f>
        <v>-8.950000000000001</v>
      </c>
    </row>
    <row r="29">
      <c r="B29" t="s" s="9">
        <v>529</v>
      </c>
      <c r="C29" s="112"/>
      <c r="D29" s="112"/>
      <c r="E29" s="9"/>
    </row>
    <row r="30">
      <c r="B30" t="s" s="36">
        <v>530</v>
      </c>
      <c r="C30" t="s" s="37">
        <v>145</v>
      </c>
      <c r="D30" t="s" s="37">
        <v>195</v>
      </c>
      <c r="E30" t="s" s="36">
        <v>444</v>
      </c>
    </row>
    <row r="31" ht="40" customHeight="1">
      <c r="B31" t="str" s="128">
        <f>"A1: invoices and engagement letters for the $"&amp;TEXT('Add-Back Tests'!E70,"0.0")&amp;"M May-Sep 2025 costs (up to $"&amp;TEXT('Add-Back Tests'!E72,"0.0")&amp;"M upside if supported), and the FY23-FY24 split of financing vs abandoned-project costs ($"&amp;TEXT('Add-Back Tests'!E83,"0.0")&amp;"M and $"&amp;TEXT('Add-Back Tests'!F83,"0.0")&amp;"M held back)"</f>
        <v>A1: invoices and engagement letters for the $2.9M May-Sep 2025 costs (up to $2.7M upside if supported), and the FY23-FY24 split of financing vs abandoned-project costs ($2.9M and $1.6M held back)</v>
      </c>
      <c r="C31" s="42">
        <f>'Add-Back Tests'!E70</f>
        <v>2.88</v>
      </c>
      <c r="D31" s="42">
        <f>'Add-Back Tests'!E70</f>
        <v>2.88</v>
      </c>
      <c r="E31" t="s" s="127">
        <v>88</v>
      </c>
    </row>
    <row r="32" ht="28" customHeight="1">
      <c r="B32" t="s" s="128">
        <v>531</v>
      </c>
      <c r="C32" s="42">
        <f>'Add-Back Tests'!E10</f>
        <v>1.1</v>
      </c>
      <c r="D32" s="42">
        <f>'Add-Back Tests'!N10</f>
        <v>1.1</v>
      </c>
      <c r="E32" t="s" s="127">
        <v>89</v>
      </c>
    </row>
    <row r="33" ht="28" customHeight="1">
      <c r="B33" t="s" s="128">
        <v>532</v>
      </c>
      <c r="C33" s="42">
        <f>0</f>
        <v>0</v>
      </c>
      <c r="D33" s="42">
        <f>'Add-Back Tests'!G87</f>
        <v>1.64</v>
      </c>
      <c r="E33" t="s" s="127">
        <v>97</v>
      </c>
    </row>
    <row r="34" ht="28" customHeight="1">
      <c r="B34" t="s" s="128">
        <v>533</v>
      </c>
      <c r="C34" s="42">
        <f>'Add-Back Tests'!G88</f>
        <v>0.43799999999999994</v>
      </c>
      <c r="D34" s="42">
        <f>C34</f>
        <v>0.43799999999999994</v>
      </c>
      <c r="E34" t="s" s="127">
        <v>99</v>
      </c>
    </row>
    <row r="35" ht="28" customHeight="1">
      <c r="B35" t="s" s="128">
        <v>534</v>
      </c>
      <c r="C35" s="42">
        <f>0</f>
        <v>0</v>
      </c>
      <c r="D35" s="42">
        <f>-'Add-Back Tests'!O14</f>
        <v>0.4</v>
      </c>
      <c r="E35" t="s" s="127">
        <v>93</v>
      </c>
    </row>
    <row r="36" ht="40" customHeight="1">
      <c r="B36" t="s" s="128">
        <v>535</v>
      </c>
      <c r="C36" s="42">
        <f>0</f>
        <v>0</v>
      </c>
      <c r="D36" s="42">
        <f>-'Seller Bridge'!E64</f>
        <v>1.75</v>
      </c>
      <c r="E36" t="s" s="127">
        <v>105</v>
      </c>
    </row>
  </sheetData>
  <mergeCells count="5">
    <mergeCell ref="B3:E3"/>
    <mergeCell ref="B6:E6"/>
    <mergeCell ref="B7:E7"/>
    <mergeCell ref="B8:E8"/>
    <mergeCell ref="B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9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62.7890625" customWidth="1"/>
    <col min="3" max="8" width="11.7890625" customWidth="1"/>
    <col min="9" max="9" width="72.359375" customWidth="1"/>
  </cols>
  <sheetData>
    <row r="2">
      <c r="B2" t="s" s="2">
        <v>5</v>
      </c>
    </row>
    <row r="3">
      <c r="B3" t="s" s="4">
        <v>6</v>
      </c>
    </row>
    <row r="5">
      <c r="B5" t="s" s="5">
        <v>7</v>
      </c>
      <c r="C5" s="6">
        <v>45291</v>
      </c>
      <c r="D5" s="6">
        <v>45657</v>
      </c>
      <c r="E5" s="6">
        <v>46022</v>
      </c>
      <c r="F5" s="7">
        <v>45747</v>
      </c>
      <c r="G5" s="7">
        <v>46112</v>
      </c>
      <c r="H5" s="8">
        <v>46112</v>
      </c>
      <c r="I5" t="s" s="5">
        <v>60</v>
      </c>
    </row>
    <row r="6">
      <c r="B6" t="s" s="9">
        <v>8</v>
      </c>
      <c r="C6" s="9"/>
      <c r="D6" s="9"/>
      <c r="E6" s="9"/>
      <c r="F6" s="9"/>
      <c r="G6" s="9"/>
      <c r="H6" s="9"/>
      <c r="I6" s="25"/>
    </row>
    <row r="7">
      <c r="B7" t="s">
        <v>9</v>
      </c>
      <c r="C7" s="31">
        <v>268</v>
      </c>
      <c r="D7" s="31">
        <v>332</v>
      </c>
      <c r="E7" s="31">
        <v>412</v>
      </c>
      <c r="F7" s="31">
        <v>94.2</v>
      </c>
      <c r="G7" s="31">
        <v>113</v>
      </c>
      <c r="H7" s="10">
        <f>E7+G7-F7</f>
        <v>430.8</v>
      </c>
      <c r="I7" t="s" s="26">
        <v>61</v>
      </c>
    </row>
    <row r="8">
      <c r="B8" t="s" s="21">
        <v>10</v>
      </c>
      <c r="C8" s="31">
        <v>-16.4</v>
      </c>
      <c r="D8" s="31">
        <v>-8.9</v>
      </c>
      <c r="E8" s="31">
        <v>-2.1</v>
      </c>
      <c r="F8" t="s" s="24">
        <v>59</v>
      </c>
      <c r="G8" s="31">
        <v>0.4</v>
      </c>
      <c r="H8" t="s" s="24">
        <v>59</v>
      </c>
      <c r="I8" t="s" s="26">
        <v>62</v>
      </c>
    </row>
    <row r="9">
      <c r="B9" t="s" s="21">
        <v>11</v>
      </c>
      <c r="C9" s="31">
        <v>61.2</v>
      </c>
      <c r="D9" s="31">
        <v>78.9</v>
      </c>
      <c r="E9" s="31">
        <v>94.3</v>
      </c>
      <c r="F9" t="s" s="24">
        <v>59</v>
      </c>
      <c r="G9" s="31">
        <v>25.8</v>
      </c>
      <c r="H9" t="s" s="24">
        <v>59</v>
      </c>
      <c r="I9" t="s" s="26">
        <v>63</v>
      </c>
    </row>
    <row r="10">
      <c r="B10" t="s" s="21">
        <v>12</v>
      </c>
      <c r="C10" s="31">
        <v>88.5</v>
      </c>
      <c r="D10" s="31">
        <v>104.2</v>
      </c>
      <c r="E10" s="31">
        <v>126.9</v>
      </c>
      <c r="F10" t="s" s="24">
        <v>59</v>
      </c>
      <c r="G10" s="31">
        <v>34.6</v>
      </c>
      <c r="H10" t="s" s="24">
        <v>59</v>
      </c>
      <c r="I10" t="s" s="26">
        <v>64</v>
      </c>
    </row>
    <row r="11">
      <c r="B11" t="s" s="15">
        <v>13</v>
      </c>
      <c r="C11" s="16">
        <f>SUM(C8:C10)</f>
        <v>133.3</v>
      </c>
      <c r="D11" s="16">
        <f>SUM(D8:D10)</f>
        <v>174.2</v>
      </c>
      <c r="E11" s="16">
        <f>SUM(E8:E10)</f>
        <v>219.10000000000002</v>
      </c>
      <c r="F11" s="32">
        <v>50.4</v>
      </c>
      <c r="G11" s="16">
        <f>SUM(G8:G10)</f>
        <v>60.8</v>
      </c>
      <c r="H11" s="16">
        <f>E11+G11-F11</f>
        <v>229.50000000000003</v>
      </c>
      <c r="I11" t="s" s="28">
        <v>65</v>
      </c>
    </row>
    <row r="12">
      <c r="B12" t="s" s="3">
        <v>14</v>
      </c>
      <c r="C12" s="13">
        <f>C11/C7</f>
        <v>0.4973880597014926</v>
      </c>
      <c r="D12" s="13">
        <f>D11/D7</f>
        <v>0.5246987951807228</v>
      </c>
      <c r="E12" s="13">
        <f>E11/E7</f>
        <v>0.5317961165048545</v>
      </c>
      <c r="F12" s="13">
        <f>F11/F7</f>
        <v>0.535031847133758</v>
      </c>
      <c r="G12" s="13">
        <f>G11/G7</f>
        <v>0.5380530973451327</v>
      </c>
      <c r="H12" s="13">
        <f>H11/H7</f>
        <v>0.5327298050139276</v>
      </c>
      <c r="I12" s="26"/>
    </row>
    <row r="13">
      <c r="C13" s="10"/>
      <c r="D13" s="10"/>
      <c r="E13" s="10"/>
      <c r="F13" s="10"/>
      <c r="G13" s="10"/>
      <c r="H13" s="10"/>
      <c r="I13" s="26"/>
    </row>
    <row r="14">
      <c r="B14" t="s" s="9">
        <v>15</v>
      </c>
      <c r="C14" s="11"/>
      <c r="D14" s="11"/>
      <c r="E14" s="11"/>
      <c r="F14" s="11"/>
      <c r="G14" s="11"/>
      <c r="H14" s="11"/>
      <c r="I14" s="25"/>
    </row>
    <row r="15">
      <c r="B15" t="s" s="21">
        <v>16</v>
      </c>
      <c r="C15" s="31">
        <v>2.9</v>
      </c>
      <c r="D15" s="31">
        <v>1.6</v>
      </c>
      <c r="E15" s="31">
        <v>4.8</v>
      </c>
      <c r="F15" s="10"/>
      <c r="G15" s="31">
        <v>1.7</v>
      </c>
      <c r="H15" s="10">
        <f>E15+G15-F15</f>
        <v>6.5</v>
      </c>
      <c r="I15" t="s" s="26">
        <v>66</v>
      </c>
    </row>
    <row r="16">
      <c r="B16" t="s" s="21">
        <v>17</v>
      </c>
      <c r="C16" s="10"/>
      <c r="D16" s="10"/>
      <c r="E16" s="31">
        <v>1.1</v>
      </c>
      <c r="F16" s="10"/>
      <c r="G16" s="10"/>
      <c r="H16" s="10">
        <f>E16+G16-F16</f>
        <v>1.1</v>
      </c>
      <c r="I16" t="s" s="26">
        <v>67</v>
      </c>
    </row>
    <row r="17">
      <c r="B17" t="s" s="21">
        <v>18</v>
      </c>
      <c r="C17" s="10"/>
      <c r="D17" s="10"/>
      <c r="E17" s="31">
        <v>0.6</v>
      </c>
      <c r="F17" s="10"/>
      <c r="G17" s="10"/>
      <c r="H17" s="10">
        <f>E17+G17-F17</f>
        <v>0.6</v>
      </c>
      <c r="I17" t="s" s="26">
        <v>67</v>
      </c>
    </row>
    <row r="18">
      <c r="B18" t="s" s="21">
        <v>19</v>
      </c>
      <c r="C18" s="10"/>
      <c r="D18" s="10"/>
      <c r="E18" s="31">
        <v>-1</v>
      </c>
      <c r="F18" s="10"/>
      <c r="G18" s="31">
        <v>-0.1</v>
      </c>
      <c r="H18" s="10">
        <f>E18+G18-F18</f>
        <v>-1.1</v>
      </c>
      <c r="I18" t="s" s="26">
        <v>68</v>
      </c>
    </row>
    <row r="19">
      <c r="B19" t="s" s="21">
        <v>20</v>
      </c>
      <c r="C19" s="10"/>
      <c r="D19" s="10"/>
      <c r="E19" s="31">
        <v>-0.6</v>
      </c>
      <c r="F19" s="10"/>
      <c r="G19" s="10"/>
      <c r="H19" s="10">
        <f>E19+G19-F19</f>
        <v>-0.6</v>
      </c>
      <c r="I19" t="s" s="26">
        <v>67</v>
      </c>
    </row>
    <row r="20">
      <c r="B20" t="s" s="21">
        <v>21</v>
      </c>
      <c r="C20" s="10">
        <f>ROUND(C23-C11-SUM(C15:C19),2)</f>
        <v>2.8</v>
      </c>
      <c r="D20" s="10">
        <f>ROUND(D23-D11-SUM(D15:D19),2)</f>
        <v>2.2</v>
      </c>
      <c r="E20" s="10">
        <f>ROUND(E23-E11-SUM(E15:E19),2)</f>
        <v>0</v>
      </c>
      <c r="F20" s="10">
        <f>ROUND(F23-F11-SUM(F15:F19),2)</f>
        <v>0</v>
      </c>
      <c r="G20" s="10">
        <f>ROUND(G23-G11-SUM(G15:G19),2)</f>
        <v>-0.4</v>
      </c>
      <c r="H20" s="10">
        <f>E20+G20-F20</f>
        <v>-0.4</v>
      </c>
      <c r="I20" t="s" s="26">
        <v>69</v>
      </c>
    </row>
    <row r="21">
      <c r="B21" t="s" s="17">
        <v>22</v>
      </c>
      <c r="C21" s="18">
        <f>SUM(C15:C20)</f>
        <v>5.699999999999999</v>
      </c>
      <c r="D21" s="18">
        <f>SUM(D15:D20)</f>
        <v>3.8000000000000003</v>
      </c>
      <c r="E21" s="18">
        <f>SUM(E15:E20)</f>
        <v>4.9</v>
      </c>
      <c r="F21" s="18">
        <f>SUM(F15:F20)</f>
        <v>0</v>
      </c>
      <c r="G21" s="18">
        <f>SUM(G15:G20)</f>
        <v>1.1999999999999997</v>
      </c>
      <c r="H21" s="18">
        <f>SUM(H15:H20)</f>
        <v>6.1</v>
      </c>
      <c r="I21" s="28"/>
    </row>
    <row r="22">
      <c r="B22" t="s" s="15">
        <v>23</v>
      </c>
      <c r="C22" s="16">
        <f>C11+C21</f>
        <v>139</v>
      </c>
      <c r="D22" s="16">
        <f>D11+D21</f>
        <v>178</v>
      </c>
      <c r="E22" s="16">
        <f>E11+E21</f>
        <v>224.00000000000003</v>
      </c>
      <c r="F22" s="16">
        <f>F11+F21</f>
        <v>50.4</v>
      </c>
      <c r="G22" s="16">
        <f>G11+G21</f>
        <v>62</v>
      </c>
      <c r="H22" s="16">
        <f>H11+H21</f>
        <v>235.60000000000002</v>
      </c>
      <c r="I22" s="27"/>
    </row>
    <row r="23">
      <c r="B23" t="s" s="19">
        <v>24</v>
      </c>
      <c r="C23" s="33">
        <v>139</v>
      </c>
      <c r="D23" s="33">
        <v>178</v>
      </c>
      <c r="E23" s="33">
        <v>224</v>
      </c>
      <c r="F23" s="33">
        <v>50.4</v>
      </c>
      <c r="G23" s="33">
        <v>62</v>
      </c>
      <c r="H23" s="20">
        <f>E23+G23-F23</f>
        <v>235.6</v>
      </c>
      <c r="I23" t="s" s="34">
        <v>70</v>
      </c>
    </row>
    <row r="24">
      <c r="B24" t="s" s="3">
        <v>25</v>
      </c>
      <c r="C24" s="13">
        <f>C23/C7</f>
        <v>0.5186567164179104</v>
      </c>
      <c r="D24" s="13">
        <f>D23/D7</f>
        <v>0.536144578313253</v>
      </c>
      <c r="E24" s="13">
        <f>E23/E7</f>
        <v>0.5436893203883495</v>
      </c>
      <c r="F24" s="13">
        <f>F23/F7</f>
        <v>0.535031847133758</v>
      </c>
      <c r="G24" s="13">
        <f>G23/G7</f>
        <v>0.5486725663716814</v>
      </c>
      <c r="H24" s="13">
        <f>H23/H7</f>
        <v>0.5468895078922934</v>
      </c>
      <c r="I24" s="26"/>
    </row>
    <row r="25">
      <c r="C25" s="10"/>
      <c r="D25" s="10"/>
      <c r="E25" s="10"/>
      <c r="F25" s="10"/>
      <c r="G25" s="10"/>
      <c r="H25" s="10"/>
      <c r="I25" s="26"/>
    </row>
    <row r="26">
      <c r="B26" t="s" s="9">
        <v>26</v>
      </c>
      <c r="C26" s="11"/>
      <c r="D26" s="11"/>
      <c r="E26" s="11"/>
      <c r="F26" s="11"/>
      <c r="G26" s="11"/>
      <c r="H26" s="11"/>
      <c r="I26" s="25"/>
    </row>
    <row r="27">
      <c r="B27" t="s" s="1">
        <v>27</v>
      </c>
      <c r="C27" s="31">
        <v>139</v>
      </c>
      <c r="D27" s="31">
        <v>178</v>
      </c>
      <c r="E27" s="31">
        <v>224</v>
      </c>
      <c r="F27" s="10"/>
      <c r="G27" s="31">
        <v>62</v>
      </c>
      <c r="H27" s="10"/>
      <c r="I27" t="s" s="26">
        <v>71</v>
      </c>
    </row>
    <row r="28">
      <c r="B28" t="s" s="21">
        <v>28</v>
      </c>
      <c r="C28" s="10">
        <f>C23</f>
        <v>139</v>
      </c>
      <c r="D28" s="10">
        <f>D23</f>
        <v>178</v>
      </c>
      <c r="E28" s="10">
        <f>E23</f>
        <v>224</v>
      </c>
      <c r="F28" s="10"/>
      <c r="G28" s="10">
        <f>G23</f>
        <v>62</v>
      </c>
      <c r="H28" s="10"/>
      <c r="I28" s="26"/>
    </row>
    <row r="29">
      <c r="B29" t="s" s="23">
        <v>29</v>
      </c>
      <c r="C29" s="22">
        <f>C27-C28</f>
        <v>0</v>
      </c>
      <c r="D29" s="22">
        <f>D27-D28</f>
        <v>0</v>
      </c>
      <c r="E29" s="22">
        <f>E27-E28</f>
        <v>0</v>
      </c>
      <c r="F29" s="22"/>
      <c r="G29" s="22">
        <f>G27-G28</f>
        <v>0</v>
      </c>
      <c r="H29" s="22"/>
      <c r="I29" s="26"/>
    </row>
    <row r="30">
      <c r="B30" t="s" s="1">
        <v>30</v>
      </c>
      <c r="C30" s="31">
        <v>156</v>
      </c>
      <c r="D30" s="31">
        <v>196</v>
      </c>
      <c r="E30" s="31">
        <v>246.6</v>
      </c>
      <c r="F30" s="10"/>
      <c r="G30" s="31">
        <v>67.5</v>
      </c>
      <c r="H30" s="10"/>
      <c r="I30" t="s" s="26">
        <v>71</v>
      </c>
    </row>
    <row r="31">
      <c r="B31" t="s" s="21">
        <v>31</v>
      </c>
      <c r="C31" s="31">
        <v>-24.1</v>
      </c>
      <c r="D31" s="31">
        <v>-28.4</v>
      </c>
      <c r="E31" s="31">
        <v>-33.8</v>
      </c>
      <c r="F31" s="10"/>
      <c r="G31" s="31">
        <v>-9.3</v>
      </c>
      <c r="H31" s="10"/>
      <c r="I31" t="s" s="26">
        <v>71</v>
      </c>
    </row>
    <row r="32">
      <c r="B32" t="s" s="21">
        <v>32</v>
      </c>
      <c r="C32" s="10">
        <f>C30+C31</f>
        <v>131.9</v>
      </c>
      <c r="D32" s="10">
        <f>D30+D31</f>
        <v>167.6</v>
      </c>
      <c r="E32" s="10">
        <f>E30+E31</f>
        <v>212.8</v>
      </c>
      <c r="F32" s="10"/>
      <c r="G32" s="10">
        <f>G30+G31</f>
        <v>58.2</v>
      </c>
      <c r="H32" s="10"/>
      <c r="I32" s="26"/>
    </row>
    <row r="33">
      <c r="B33" t="s" s="21">
        <v>33</v>
      </c>
      <c r="C33" s="10">
        <f>C27</f>
        <v>139</v>
      </c>
      <c r="D33" s="10">
        <f>D27</f>
        <v>178</v>
      </c>
      <c r="E33" s="10">
        <f>E27</f>
        <v>224</v>
      </c>
      <c r="F33" s="10"/>
      <c r="G33" s="10">
        <f>G27</f>
        <v>62</v>
      </c>
      <c r="H33" s="10"/>
      <c r="I33" s="26"/>
    </row>
    <row r="34">
      <c r="B34" t="s" s="23">
        <v>34</v>
      </c>
      <c r="C34" s="22">
        <f>C33-C32</f>
        <v>7.099999999999994</v>
      </c>
      <c r="D34" s="22">
        <f>D33-D32</f>
        <v>10.400000000000006</v>
      </c>
      <c r="E34" s="22">
        <f>E33-E32</f>
        <v>11.199999999999989</v>
      </c>
      <c r="F34" s="22"/>
      <c r="G34" s="22">
        <f>G33-G32</f>
        <v>3.799999999999997</v>
      </c>
      <c r="H34" s="22"/>
      <c r="I34" s="26"/>
    </row>
    <row r="35">
      <c r="B35" t="s" s="1">
        <v>35</v>
      </c>
      <c r="C35" s="31">
        <v>139</v>
      </c>
      <c r="D35" s="31">
        <v>178</v>
      </c>
      <c r="E35" s="31">
        <v>224</v>
      </c>
      <c r="F35" s="10"/>
      <c r="G35" s="31">
        <v>62</v>
      </c>
      <c r="H35" s="10"/>
      <c r="I35" t="s" s="26">
        <v>72</v>
      </c>
    </row>
    <row r="36">
      <c r="B36" t="s" s="21">
        <v>28</v>
      </c>
      <c r="C36" s="10">
        <f>C23</f>
        <v>139</v>
      </c>
      <c r="D36" s="10">
        <f>D23</f>
        <v>178</v>
      </c>
      <c r="E36" s="10">
        <f>E23</f>
        <v>224</v>
      </c>
      <c r="F36" s="10"/>
      <c r="G36" s="10">
        <f>G23</f>
        <v>62</v>
      </c>
      <c r="H36" s="10"/>
      <c r="I36" s="26"/>
    </row>
    <row r="37">
      <c r="B37" t="s" s="23">
        <v>29</v>
      </c>
      <c r="C37" s="22">
        <f>C35-C36</f>
        <v>0</v>
      </c>
      <c r="D37" s="22">
        <f>D35-D36</f>
        <v>0</v>
      </c>
      <c r="E37" s="22">
        <f>E35-E36</f>
        <v>0</v>
      </c>
      <c r="F37" s="22"/>
      <c r="G37" s="22">
        <f>G35-G36</f>
        <v>0</v>
      </c>
      <c r="H37" s="22"/>
      <c r="I37" s="26"/>
    </row>
    <row r="38">
      <c r="B38" t="s" s="1">
        <v>36</v>
      </c>
      <c r="C38" s="10"/>
      <c r="D38" s="10"/>
      <c r="E38" s="31">
        <v>219.1</v>
      </c>
      <c r="F38" s="10"/>
      <c r="G38" s="10"/>
      <c r="H38" s="10"/>
      <c r="I38" t="s" s="26">
        <v>67</v>
      </c>
    </row>
    <row r="39">
      <c r="B39" t="s" s="21">
        <v>37</v>
      </c>
      <c r="C39" s="10"/>
      <c r="D39" s="10"/>
      <c r="E39" s="10">
        <f>E11</f>
        <v>219.10000000000002</v>
      </c>
      <c r="F39" s="10"/>
      <c r="G39" s="10"/>
      <c r="H39" s="10"/>
      <c r="I39" s="26"/>
    </row>
    <row r="40">
      <c r="B40" t="s" s="23">
        <v>29</v>
      </c>
      <c r="C40" s="22"/>
      <c r="D40" s="22"/>
      <c r="E40" s="22">
        <f>E38-E39</f>
        <v>0</v>
      </c>
      <c r="F40" s="22"/>
      <c r="G40" s="22"/>
      <c r="H40" s="22"/>
      <c r="I40" s="26"/>
    </row>
    <row r="41">
      <c r="B41" t="s" s="1">
        <v>38</v>
      </c>
      <c r="C41" s="31">
        <v>2.9</v>
      </c>
      <c r="D41" s="31">
        <v>1.6</v>
      </c>
      <c r="E41" s="31">
        <v>4.9</v>
      </c>
      <c r="F41" s="10"/>
      <c r="G41" s="10"/>
      <c r="H41" s="10"/>
      <c r="I41" t="s" s="26">
        <v>73</v>
      </c>
    </row>
    <row r="42">
      <c r="B42" t="s" s="21">
        <v>39</v>
      </c>
      <c r="C42" s="10">
        <f>C21</f>
        <v>5.699999999999999</v>
      </c>
      <c r="D42" s="10">
        <f>D21</f>
        <v>3.8000000000000003</v>
      </c>
      <c r="E42" s="10">
        <f>E21</f>
        <v>4.9</v>
      </c>
      <c r="F42" s="10"/>
      <c r="G42" s="10"/>
      <c r="H42" s="10"/>
      <c r="I42" s="26"/>
    </row>
    <row r="43">
      <c r="B43" t="s" s="23">
        <v>40</v>
      </c>
      <c r="C43" s="22">
        <f>C41-C42</f>
        <v>-2.7999999999999994</v>
      </c>
      <c r="D43" s="22">
        <f>D41-D42</f>
        <v>-2.2</v>
      </c>
      <c r="E43" s="22">
        <f>E41-E42</f>
        <v>0</v>
      </c>
      <c r="F43" s="22"/>
      <c r="G43" s="22"/>
      <c r="H43" s="22"/>
      <c r="I43" s="26"/>
    </row>
    <row r="44">
      <c r="B44" t="s" s="1">
        <v>41</v>
      </c>
      <c r="C44" s="10"/>
      <c r="D44" s="10"/>
      <c r="E44" s="10"/>
      <c r="F44" s="10"/>
      <c r="G44" s="10"/>
      <c r="H44" s="31">
        <v>235.6</v>
      </c>
      <c r="I44" t="s" s="26">
        <v>74</v>
      </c>
    </row>
    <row r="45">
      <c r="B45" t="s" s="21">
        <v>42</v>
      </c>
      <c r="C45" s="10"/>
      <c r="D45" s="10"/>
      <c r="E45" s="10"/>
      <c r="F45" s="10"/>
      <c r="G45" s="10"/>
      <c r="H45" s="10">
        <f>H23</f>
        <v>235.6</v>
      </c>
      <c r="I45" s="26"/>
    </row>
    <row r="46">
      <c r="B46" t="s" s="23">
        <v>29</v>
      </c>
      <c r="C46" s="22"/>
      <c r="D46" s="22"/>
      <c r="E46" s="22"/>
      <c r="F46" s="22"/>
      <c r="G46" s="22"/>
      <c r="H46" s="22">
        <f>H44-H45</f>
        <v>0</v>
      </c>
      <c r="I46" s="26"/>
    </row>
    <row r="47">
      <c r="B47" t="s" s="1">
        <v>43</v>
      </c>
      <c r="C47" s="31">
        <v>4.3</v>
      </c>
      <c r="D47" s="31">
        <v>8.2</v>
      </c>
      <c r="E47" s="31">
        <v>11.1</v>
      </c>
      <c r="F47" s="10"/>
      <c r="G47" s="10"/>
      <c r="H47" s="31">
        <v>11.1</v>
      </c>
      <c r="I47" t="s" s="26">
        <v>75</v>
      </c>
    </row>
    <row r="48">
      <c r="B48" t="s" s="21">
        <v>44</v>
      </c>
      <c r="C48" s="10"/>
      <c r="D48" s="10"/>
      <c r="E48" s="31">
        <v>11.2</v>
      </c>
      <c r="F48" s="31">
        <v>2.13</v>
      </c>
      <c r="G48" s="31">
        <v>3.8</v>
      </c>
      <c r="H48" s="10">
        <f>E48+G48-F48</f>
        <v>12.870000000000001</v>
      </c>
      <c r="I48" t="s" s="26">
        <v>76</v>
      </c>
    </row>
    <row r="49">
      <c r="B49" t="s" s="23">
        <v>45</v>
      </c>
      <c r="C49" s="22"/>
      <c r="D49" s="22"/>
      <c r="E49" s="22">
        <f>E47-E48</f>
        <v>-0.09999999999999964</v>
      </c>
      <c r="F49" s="22"/>
      <c r="G49" s="22"/>
      <c r="H49" s="22">
        <f>H47-H48</f>
        <v>-1.7700000000000014</v>
      </c>
      <c r="I49" s="26"/>
    </row>
    <row r="50">
      <c r="B50" t="s" s="1">
        <v>46</v>
      </c>
      <c r="C50" s="10"/>
      <c r="D50" s="10"/>
      <c r="E50" s="31">
        <v>11.1</v>
      </c>
      <c r="F50" s="10"/>
      <c r="G50" s="31">
        <v>4.3</v>
      </c>
      <c r="H50" s="10"/>
      <c r="I50" t="s" s="26">
        <v>77</v>
      </c>
    </row>
    <row r="51">
      <c r="B51" t="s" s="21">
        <v>47</v>
      </c>
      <c r="C51" s="10"/>
      <c r="D51" s="10"/>
      <c r="E51" s="10">
        <f>E48</f>
        <v>11.2</v>
      </c>
      <c r="F51" s="10"/>
      <c r="G51" s="10">
        <f>G48</f>
        <v>3.8</v>
      </c>
      <c r="H51" s="10"/>
      <c r="I51" s="26"/>
    </row>
    <row r="52">
      <c r="B52" t="s" s="23">
        <v>48</v>
      </c>
      <c r="C52" s="22"/>
      <c r="D52" s="22"/>
      <c r="E52" s="22">
        <f>E50-E51</f>
        <v>-0.09999999999999964</v>
      </c>
      <c r="F52" s="22"/>
      <c r="G52" s="22">
        <f>G50-G51</f>
        <v>0.5</v>
      </c>
      <c r="H52" s="22"/>
      <c r="I52" s="26"/>
    </row>
    <row r="53">
      <c r="B53" t="s" s="1">
        <v>49</v>
      </c>
      <c r="C53" s="10"/>
      <c r="D53" s="10"/>
      <c r="E53" s="31">
        <v>224</v>
      </c>
      <c r="F53" s="31">
        <v>50.4</v>
      </c>
      <c r="G53" s="10"/>
      <c r="H53" s="10"/>
      <c r="I53" t="s" s="26">
        <v>78</v>
      </c>
    </row>
    <row r="54">
      <c r="B54" t="s" s="21">
        <v>28</v>
      </c>
      <c r="C54" s="10"/>
      <c r="D54" s="10"/>
      <c r="E54" s="10">
        <f>E23</f>
        <v>224</v>
      </c>
      <c r="F54" s="10">
        <f>F23</f>
        <v>50.4</v>
      </c>
      <c r="G54" s="10"/>
      <c r="H54" s="10"/>
      <c r="I54" s="26"/>
    </row>
    <row r="55">
      <c r="B55" t="s" s="23">
        <v>29</v>
      </c>
      <c r="C55" s="22"/>
      <c r="D55" s="22"/>
      <c r="E55" s="22">
        <f>E53-E54</f>
        <v>0</v>
      </c>
      <c r="F55" s="22">
        <f>F53-F54</f>
        <v>0</v>
      </c>
      <c r="G55" s="22"/>
      <c r="H55" s="22"/>
      <c r="I55" s="26"/>
    </row>
    <row r="56">
      <c r="B56" t="s" s="1">
        <v>50</v>
      </c>
      <c r="C56" s="10"/>
      <c r="D56" s="10"/>
      <c r="E56" s="31">
        <v>219.2</v>
      </c>
      <c r="F56" s="10"/>
      <c r="G56" s="10"/>
      <c r="H56" s="10"/>
      <c r="I56" t="s" s="26">
        <v>79</v>
      </c>
    </row>
    <row r="57">
      <c r="B57" t="s" s="21">
        <v>37</v>
      </c>
      <c r="C57" s="10"/>
      <c r="D57" s="10"/>
      <c r="E57" s="10">
        <f>E11</f>
        <v>219.10000000000002</v>
      </c>
      <c r="F57" s="10"/>
      <c r="G57" s="10"/>
      <c r="H57" s="10"/>
      <c r="I57" s="26"/>
    </row>
    <row r="58">
      <c r="B58" t="s" s="23">
        <v>29</v>
      </c>
      <c r="C58" s="22"/>
      <c r="D58" s="22"/>
      <c r="E58" s="22">
        <f>E56-E57</f>
        <v>0.0999999999999659</v>
      </c>
      <c r="F58" s="22"/>
      <c r="G58" s="22"/>
      <c r="H58" s="22"/>
      <c r="I58" s="26"/>
    </row>
    <row r="59">
      <c r="B59" t="s" s="1">
        <v>51</v>
      </c>
      <c r="C59" s="10"/>
      <c r="D59" s="10"/>
      <c r="E59" s="31">
        <v>303.3</v>
      </c>
      <c r="F59" s="10"/>
      <c r="G59" s="10"/>
      <c r="H59" s="10"/>
      <c r="I59" t="s" s="26">
        <v>80</v>
      </c>
    </row>
    <row r="60">
      <c r="B60" t="s" s="21">
        <v>52</v>
      </c>
      <c r="C60" s="10"/>
      <c r="D60" s="10"/>
      <c r="E60" s="31">
        <v>307.59</v>
      </c>
      <c r="F60" s="10"/>
      <c r="G60" s="10"/>
      <c r="H60" s="10"/>
      <c r="I60" t="s" s="26">
        <v>81</v>
      </c>
    </row>
    <row r="61">
      <c r="B61" t="s" s="23">
        <v>53</v>
      </c>
      <c r="C61" s="22"/>
      <c r="D61" s="22"/>
      <c r="E61" s="22">
        <f>E59-E60</f>
        <v>-4.289999999999964</v>
      </c>
      <c r="F61" s="22"/>
      <c r="G61" s="22"/>
      <c r="H61" s="22"/>
      <c r="I61" s="26"/>
    </row>
    <row r="62">
      <c r="B62" t="s" s="1">
        <v>54</v>
      </c>
      <c r="C62" s="10"/>
      <c r="D62" s="10"/>
      <c r="E62" s="31">
        <v>164.6</v>
      </c>
      <c r="F62" s="10"/>
      <c r="G62" s="10"/>
      <c r="H62" s="10"/>
      <c r="I62" t="s" s="26">
        <v>80</v>
      </c>
    </row>
    <row r="63">
      <c r="B63" t="s" s="21">
        <v>55</v>
      </c>
      <c r="C63" s="10"/>
      <c r="D63" s="10"/>
      <c r="E63" s="31">
        <v>166.35</v>
      </c>
      <c r="F63" s="10"/>
      <c r="G63" s="10"/>
      <c r="H63" s="10"/>
      <c r="I63" t="s" s="26">
        <v>82</v>
      </c>
    </row>
    <row r="64">
      <c r="B64" t="s" s="23">
        <v>29</v>
      </c>
      <c r="C64" s="22"/>
      <c r="D64" s="22"/>
      <c r="E64" s="22">
        <f>E62-E63</f>
        <v>-1.75</v>
      </c>
      <c r="F64" s="22"/>
      <c r="G64" s="22"/>
      <c r="H64" s="22"/>
      <c r="I64" s="26"/>
    </row>
    <row r="65">
      <c r="B65" t="s" s="1">
        <v>56</v>
      </c>
      <c r="C65" s="10"/>
      <c r="D65" s="10"/>
      <c r="E65" s="10"/>
      <c r="F65" s="10"/>
      <c r="G65" s="31">
        <v>62</v>
      </c>
      <c r="H65" s="10"/>
      <c r="I65" t="s" s="26">
        <v>83</v>
      </c>
    </row>
    <row r="66">
      <c r="B66" t="s" s="21">
        <v>57</v>
      </c>
      <c r="C66" s="10"/>
      <c r="D66" s="10"/>
      <c r="E66" s="10"/>
      <c r="F66" s="10"/>
      <c r="G66" s="10">
        <f>G23</f>
        <v>62</v>
      </c>
      <c r="H66" s="10"/>
      <c r="I66" s="26"/>
    </row>
    <row r="67">
      <c r="B67" t="s" s="23">
        <v>29</v>
      </c>
      <c r="C67" s="22"/>
      <c r="D67" s="22"/>
      <c r="E67" s="22"/>
      <c r="F67" s="22"/>
      <c r="G67" s="22">
        <f>G65-G66</f>
        <v>0</v>
      </c>
      <c r="H67" s="22"/>
      <c r="I67" s="26"/>
    </row>
    <row r="69" ht="42" customHeight="1">
      <c r="B69" t="s" s="30">
        <v>58</v>
      </c>
    </row>
  </sheetData>
  <mergeCells count="1">
    <mergeCell ref="B69:I69"/>
  </mergeCells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88"/>
  <sheetViews>
    <sheetView showGridLines="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1" sqref="A1"/>
    </sheetView>
  </sheetViews>
  <cols>
    <col min="1" max="1" width="2.21875" customWidth="1"/>
    <col min="2" max="2" width="5.21875" customWidth="1"/>
    <col min="3" max="3" width="39.9296875" customWidth="1"/>
    <col min="4" max="4" width="15.50390625" customWidth="1"/>
    <col min="5" max="6" width="10.64453125" customWidth="1"/>
    <col min="7" max="7" width="9.50390625" customWidth="1"/>
    <col min="8" max="8" width="72.359375" customWidth="1"/>
    <col min="9" max="9" width="41.7890625" customWidth="1"/>
    <col min="10" max="21" width="10.64453125" customWidth="1"/>
  </cols>
  <sheetData>
    <row r="2">
      <c r="B2" t="s" s="2">
        <v>84</v>
      </c>
    </row>
    <row r="3" ht="40" customHeight="1">
      <c r="B3" t="s" s="30">
        <v>85</v>
      </c>
    </row>
    <row r="4">
      <c r="E4" t="s" s="35">
        <v>145</v>
      </c>
      <c r="F4" s="35"/>
      <c r="J4" t="s" s="35">
        <v>193</v>
      </c>
      <c r="K4" s="35"/>
      <c r="L4" t="s" s="35">
        <v>194</v>
      </c>
      <c r="M4" s="35"/>
      <c r="N4" t="s" s="35">
        <v>195</v>
      </c>
      <c r="O4" s="35"/>
      <c r="P4" t="s" s="35">
        <v>196</v>
      </c>
      <c r="Q4" s="35"/>
      <c r="R4" t="s" s="35">
        <v>197</v>
      </c>
      <c r="S4" s="35"/>
      <c r="T4" t="s" s="74">
        <v>198</v>
      </c>
      <c r="U4" s="35"/>
    </row>
    <row r="5">
      <c r="B5" t="s" s="36">
        <v>86</v>
      </c>
      <c r="C5" t="s" s="85">
        <v>110</v>
      </c>
      <c r="D5" t="s" s="85">
        <v>137</v>
      </c>
      <c r="E5" t="s" s="37">
        <v>146</v>
      </c>
      <c r="F5" t="s" s="37">
        <v>147</v>
      </c>
      <c r="G5" t="s" s="38">
        <v>148</v>
      </c>
      <c r="H5" t="s" s="85">
        <v>152</v>
      </c>
      <c r="I5" t="s" s="85">
        <v>60</v>
      </c>
      <c r="J5" t="s" s="37">
        <v>146</v>
      </c>
      <c r="K5" t="s" s="37">
        <v>147</v>
      </c>
      <c r="L5" t="s" s="37">
        <v>146</v>
      </c>
      <c r="M5" t="s" s="37">
        <v>147</v>
      </c>
      <c r="N5" t="s" s="37">
        <v>146</v>
      </c>
      <c r="O5" t="s" s="37">
        <v>147</v>
      </c>
      <c r="P5" t="s" s="37">
        <v>146</v>
      </c>
      <c r="Q5" t="s" s="37">
        <v>147</v>
      </c>
      <c r="R5" t="s" s="37">
        <v>146</v>
      </c>
      <c r="S5" t="s" s="37">
        <v>147</v>
      </c>
      <c r="T5" t="s" s="75">
        <v>145</v>
      </c>
      <c r="U5" t="s" s="37">
        <v>199</v>
      </c>
    </row>
    <row r="6">
      <c r="B6" t="s" s="9">
        <v>87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76"/>
      <c r="U6" s="9"/>
    </row>
    <row r="7" ht="135" customHeight="1">
      <c r="B7" t="s" s="41">
        <v>88</v>
      </c>
      <c r="C7" t="s" s="51">
        <v>111</v>
      </c>
      <c r="D7" t="s" s="51">
        <v>138</v>
      </c>
      <c r="E7" s="42">
        <f>'Seller Bridge'!E15</f>
        <v>4.8</v>
      </c>
      <c r="F7" s="42">
        <f>E9</f>
        <v>1.92</v>
      </c>
      <c r="G7" t="s" s="71">
        <v>512</v>
      </c>
      <c r="H7" t="s" s="61">
        <v>513</v>
      </c>
      <c r="I7" t="s" s="57">
        <v>515</v>
      </c>
      <c r="J7" s="42">
        <f>'Seller Bridge'!G15</f>
        <v>1.7</v>
      </c>
      <c r="K7" s="42">
        <f>J7</f>
        <v>1.7</v>
      </c>
      <c r="L7" s="42">
        <f>'Seller Bridge'!F15</f>
        <v>0</v>
      </c>
      <c r="M7" s="42">
        <f>L7</f>
        <v>0</v>
      </c>
      <c r="N7" s="42">
        <f>E7+J7-L7</f>
        <v>6.5</v>
      </c>
      <c r="O7" s="42">
        <f>F7+K7-M7</f>
        <v>3.62</v>
      </c>
      <c r="P7" s="42">
        <f>'Seller Bridge'!C15</f>
        <v>2.9</v>
      </c>
      <c r="Q7" s="42">
        <f>E81</f>
        <v>0</v>
      </c>
      <c r="R7" s="42">
        <f>'Seller Bridge'!D15</f>
        <v>1.6</v>
      </c>
      <c r="S7" s="42">
        <f>F81</f>
        <v>0</v>
      </c>
      <c r="T7" s="77">
        <f>F7-E7</f>
        <v>-2.88</v>
      </c>
      <c r="U7" s="42">
        <f>O7-N7</f>
        <v>-2.88</v>
      </c>
    </row>
    <row r="8" ht="38" customHeight="1">
      <c r="B8" s="41"/>
      <c r="C8" t="s" s="52">
        <v>510</v>
      </c>
      <c r="D8" t="s" s="53">
        <v>139</v>
      </c>
      <c r="E8" s="81">
        <v>2.88</v>
      </c>
      <c r="F8" s="44"/>
      <c r="G8" s="67"/>
      <c r="H8" s="62"/>
      <c r="I8" t="s" s="57">
        <v>173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77"/>
      <c r="U8" s="42"/>
    </row>
    <row r="9" ht="38" customHeight="1">
      <c r="B9" s="41"/>
      <c r="C9" t="s" s="52">
        <v>511</v>
      </c>
      <c r="D9" t="s" s="53">
        <v>139</v>
      </c>
      <c r="E9" s="81">
        <v>1.92</v>
      </c>
      <c r="F9" s="44"/>
      <c r="G9" s="67"/>
      <c r="H9" s="62"/>
      <c r="I9" t="s" s="57">
        <v>174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77"/>
      <c r="U9" s="42"/>
    </row>
    <row r="10" ht="36" customHeight="1">
      <c r="B10" t="s" s="41">
        <v>89</v>
      </c>
      <c r="C10" t="s" s="51">
        <v>114</v>
      </c>
      <c r="D10" t="s" s="51">
        <v>138</v>
      </c>
      <c r="E10" s="42">
        <f>'Seller Bridge'!E16</f>
        <v>1.1</v>
      </c>
      <c r="F10" s="42">
        <f>E10</f>
        <v>1.1</v>
      </c>
      <c r="G10" t="s" s="72">
        <v>150</v>
      </c>
      <c r="H10" t="s" s="61">
        <v>154</v>
      </c>
      <c r="I10" t="s" s="57">
        <v>175</v>
      </c>
      <c r="J10" s="42">
        <f>'Seller Bridge'!G16</f>
        <v>0</v>
      </c>
      <c r="K10" s="42">
        <f>J10</f>
        <v>0</v>
      </c>
      <c r="L10" s="42">
        <f>'Seller Bridge'!F16</f>
        <v>0</v>
      </c>
      <c r="M10" s="42">
        <f>L10</f>
        <v>0</v>
      </c>
      <c r="N10" s="42">
        <f>E10+J10-L10</f>
        <v>1.1</v>
      </c>
      <c r="O10" s="42">
        <f>F10+K10-M10</f>
        <v>1.1</v>
      </c>
      <c r="P10" s="42">
        <f>'Seller Bridge'!C16</f>
        <v>0</v>
      </c>
      <c r="Q10" s="42">
        <f>P10</f>
        <v>0</v>
      </c>
      <c r="R10" s="42">
        <f>'Seller Bridge'!D16</f>
        <v>0</v>
      </c>
      <c r="S10" s="42">
        <f>R10</f>
        <v>0</v>
      </c>
      <c r="T10" s="77">
        <f>F10-E10</f>
        <v>0</v>
      </c>
      <c r="U10" s="42">
        <f>O10-N10</f>
        <v>0</v>
      </c>
    </row>
    <row r="11" ht="75" customHeight="1">
      <c r="B11" t="s" s="41">
        <v>90</v>
      </c>
      <c r="C11" t="s" s="51">
        <v>115</v>
      </c>
      <c r="D11" t="s" s="51">
        <v>138</v>
      </c>
      <c r="E11" s="42">
        <f>'Seller Bridge'!E17</f>
        <v>0.6</v>
      </c>
      <c r="F11" s="83">
        <v>0</v>
      </c>
      <c r="G11" t="s" s="73">
        <v>151</v>
      </c>
      <c r="H11" t="s" s="61">
        <v>514</v>
      </c>
      <c r="I11" t="s" s="57">
        <v>516</v>
      </c>
      <c r="J11" s="42">
        <f>'Seller Bridge'!G17</f>
        <v>0</v>
      </c>
      <c r="K11" s="42">
        <f>J11</f>
        <v>0</v>
      </c>
      <c r="L11" s="42">
        <f>'Seller Bridge'!F17</f>
        <v>0</v>
      </c>
      <c r="M11" s="42">
        <f>L11</f>
        <v>0</v>
      </c>
      <c r="N11" s="42">
        <f>E11+J11-L11</f>
        <v>0.6</v>
      </c>
      <c r="O11" s="42">
        <f>F11+K11-M11</f>
        <v>0</v>
      </c>
      <c r="P11" s="42">
        <f>'Seller Bridge'!C17</f>
        <v>0</v>
      </c>
      <c r="Q11" s="42">
        <f>P11</f>
        <v>0</v>
      </c>
      <c r="R11" s="42">
        <f>'Seller Bridge'!D17</f>
        <v>0</v>
      </c>
      <c r="S11" s="42">
        <f>R11</f>
        <v>0</v>
      </c>
      <c r="T11" s="77">
        <f>F11-E11</f>
        <v>-0.6</v>
      </c>
      <c r="U11" s="42">
        <f>O11-N11</f>
        <v>-0.6</v>
      </c>
    </row>
    <row r="12" ht="24" customHeight="1">
      <c r="B12" t="s" s="41">
        <v>91</v>
      </c>
      <c r="C12" t="s" s="51">
        <v>116</v>
      </c>
      <c r="D12" t="s" s="51">
        <v>138</v>
      </c>
      <c r="E12" s="42">
        <f>'Seller Bridge'!E18</f>
        <v>-1</v>
      </c>
      <c r="F12" s="42">
        <f>E12</f>
        <v>-1</v>
      </c>
      <c r="G12" t="s" s="72">
        <v>150</v>
      </c>
      <c r="H12" t="s" s="61">
        <v>156</v>
      </c>
      <c r="I12" t="s" s="57">
        <v>177</v>
      </c>
      <c r="J12" s="42">
        <f>'Seller Bridge'!G18</f>
        <v>-0.1</v>
      </c>
      <c r="K12" s="42">
        <f>J12</f>
        <v>-0.1</v>
      </c>
      <c r="L12" s="42">
        <f>'Seller Bridge'!F18</f>
        <v>0</v>
      </c>
      <c r="M12" s="42">
        <f>L12</f>
        <v>0</v>
      </c>
      <c r="N12" s="42">
        <f>E12+J12-L12</f>
        <v>-1.1</v>
      </c>
      <c r="O12" s="42">
        <f>F12+K12-M12</f>
        <v>-1.1</v>
      </c>
      <c r="P12" s="42">
        <f>'Seller Bridge'!C18</f>
        <v>0</v>
      </c>
      <c r="Q12" s="42">
        <f>P12</f>
        <v>0</v>
      </c>
      <c r="R12" s="42">
        <f>'Seller Bridge'!D18</f>
        <v>0</v>
      </c>
      <c r="S12" s="42">
        <f>R12</f>
        <v>0</v>
      </c>
      <c r="T12" s="77">
        <f>F12-E12</f>
        <v>0</v>
      </c>
      <c r="U12" s="42">
        <f>O12-N12</f>
        <v>0</v>
      </c>
    </row>
    <row r="13" ht="24" customHeight="1">
      <c r="B13" t="s" s="41">
        <v>92</v>
      </c>
      <c r="C13" t="s" s="51">
        <v>117</v>
      </c>
      <c r="D13" t="s" s="51">
        <v>140</v>
      </c>
      <c r="E13" s="42">
        <f>'Seller Bridge'!E19</f>
        <v>-0.6</v>
      </c>
      <c r="F13" s="42">
        <f>E13</f>
        <v>-0.6</v>
      </c>
      <c r="G13" t="s" s="72">
        <v>150</v>
      </c>
      <c r="H13" t="s" s="61">
        <v>157</v>
      </c>
      <c r="I13" t="s" s="57">
        <v>178</v>
      </c>
      <c r="J13" s="42">
        <f>'Seller Bridge'!G19</f>
        <v>0</v>
      </c>
      <c r="K13" s="42">
        <f>J13</f>
        <v>0</v>
      </c>
      <c r="L13" s="42">
        <f>'Seller Bridge'!F19</f>
        <v>0</v>
      </c>
      <c r="M13" s="42">
        <f>L13</f>
        <v>0</v>
      </c>
      <c r="N13" s="42">
        <f>E13+J13-L13</f>
        <v>-0.6</v>
      </c>
      <c r="O13" s="42">
        <f>F13+K13-M13</f>
        <v>-0.6</v>
      </c>
      <c r="P13" s="42">
        <f>'Seller Bridge'!C19</f>
        <v>0</v>
      </c>
      <c r="Q13" s="42">
        <f>P13</f>
        <v>0</v>
      </c>
      <c r="R13" s="42">
        <f>'Seller Bridge'!D19</f>
        <v>0</v>
      </c>
      <c r="S13" s="42">
        <f>R13</f>
        <v>0</v>
      </c>
      <c r="T13" s="77">
        <f>F13-E13</f>
        <v>0</v>
      </c>
      <c r="U13" s="42">
        <f>O13-N13</f>
        <v>0</v>
      </c>
    </row>
    <row r="14" ht="36" customHeight="1">
      <c r="B14" t="s" s="41">
        <v>93</v>
      </c>
      <c r="C14" t="s" s="51">
        <v>118</v>
      </c>
      <c r="D14" t="s" s="51">
        <v>138</v>
      </c>
      <c r="E14" s="42">
        <f>'Seller Bridge'!E20</f>
        <v>0</v>
      </c>
      <c r="F14" s="42">
        <f>E14</f>
        <v>0</v>
      </c>
      <c r="G14" t="s" s="71">
        <v>149</v>
      </c>
      <c r="H14" t="s" s="61">
        <v>158</v>
      </c>
      <c r="I14" t="s" s="57">
        <v>179</v>
      </c>
      <c r="J14" s="42">
        <f>'Seller Bridge'!G20</f>
        <v>-0.4</v>
      </c>
      <c r="K14" s="42">
        <f>J14</f>
        <v>-0.4</v>
      </c>
      <c r="L14" s="42">
        <f>'Seller Bridge'!F20</f>
        <v>0</v>
      </c>
      <c r="M14" s="42">
        <f>L14</f>
        <v>0</v>
      </c>
      <c r="N14" s="42">
        <f>E14+J14-L14</f>
        <v>-0.4</v>
      </c>
      <c r="O14" s="42">
        <f>F14+K14-M14</f>
        <v>-0.4</v>
      </c>
      <c r="P14" s="42">
        <f>'Seller Bridge'!C20</f>
        <v>2.8</v>
      </c>
      <c r="Q14" s="83">
        <v>0</v>
      </c>
      <c r="R14" s="42">
        <f>'Seller Bridge'!D20</f>
        <v>2.2</v>
      </c>
      <c r="S14" s="83">
        <v>0</v>
      </c>
      <c r="T14" s="77">
        <f>F14-E14</f>
        <v>0</v>
      </c>
      <c r="U14" s="42">
        <f>O14-N14</f>
        <v>0</v>
      </c>
    </row>
    <row r="15">
      <c r="B15" s="45"/>
      <c r="C15" t="s" s="54">
        <v>119</v>
      </c>
      <c r="D15" s="54"/>
      <c r="E15" s="46">
        <f>E7+SUM(E10:E14)</f>
        <v>4.9</v>
      </c>
      <c r="F15" s="46">
        <f>F7+SUM(F10:F14)</f>
        <v>1.42</v>
      </c>
      <c r="G15" s="68"/>
      <c r="H15" s="63"/>
      <c r="I15" s="58"/>
      <c r="J15" s="46">
        <f>J7+SUM(J10:J14)</f>
        <v>1.2</v>
      </c>
      <c r="K15" s="46">
        <f>K7+SUM(K10:K14)</f>
        <v>1.2</v>
      </c>
      <c r="L15" s="46">
        <f>L7+SUM(L10:L14)</f>
        <v>0</v>
      </c>
      <c r="M15" s="46">
        <f>M7+SUM(M10:M14)</f>
        <v>0</v>
      </c>
      <c r="N15" s="46">
        <f>N7+SUM(N10:N14)</f>
        <v>6.1</v>
      </c>
      <c r="O15" s="46">
        <f>O7+SUM(O10:O14)</f>
        <v>2.62</v>
      </c>
      <c r="P15" s="46">
        <f>P7+SUM(P10:P14)</f>
        <v>5.699999999999999</v>
      </c>
      <c r="Q15" s="46">
        <f>Q7+SUM(Q10:Q14)</f>
        <v>0</v>
      </c>
      <c r="R15" s="46">
        <f>R7+SUM(R10:R14)</f>
        <v>3.8000000000000003</v>
      </c>
      <c r="S15" s="46">
        <f>S7+SUM(S10:S14)</f>
        <v>0</v>
      </c>
      <c r="T15" s="78">
        <f>T7+SUM(T10:T14)</f>
        <v>-3.48</v>
      </c>
      <c r="U15" s="46">
        <f>U7+SUM(U10:U14)</f>
        <v>-3.48</v>
      </c>
    </row>
    <row r="16">
      <c r="B16" s="41"/>
      <c r="C16" s="51"/>
      <c r="D16" s="51"/>
      <c r="E16" s="42"/>
      <c r="F16" s="42"/>
      <c r="G16" s="66"/>
      <c r="H16" s="61"/>
      <c r="I16" s="57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77"/>
      <c r="U16" s="42"/>
    </row>
    <row r="17">
      <c r="B17" t="s" s="47">
        <v>94</v>
      </c>
      <c r="C17" s="55"/>
      <c r="D17" s="55"/>
      <c r="E17" s="48"/>
      <c r="F17" s="48"/>
      <c r="G17" s="69"/>
      <c r="H17" s="64"/>
      <c r="I17" s="5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79"/>
      <c r="U17" s="48"/>
    </row>
    <row r="18" ht="36" customHeight="1">
      <c r="B18" t="s" s="41">
        <v>95</v>
      </c>
      <c r="C18" t="s" s="51">
        <v>120</v>
      </c>
      <c r="D18" t="s" s="51">
        <v>141</v>
      </c>
      <c r="E18" s="82">
        <v>0</v>
      </c>
      <c r="F18" s="82">
        <v>-3.24</v>
      </c>
      <c r="G18" t="s" s="73">
        <v>151</v>
      </c>
      <c r="H18" t="s" s="61">
        <v>159</v>
      </c>
      <c r="I18" t="s" s="57">
        <v>180</v>
      </c>
      <c r="J18" s="82">
        <v>0</v>
      </c>
      <c r="K18" s="82">
        <v>-0.82</v>
      </c>
      <c r="L18" s="82">
        <v>0</v>
      </c>
      <c r="M18" s="82">
        <v>-0.756</v>
      </c>
      <c r="N18" s="42">
        <f>E18+J18-L18</f>
        <v>0</v>
      </c>
      <c r="O18" s="42">
        <f>F18+K18-M18</f>
        <v>-3.3040000000000003</v>
      </c>
      <c r="P18" s="82">
        <v>0</v>
      </c>
      <c r="Q18" s="83">
        <v>0</v>
      </c>
      <c r="R18" s="82">
        <v>0</v>
      </c>
      <c r="S18" s="83">
        <v>0</v>
      </c>
      <c r="T18" s="77">
        <f>F18-E18</f>
        <v>-3.24</v>
      </c>
      <c r="U18" s="42">
        <f>O18-N18</f>
        <v>-3.3040000000000003</v>
      </c>
    </row>
    <row r="19" ht="36" customHeight="1">
      <c r="B19" t="s" s="41">
        <v>96</v>
      </c>
      <c r="C19" t="s" s="51">
        <v>121</v>
      </c>
      <c r="D19" t="s" s="51">
        <v>141</v>
      </c>
      <c r="E19" s="82">
        <v>0</v>
      </c>
      <c r="F19" s="82">
        <v>-2.2</v>
      </c>
      <c r="G19" t="s" s="73">
        <v>151</v>
      </c>
      <c r="H19" t="s" s="61">
        <v>160</v>
      </c>
      <c r="I19" t="s" s="57">
        <v>181</v>
      </c>
      <c r="J19" s="82">
        <v>0</v>
      </c>
      <c r="K19" s="82">
        <v>-0.18</v>
      </c>
      <c r="L19" s="82">
        <v>0</v>
      </c>
      <c r="M19" s="82">
        <v>-0.214</v>
      </c>
      <c r="N19" s="42">
        <f>E19+J19-L19</f>
        <v>0</v>
      </c>
      <c r="O19" s="42">
        <f>F19+K19-M19</f>
        <v>-2.1660000000000004</v>
      </c>
      <c r="P19" s="82">
        <v>0</v>
      </c>
      <c r="Q19" s="83">
        <v>0</v>
      </c>
      <c r="R19" s="82">
        <v>0</v>
      </c>
      <c r="S19" s="83">
        <v>0</v>
      </c>
      <c r="T19" s="77">
        <f>F19-E19</f>
        <v>-2.2</v>
      </c>
      <c r="U19" s="42">
        <f>O19-N19</f>
        <v>-2.1660000000000004</v>
      </c>
    </row>
    <row r="20" ht="48" customHeight="1">
      <c r="B20" t="s" s="41">
        <v>97</v>
      </c>
      <c r="C20" t="s" s="51">
        <v>122</v>
      </c>
      <c r="D20" t="s" s="51">
        <v>142</v>
      </c>
      <c r="E20" s="82">
        <v>0</v>
      </c>
      <c r="F20" s="42">
        <f>E20</f>
        <v>0</v>
      </c>
      <c r="G20" t="s" s="72">
        <v>150</v>
      </c>
      <c r="H20" t="s" s="61">
        <v>161</v>
      </c>
      <c r="I20" t="s" s="57">
        <v>182</v>
      </c>
      <c r="J20" s="82">
        <v>0</v>
      </c>
      <c r="K20" s="42">
        <f>J20</f>
        <v>0</v>
      </c>
      <c r="L20" s="82">
        <v>0</v>
      </c>
      <c r="M20" s="42">
        <f>L20</f>
        <v>0</v>
      </c>
      <c r="N20" s="42">
        <f>E20+J20-L20</f>
        <v>0</v>
      </c>
      <c r="O20" s="42">
        <f>F20+K20-M20</f>
        <v>0</v>
      </c>
      <c r="P20" s="82">
        <v>0</v>
      </c>
      <c r="Q20" s="42">
        <f>P20</f>
        <v>0</v>
      </c>
      <c r="R20" s="82">
        <v>0</v>
      </c>
      <c r="S20" s="42">
        <f>R20</f>
        <v>0</v>
      </c>
      <c r="T20" s="77">
        <f>F20-E20</f>
        <v>0</v>
      </c>
      <c r="U20" s="42">
        <f>O20-N20</f>
        <v>0</v>
      </c>
    </row>
    <row r="21">
      <c r="B21" s="45"/>
      <c r="C21" t="s" s="54">
        <v>123</v>
      </c>
      <c r="D21" s="54"/>
      <c r="E21" s="46">
        <f>SUM(E18:E20)</f>
        <v>0</v>
      </c>
      <c r="F21" s="46">
        <f>SUM(F18:F20)</f>
        <v>-5.44</v>
      </c>
      <c r="G21" s="68"/>
      <c r="H21" s="63"/>
      <c r="I21" s="58"/>
      <c r="J21" s="46">
        <f>SUM(J18:J20)</f>
        <v>0</v>
      </c>
      <c r="K21" s="46">
        <f>SUM(K18:K20)</f>
        <v>-1</v>
      </c>
      <c r="L21" s="46">
        <f>SUM(L18:L20)</f>
        <v>0</v>
      </c>
      <c r="M21" s="46">
        <f>SUM(M18:M20)</f>
        <v>-0.97</v>
      </c>
      <c r="N21" s="46">
        <f>SUM(N18:N20)</f>
        <v>0</v>
      </c>
      <c r="O21" s="46">
        <f>SUM(O18:O20)</f>
        <v>-5.470000000000001</v>
      </c>
      <c r="P21" s="46">
        <f>SUM(P18:P20)</f>
        <v>0</v>
      </c>
      <c r="Q21" s="46">
        <f>SUM(Q18:Q20)</f>
        <v>0</v>
      </c>
      <c r="R21" s="46">
        <f>SUM(R18:R20)</f>
        <v>0</v>
      </c>
      <c r="S21" s="46">
        <f>SUM(S18:S20)</f>
        <v>0</v>
      </c>
      <c r="T21" s="78">
        <f>SUM(T18:T20)</f>
        <v>-5.44</v>
      </c>
      <c r="U21" s="46">
        <f>SUM(U18:U20)</f>
        <v>-5.470000000000001</v>
      </c>
    </row>
    <row r="22">
      <c r="B22" s="41"/>
      <c r="C22" s="51"/>
      <c r="D22" s="51"/>
      <c r="E22" s="42"/>
      <c r="F22" s="42"/>
      <c r="G22" s="66"/>
      <c r="H22" s="61"/>
      <c r="I22" s="57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77"/>
      <c r="U22" s="42"/>
    </row>
    <row r="23">
      <c r="B23" t="s" s="47">
        <v>98</v>
      </c>
      <c r="C23" s="55"/>
      <c r="D23" s="55"/>
      <c r="E23" s="48"/>
      <c r="F23" s="48"/>
      <c r="G23" s="69"/>
      <c r="H23" s="64"/>
      <c r="I23" s="59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79"/>
      <c r="U23" s="48"/>
    </row>
    <row r="24" ht="36" customHeight="1">
      <c r="B24" t="s" s="41">
        <v>99</v>
      </c>
      <c r="C24" t="s" s="51">
        <v>124</v>
      </c>
      <c r="D24" t="s" s="51">
        <v>142</v>
      </c>
      <c r="E24" s="82">
        <v>0</v>
      </c>
      <c r="F24" s="42">
        <f>E24</f>
        <v>0</v>
      </c>
      <c r="G24" t="s" s="72">
        <v>150</v>
      </c>
      <c r="H24" t="s" s="61">
        <v>162</v>
      </c>
      <c r="I24" t="s" s="57">
        <v>183</v>
      </c>
      <c r="J24" s="82">
        <v>0</v>
      </c>
      <c r="K24" s="42">
        <f>J24</f>
        <v>0</v>
      </c>
      <c r="L24" s="82">
        <v>0</v>
      </c>
      <c r="M24" s="42">
        <f>L24</f>
        <v>0</v>
      </c>
      <c r="N24" s="42">
        <f>E24+J24-L24</f>
        <v>0</v>
      </c>
      <c r="O24" s="42">
        <f>F24+K24-M24</f>
        <v>0</v>
      </c>
      <c r="P24" s="82">
        <v>0</v>
      </c>
      <c r="Q24" s="42">
        <f>P24</f>
        <v>0</v>
      </c>
      <c r="R24" s="82">
        <v>0</v>
      </c>
      <c r="S24" s="42">
        <f>R24</f>
        <v>0</v>
      </c>
      <c r="T24" s="77">
        <f>F24-E24</f>
        <v>0</v>
      </c>
      <c r="U24" s="42">
        <f>O24-N24</f>
        <v>0</v>
      </c>
    </row>
    <row r="25" ht="25.5" customHeight="1">
      <c r="B25" t="s" s="41">
        <v>100</v>
      </c>
      <c r="C25" t="s" s="51">
        <v>125</v>
      </c>
      <c r="D25" t="s" s="51">
        <v>138</v>
      </c>
      <c r="E25" s="82">
        <v>0</v>
      </c>
      <c r="F25" s="42">
        <f>E25</f>
        <v>0</v>
      </c>
      <c r="G25" t="s" s="72">
        <v>150</v>
      </c>
      <c r="H25" t="s" s="61">
        <v>163</v>
      </c>
      <c r="I25" t="s" s="57">
        <v>184</v>
      </c>
      <c r="J25" s="82">
        <v>0</v>
      </c>
      <c r="K25" s="42">
        <f>J25</f>
        <v>0</v>
      </c>
      <c r="L25" s="82">
        <v>0</v>
      </c>
      <c r="M25" s="42">
        <f>L25</f>
        <v>0</v>
      </c>
      <c r="N25" s="42">
        <f>E25+J25-L25</f>
        <v>0</v>
      </c>
      <c r="O25" s="42">
        <f>F25+K25-M25</f>
        <v>0</v>
      </c>
      <c r="P25" s="82">
        <v>0</v>
      </c>
      <c r="Q25" s="42">
        <f>P25</f>
        <v>0</v>
      </c>
      <c r="R25" s="82">
        <v>0</v>
      </c>
      <c r="S25" s="42">
        <f>R25</f>
        <v>0</v>
      </c>
      <c r="T25" s="77">
        <f>F25-E25</f>
        <v>0</v>
      </c>
      <c r="U25" s="42">
        <f>O25-N25</f>
        <v>0</v>
      </c>
    </row>
    <row r="26" ht="36" customHeight="1">
      <c r="B26" t="s" s="41">
        <v>101</v>
      </c>
      <c r="C26" t="s" s="51">
        <v>126</v>
      </c>
      <c r="D26" t="s" s="51">
        <v>138</v>
      </c>
      <c r="E26" s="82">
        <v>0</v>
      </c>
      <c r="F26" s="42">
        <f>E26</f>
        <v>0</v>
      </c>
      <c r="G26" t="s" s="72">
        <v>150</v>
      </c>
      <c r="H26" t="s" s="61">
        <v>164</v>
      </c>
      <c r="I26" t="s" s="57">
        <v>185</v>
      </c>
      <c r="J26" s="82">
        <v>0</v>
      </c>
      <c r="K26" s="42">
        <f>J26</f>
        <v>0</v>
      </c>
      <c r="L26" s="82">
        <v>0</v>
      </c>
      <c r="M26" s="42">
        <f>L26</f>
        <v>0</v>
      </c>
      <c r="N26" s="42">
        <f>E26+J26-L26</f>
        <v>0</v>
      </c>
      <c r="O26" s="42">
        <f>F26+K26-M26</f>
        <v>0</v>
      </c>
      <c r="P26" s="82">
        <v>0</v>
      </c>
      <c r="Q26" s="42">
        <f>P26</f>
        <v>0</v>
      </c>
      <c r="R26" s="82">
        <v>0</v>
      </c>
      <c r="S26" s="42">
        <f>R26</f>
        <v>0</v>
      </c>
      <c r="T26" s="77">
        <f>F26-E26</f>
        <v>0</v>
      </c>
      <c r="U26" s="42">
        <f>O26-N26</f>
        <v>0</v>
      </c>
    </row>
    <row r="27" ht="36" customHeight="1">
      <c r="B27" t="s" s="41">
        <v>102</v>
      </c>
      <c r="C27" t="s" s="51">
        <v>127</v>
      </c>
      <c r="D27" t="s" s="51">
        <v>142</v>
      </c>
      <c r="E27" s="82">
        <v>0</v>
      </c>
      <c r="F27" s="42">
        <f>E27</f>
        <v>0</v>
      </c>
      <c r="G27" t="s" s="72">
        <v>150</v>
      </c>
      <c r="H27" t="s" s="61">
        <v>165</v>
      </c>
      <c r="I27" t="s" s="57">
        <v>186</v>
      </c>
      <c r="J27" s="82">
        <v>0</v>
      </c>
      <c r="K27" s="42">
        <f>J27</f>
        <v>0</v>
      </c>
      <c r="L27" s="82">
        <v>0</v>
      </c>
      <c r="M27" s="42">
        <f>L27</f>
        <v>0</v>
      </c>
      <c r="N27" s="42">
        <f>E27+J27-L27</f>
        <v>0</v>
      </c>
      <c r="O27" s="42">
        <f>F27+K27-M27</f>
        <v>0</v>
      </c>
      <c r="P27" s="82">
        <v>0</v>
      </c>
      <c r="Q27" s="42">
        <f>P27</f>
        <v>0</v>
      </c>
      <c r="R27" s="82">
        <v>0</v>
      </c>
      <c r="S27" s="42">
        <f>R27</f>
        <v>0</v>
      </c>
      <c r="T27" s="77">
        <f>F27-E27</f>
        <v>0</v>
      </c>
      <c r="U27" s="42">
        <f>O27-N27</f>
        <v>0</v>
      </c>
    </row>
    <row r="28" ht="25.5" customHeight="1">
      <c r="B28" t="s" s="41">
        <v>103</v>
      </c>
      <c r="C28" t="s" s="51">
        <v>128</v>
      </c>
      <c r="D28" t="s" s="51">
        <v>138</v>
      </c>
      <c r="E28" s="82">
        <v>0</v>
      </c>
      <c r="F28" s="42">
        <f>E28</f>
        <v>0</v>
      </c>
      <c r="G28" t="s" s="72">
        <v>150</v>
      </c>
      <c r="H28" t="s" s="61">
        <v>166</v>
      </c>
      <c r="I28" t="s" s="57">
        <v>187</v>
      </c>
      <c r="J28" s="82">
        <v>0</v>
      </c>
      <c r="K28" s="42">
        <f>J28</f>
        <v>0</v>
      </c>
      <c r="L28" s="82">
        <v>0</v>
      </c>
      <c r="M28" s="42">
        <f>L28</f>
        <v>0</v>
      </c>
      <c r="N28" s="42">
        <f>E28+J28-L28</f>
        <v>0</v>
      </c>
      <c r="O28" s="42">
        <f>F28+K28-M28</f>
        <v>0</v>
      </c>
      <c r="P28" s="82">
        <v>0</v>
      </c>
      <c r="Q28" s="42">
        <f>P28</f>
        <v>0</v>
      </c>
      <c r="R28" s="82">
        <v>0</v>
      </c>
      <c r="S28" s="42">
        <f>R28</f>
        <v>0</v>
      </c>
      <c r="T28" s="77">
        <f>F28-E28</f>
        <v>0</v>
      </c>
      <c r="U28" s="42">
        <f>O28-N28</f>
        <v>0</v>
      </c>
    </row>
    <row r="29" ht="36" customHeight="1">
      <c r="B29" t="s" s="41">
        <v>104</v>
      </c>
      <c r="C29" t="s" s="51">
        <v>129</v>
      </c>
      <c r="D29" t="s" s="51">
        <v>142</v>
      </c>
      <c r="E29" s="82">
        <v>0</v>
      </c>
      <c r="F29" s="42">
        <f>E29</f>
        <v>0</v>
      </c>
      <c r="G29" t="s" s="72">
        <v>150</v>
      </c>
      <c r="H29" t="s" s="61">
        <v>167</v>
      </c>
      <c r="I29" t="s" s="57">
        <v>188</v>
      </c>
      <c r="J29" s="82">
        <v>0</v>
      </c>
      <c r="K29" s="42">
        <f>J29</f>
        <v>0</v>
      </c>
      <c r="L29" s="82">
        <v>0</v>
      </c>
      <c r="M29" s="42">
        <f>L29</f>
        <v>0</v>
      </c>
      <c r="N29" s="42">
        <f>E29+J29-L29</f>
        <v>0</v>
      </c>
      <c r="O29" s="42">
        <f>F29+K29-M29</f>
        <v>0</v>
      </c>
      <c r="P29" s="82">
        <v>0</v>
      </c>
      <c r="Q29" s="42">
        <f>P29</f>
        <v>0</v>
      </c>
      <c r="R29" s="82">
        <v>0</v>
      </c>
      <c r="S29" s="42">
        <f>R29</f>
        <v>0</v>
      </c>
      <c r="T29" s="77">
        <f>F29-E29</f>
        <v>0</v>
      </c>
      <c r="U29" s="42">
        <f>O29-N29</f>
        <v>0</v>
      </c>
    </row>
    <row r="30" ht="36" customHeight="1">
      <c r="B30" t="s" s="41">
        <v>105</v>
      </c>
      <c r="C30" t="s" s="51">
        <v>130</v>
      </c>
      <c r="D30" t="s" s="51">
        <v>140</v>
      </c>
      <c r="E30" s="82">
        <v>0</v>
      </c>
      <c r="F30" s="42">
        <f>E30</f>
        <v>0</v>
      </c>
      <c r="G30" t="s" s="72">
        <v>150</v>
      </c>
      <c r="H30" t="s" s="61">
        <v>168</v>
      </c>
      <c r="I30" t="s" s="57">
        <v>189</v>
      </c>
      <c r="J30" s="82">
        <v>0</v>
      </c>
      <c r="K30" s="42">
        <f>J30</f>
        <v>0</v>
      </c>
      <c r="L30" s="82">
        <v>0</v>
      </c>
      <c r="M30" s="42">
        <f>L30</f>
        <v>0</v>
      </c>
      <c r="N30" s="42">
        <f>E30+J30-L30</f>
        <v>0</v>
      </c>
      <c r="O30" s="42">
        <f>F30+K30-M30</f>
        <v>0</v>
      </c>
      <c r="P30" s="82">
        <v>0</v>
      </c>
      <c r="Q30" s="42">
        <f>P30</f>
        <v>0</v>
      </c>
      <c r="R30" s="82">
        <v>0</v>
      </c>
      <c r="S30" s="42">
        <f>R30</f>
        <v>0</v>
      </c>
      <c r="T30" s="77">
        <f>F30-E30</f>
        <v>0</v>
      </c>
      <c r="U30" s="42">
        <f>O30-N30</f>
        <v>0</v>
      </c>
    </row>
    <row r="31" ht="25.5" customHeight="1">
      <c r="B31" t="s" s="41">
        <v>106</v>
      </c>
      <c r="C31" t="s" s="51">
        <v>131</v>
      </c>
      <c r="D31" t="s" s="51">
        <v>143</v>
      </c>
      <c r="E31" s="82">
        <v>0</v>
      </c>
      <c r="F31" s="42">
        <f>E31</f>
        <v>0</v>
      </c>
      <c r="G31" t="s" s="72">
        <v>150</v>
      </c>
      <c r="H31" t="s" s="61">
        <v>169</v>
      </c>
      <c r="I31" t="s" s="57">
        <v>190</v>
      </c>
      <c r="J31" s="82">
        <v>0</v>
      </c>
      <c r="K31" s="42">
        <f>J31</f>
        <v>0</v>
      </c>
      <c r="L31" s="82">
        <v>0</v>
      </c>
      <c r="M31" s="42">
        <f>L31</f>
        <v>0</v>
      </c>
      <c r="N31" s="42">
        <f>E31+J31-L31</f>
        <v>0</v>
      </c>
      <c r="O31" s="42">
        <f>F31+K31-M31</f>
        <v>0</v>
      </c>
      <c r="P31" s="82">
        <v>0</v>
      </c>
      <c r="Q31" s="42">
        <f>P31</f>
        <v>0</v>
      </c>
      <c r="R31" s="82">
        <v>0</v>
      </c>
      <c r="S31" s="42">
        <f>R31</f>
        <v>0</v>
      </c>
      <c r="T31" s="77">
        <f>F31-E31</f>
        <v>0</v>
      </c>
      <c r="U31" s="42">
        <f>O31-N31</f>
        <v>0</v>
      </c>
    </row>
    <row r="32">
      <c r="B32" s="45"/>
      <c r="C32" t="s" s="54">
        <v>132</v>
      </c>
      <c r="D32" s="54"/>
      <c r="E32" s="46">
        <f>SUM(E24:E31)</f>
        <v>0</v>
      </c>
      <c r="F32" s="46">
        <f>SUM(F24:F31)</f>
        <v>0</v>
      </c>
      <c r="G32" s="68"/>
      <c r="H32" s="63"/>
      <c r="I32" s="58"/>
      <c r="J32" s="46">
        <f>SUM(J24:J31)</f>
        <v>0</v>
      </c>
      <c r="K32" s="46">
        <f>SUM(K24:K31)</f>
        <v>0</v>
      </c>
      <c r="L32" s="46">
        <f>SUM(L24:L31)</f>
        <v>0</v>
      </c>
      <c r="M32" s="46">
        <f>SUM(M24:M31)</f>
        <v>0</v>
      </c>
      <c r="N32" s="46">
        <f>SUM(N24:N31)</f>
        <v>0</v>
      </c>
      <c r="O32" s="46">
        <f>SUM(O24:O31)</f>
        <v>0</v>
      </c>
      <c r="P32" s="46">
        <f>SUM(P24:P31)</f>
        <v>0</v>
      </c>
      <c r="Q32" s="46">
        <f>SUM(Q24:Q31)</f>
        <v>0</v>
      </c>
      <c r="R32" s="46">
        <f>SUM(R24:R31)</f>
        <v>0</v>
      </c>
      <c r="S32" s="46">
        <f>SUM(S24:S31)</f>
        <v>0</v>
      </c>
      <c r="T32" s="78">
        <f>SUM(T24:T31)</f>
        <v>0</v>
      </c>
      <c r="U32" s="46">
        <f>SUM(U24:U31)</f>
        <v>0</v>
      </c>
    </row>
    <row r="33">
      <c r="B33" s="41"/>
      <c r="C33" s="51"/>
      <c r="D33" s="51"/>
      <c r="E33" s="42"/>
      <c r="F33" s="42"/>
      <c r="G33" s="66"/>
      <c r="H33" s="61"/>
      <c r="I33" s="57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77"/>
      <c r="U33" s="42"/>
    </row>
    <row r="34" ht="25.5" customHeight="1">
      <c r="B34" s="49"/>
      <c r="C34" t="s" s="56">
        <v>133</v>
      </c>
      <c r="D34" s="56"/>
      <c r="E34" s="50">
        <f>E15+E21+E32</f>
        <v>4.9</v>
      </c>
      <c r="F34" s="50">
        <f>F15+F21+F32</f>
        <v>-4.0200000000000005</v>
      </c>
      <c r="G34" s="70"/>
      <c r="H34" s="65"/>
      <c r="I34" s="60"/>
      <c r="J34" s="50">
        <f>J15+J21+J32</f>
        <v>1.2</v>
      </c>
      <c r="K34" s="50">
        <f>K15+K21+K32</f>
        <v>0.19999999999999996</v>
      </c>
      <c r="L34" s="50">
        <f>L15+L21+L32</f>
        <v>0</v>
      </c>
      <c r="M34" s="50">
        <f>M15+M21+M32</f>
        <v>-0.97</v>
      </c>
      <c r="N34" s="50">
        <f>N15+N21+N32</f>
        <v>6.1</v>
      </c>
      <c r="O34" s="50">
        <f>O15+O21+O32</f>
        <v>-2.8500000000000005</v>
      </c>
      <c r="P34" s="50">
        <f>P15+P21+P32</f>
        <v>5.699999999999999</v>
      </c>
      <c r="Q34" s="50">
        <f>Q15+Q21+Q32</f>
        <v>0</v>
      </c>
      <c r="R34" s="50">
        <f>R15+R21+R32</f>
        <v>3.8000000000000003</v>
      </c>
      <c r="S34" s="50">
        <f>S15+S21+S32</f>
        <v>0</v>
      </c>
      <c r="T34" s="80">
        <f>T15+T21+T32</f>
        <v>-8.92</v>
      </c>
      <c r="U34" s="50">
        <f>U15+U21+U32</f>
        <v>-8.950000000000001</v>
      </c>
    </row>
    <row r="35">
      <c r="B35" s="41"/>
      <c r="C35" s="51"/>
      <c r="D35" s="51"/>
      <c r="E35" s="42"/>
      <c r="F35" s="42"/>
      <c r="G35" s="66"/>
      <c r="H35" s="61"/>
      <c r="I35" s="57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77"/>
      <c r="U35" s="42"/>
    </row>
    <row r="36">
      <c r="B36" t="s" s="47">
        <v>107</v>
      </c>
      <c r="C36" s="55"/>
      <c r="D36" s="55"/>
      <c r="E36" s="48"/>
      <c r="F36" s="48"/>
      <c r="G36" s="69"/>
      <c r="H36" s="64"/>
      <c r="I36" s="5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79"/>
      <c r="U36" s="48"/>
    </row>
    <row r="37" ht="36" customHeight="1">
      <c r="B37" t="s" s="41">
        <v>108</v>
      </c>
      <c r="C37" t="s" s="51">
        <v>134</v>
      </c>
      <c r="D37" t="s" s="51">
        <v>144</v>
      </c>
      <c r="E37" s="82">
        <v>0</v>
      </c>
      <c r="F37" s="82">
        <v>-8.4</v>
      </c>
      <c r="G37" t="s" s="71">
        <v>149</v>
      </c>
      <c r="H37" t="s" s="61">
        <v>170</v>
      </c>
      <c r="I37" t="s" s="57">
        <v>191</v>
      </c>
      <c r="J37" s="82">
        <v>0</v>
      </c>
      <c r="K37" s="82">
        <v>-2.2</v>
      </c>
      <c r="L37" s="82">
        <v>0</v>
      </c>
      <c r="M37" s="42">
        <f>F37*$F$41</f>
        <v>-2.1</v>
      </c>
      <c r="N37" s="42">
        <f>E37+J37-L37</f>
        <v>0</v>
      </c>
      <c r="O37" s="42">
        <f>F37+K37-M37</f>
        <v>-8.500000000000002</v>
      </c>
      <c r="P37" s="82">
        <v>0</v>
      </c>
      <c r="Q37" s="82">
        <v>-6.1</v>
      </c>
      <c r="R37" s="82">
        <v>0</v>
      </c>
      <c r="S37" s="82">
        <v>-7.2</v>
      </c>
      <c r="T37" s="77">
        <f>F37-E37</f>
        <v>-8.4</v>
      </c>
      <c r="U37" s="42">
        <f>O37-N37</f>
        <v>-8.500000000000002</v>
      </c>
    </row>
    <row r="38" ht="25.5" customHeight="1">
      <c r="B38" t="s" s="41">
        <v>109</v>
      </c>
      <c r="C38" t="s" s="51">
        <v>135</v>
      </c>
      <c r="D38" t="s" s="51">
        <v>144</v>
      </c>
      <c r="E38" s="82">
        <v>0</v>
      </c>
      <c r="F38" s="42">
        <f>E38</f>
        <v>0</v>
      </c>
      <c r="G38" t="s" s="72">
        <v>150</v>
      </c>
      <c r="H38" t="s" s="61">
        <v>171</v>
      </c>
      <c r="I38" t="s" s="57">
        <v>192</v>
      </c>
      <c r="J38" s="82">
        <v>0</v>
      </c>
      <c r="K38" s="42">
        <f>J38</f>
        <v>0</v>
      </c>
      <c r="L38" s="82">
        <v>0</v>
      </c>
      <c r="M38" s="42">
        <f>L38</f>
        <v>0</v>
      </c>
      <c r="N38" s="42">
        <f>E38+J38-L38</f>
        <v>0</v>
      </c>
      <c r="O38" s="42">
        <f>F38+K38-M38</f>
        <v>0</v>
      </c>
      <c r="P38" s="82">
        <v>0</v>
      </c>
      <c r="Q38" s="42">
        <f>P38</f>
        <v>0</v>
      </c>
      <c r="R38" s="82">
        <v>0</v>
      </c>
      <c r="S38" s="42">
        <f>R38</f>
        <v>0</v>
      </c>
      <c r="T38" s="77">
        <f>F38-E38</f>
        <v>0</v>
      </c>
      <c r="U38" s="42">
        <f>O38-N38</f>
        <v>0</v>
      </c>
    </row>
    <row r="39">
      <c r="B39" s="45"/>
      <c r="C39" t="s" s="54">
        <v>136</v>
      </c>
      <c r="D39" s="54"/>
      <c r="E39" s="46">
        <f>SUM(E37:E38)</f>
        <v>0</v>
      </c>
      <c r="F39" s="46">
        <f>SUM(F37:F38)</f>
        <v>-8.4</v>
      </c>
      <c r="G39" s="68"/>
      <c r="H39" s="63"/>
      <c r="I39" s="58"/>
      <c r="J39" s="46">
        <f>SUM(J37:J38)</f>
        <v>0</v>
      </c>
      <c r="K39" s="46">
        <f>SUM(K37:K38)</f>
        <v>-2.2</v>
      </c>
      <c r="L39" s="46">
        <f>SUM(L37:L38)</f>
        <v>0</v>
      </c>
      <c r="M39" s="46">
        <f>SUM(M37:M38)</f>
        <v>-2.1</v>
      </c>
      <c r="N39" s="46">
        <f>SUM(N37:N38)</f>
        <v>0</v>
      </c>
      <c r="O39" s="46">
        <f>SUM(O37:O38)</f>
        <v>-8.500000000000002</v>
      </c>
      <c r="P39" s="46">
        <f>SUM(P37:P38)</f>
        <v>0</v>
      </c>
      <c r="Q39" s="46">
        <f>SUM(Q37:Q38)</f>
        <v>-6.1</v>
      </c>
      <c r="R39" s="46">
        <f>SUM(R37:R38)</f>
        <v>0</v>
      </c>
      <c r="S39" s="46">
        <f>SUM(S37:S38)</f>
        <v>-7.2</v>
      </c>
      <c r="T39" s="78">
        <f>SUM(T37:T38)</f>
        <v>-8.4</v>
      </c>
      <c r="U39" s="46">
        <f>SUM(U37:U38)</f>
        <v>-8.500000000000002</v>
      </c>
    </row>
    <row r="40">
      <c r="B40" s="41"/>
      <c r="C40" s="51"/>
      <c r="D40" s="51"/>
      <c r="E40" s="42"/>
      <c r="F40" s="42"/>
      <c r="G40" s="66"/>
      <c r="H40" s="61"/>
      <c r="I40" s="57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77"/>
      <c r="U40" s="42"/>
    </row>
    <row r="41" ht="38.25" customHeight="1">
      <c r="B41" s="41"/>
      <c r="C41" t="s" s="53">
        <v>200</v>
      </c>
      <c r="D41" s="51"/>
      <c r="E41" s="42"/>
      <c r="F41" s="84">
        <v>0.25</v>
      </c>
      <c r="G41" s="66"/>
      <c r="H41" s="61"/>
      <c r="I41" t="s" s="57">
        <v>201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77"/>
      <c r="U41" s="42"/>
    </row>
    <row r="43">
      <c r="B43" t="s" s="47">
        <v>447</v>
      </c>
      <c r="C43" s="55"/>
      <c r="D43" s="55"/>
      <c r="E43" s="48"/>
      <c r="F43" s="48"/>
      <c r="G43" s="69"/>
      <c r="H43" s="64"/>
      <c r="I43" s="5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79"/>
      <c r="U43" s="48"/>
    </row>
    <row r="44" ht="40" customHeight="1">
      <c r="B44" s="41"/>
      <c r="C44" t="s" s="113">
        <v>448</v>
      </c>
      <c r="D44" s="113"/>
      <c r="E44" t="s" s="114">
        <v>536</v>
      </c>
      <c r="F44" t="s" s="114">
        <v>537</v>
      </c>
      <c r="G44" s="114"/>
      <c r="H44" t="s" s="115">
        <v>487</v>
      </c>
      <c r="I44" t="s" s="115">
        <v>60</v>
      </c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</row>
    <row r="45">
      <c r="B45" s="41"/>
      <c r="C45" s="116">
        <f>DATE(2025,1,1)</f>
        <v>45658</v>
      </c>
      <c r="D45" s="41"/>
      <c r="E45" s="117">
        <v>0.189</v>
      </c>
      <c r="F45" s="117">
        <v>0</v>
      </c>
      <c r="G45" s="118"/>
      <c r="H45" s="88"/>
      <c r="I45" s="90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</row>
    <row r="46">
      <c r="B46" s="41"/>
      <c r="C46" s="116">
        <f>DATE(2025,2,1)</f>
        <v>45689</v>
      </c>
      <c r="D46" s="41"/>
      <c r="E46" s="117">
        <v>0.197</v>
      </c>
      <c r="F46" s="117">
        <v>0</v>
      </c>
      <c r="G46" s="118"/>
      <c r="H46" s="88"/>
      <c r="I46" s="90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</row>
    <row r="47">
      <c r="B47" s="41"/>
      <c r="C47" s="116">
        <f>DATE(2025,3,1)</f>
        <v>45717</v>
      </c>
      <c r="D47" s="41"/>
      <c r="E47" s="117">
        <v>0.16</v>
      </c>
      <c r="F47" s="117">
        <v>0</v>
      </c>
      <c r="G47" s="118"/>
      <c r="H47" s="88"/>
      <c r="I47" s="90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</row>
    <row r="48">
      <c r="B48" s="41"/>
      <c r="C48" s="116">
        <f>DATE(2025,4,1)</f>
        <v>45748</v>
      </c>
      <c r="D48" s="41"/>
      <c r="E48" s="117">
        <v>0.076</v>
      </c>
      <c r="F48" s="117">
        <v>0</v>
      </c>
      <c r="G48" s="118"/>
      <c r="H48" s="88"/>
      <c r="I48" s="90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</row>
    <row r="49">
      <c r="B49" s="41"/>
      <c r="C49" s="116">
        <f>DATE(2025,5,1)</f>
        <v>45778</v>
      </c>
      <c r="D49" s="41"/>
      <c r="E49" s="117">
        <v>0.059</v>
      </c>
      <c r="F49" s="117">
        <v>1.2</v>
      </c>
      <c r="G49" s="118"/>
      <c r="H49" s="88"/>
      <c r="I49" s="90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</row>
    <row r="50">
      <c r="B50" s="41"/>
      <c r="C50" s="116">
        <f>DATE(2025,6,1)</f>
        <v>45809</v>
      </c>
      <c r="D50" s="41"/>
      <c r="E50" s="117">
        <v>0.064</v>
      </c>
      <c r="F50" s="117">
        <v>0.96</v>
      </c>
      <c r="G50" s="118"/>
      <c r="H50" s="88"/>
      <c r="I50" s="90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</row>
    <row r="51">
      <c r="B51" s="41"/>
      <c r="C51" s="116">
        <f>DATE(2025,7,1)</f>
        <v>45839</v>
      </c>
      <c r="D51" s="41"/>
      <c r="E51" s="117">
        <v>0.067</v>
      </c>
      <c r="F51" s="117">
        <v>0</v>
      </c>
      <c r="G51" s="118"/>
      <c r="H51" s="88"/>
      <c r="I51" s="90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</row>
    <row r="52">
      <c r="B52" s="41"/>
      <c r="C52" s="116">
        <f>DATE(2025,8,1)</f>
        <v>45870</v>
      </c>
      <c r="D52" s="41"/>
      <c r="E52" s="117">
        <v>0.067</v>
      </c>
      <c r="F52" s="117">
        <v>0</v>
      </c>
      <c r="G52" s="118"/>
      <c r="H52" s="88"/>
      <c r="I52" s="90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</row>
    <row r="53">
      <c r="B53" s="41"/>
      <c r="C53" s="116">
        <f>DATE(2025,9,1)</f>
        <v>45901</v>
      </c>
      <c r="D53" s="41"/>
      <c r="E53" s="117">
        <v>0.09</v>
      </c>
      <c r="F53" s="117">
        <v>0.72</v>
      </c>
      <c r="G53" s="118"/>
      <c r="H53" s="88"/>
      <c r="I53" s="90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</row>
    <row r="54">
      <c r="B54" s="41"/>
      <c r="C54" s="116">
        <f>DATE(2025,10,1)</f>
        <v>45931</v>
      </c>
      <c r="D54" s="41"/>
      <c r="E54" s="117">
        <v>0.118</v>
      </c>
      <c r="F54" s="117">
        <v>0</v>
      </c>
      <c r="G54" s="118"/>
      <c r="H54" s="88"/>
      <c r="I54" s="90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</row>
    <row r="55">
      <c r="B55" s="41"/>
      <c r="C55" s="116">
        <f>DATE(2025,11,1)</f>
        <v>45962</v>
      </c>
      <c r="D55" s="41"/>
      <c r="E55" s="117">
        <v>0.124</v>
      </c>
      <c r="F55" s="117">
        <v>0.72</v>
      </c>
      <c r="G55" s="118"/>
      <c r="H55" s="88"/>
      <c r="I55" s="90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</row>
    <row r="56">
      <c r="B56" s="41"/>
      <c r="C56" s="116">
        <f>DATE(2025,12,1)</f>
        <v>45992</v>
      </c>
      <c r="D56" s="41"/>
      <c r="E56" s="117">
        <v>0.249</v>
      </c>
      <c r="F56" s="117">
        <v>1.2</v>
      </c>
      <c r="G56" s="118"/>
      <c r="H56" s="88"/>
      <c r="I56" s="90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</row>
    <row r="57" ht="27" customHeight="1">
      <c r="B57" s="41"/>
      <c r="C57" t="s" s="119">
        <v>461</v>
      </c>
      <c r="D57" s="120"/>
      <c r="E57" s="121">
        <f>SUM(E45:E56)</f>
        <v>1.46</v>
      </c>
      <c r="F57" s="121">
        <f>SUM(F45:F56)</f>
        <v>4.8</v>
      </c>
      <c r="G57" s="121"/>
      <c r="H57" t="s" s="88">
        <v>488</v>
      </c>
      <c r="I57" t="s" s="90">
        <v>500</v>
      </c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</row>
    <row r="58">
      <c r="B58" s="41"/>
      <c r="C58" t="s" s="51">
        <v>462</v>
      </c>
      <c r="D58" s="41"/>
      <c r="E58" s="117">
        <v>0.508</v>
      </c>
      <c r="F58" s="117">
        <v>1.7</v>
      </c>
      <c r="G58" s="118"/>
      <c r="H58" s="88"/>
      <c r="I58" t="s" s="90">
        <v>501</v>
      </c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</row>
    <row r="59">
      <c r="B59" s="41"/>
      <c r="C59" s="51"/>
      <c r="D59" s="41"/>
      <c r="E59" s="118"/>
      <c r="F59" s="118"/>
      <c r="G59" s="118"/>
      <c r="H59" s="88"/>
      <c r="I59" s="9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</row>
    <row r="60" ht="27" customHeight="1">
      <c r="B60" s="41"/>
      <c r="C60" t="s" s="51">
        <v>463</v>
      </c>
      <c r="D60" s="41"/>
      <c r="E60" s="118">
        <f>AVERAGE(E45:E47)</f>
        <v>0.18200000000000002</v>
      </c>
      <c r="F60" s="118"/>
      <c r="G60" s="118"/>
      <c r="H60" t="s" s="88">
        <v>489</v>
      </c>
      <c r="I60" t="s" s="90">
        <v>502</v>
      </c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</row>
    <row r="61" ht="27" customHeight="1">
      <c r="B61" s="41"/>
      <c r="C61" t="s" s="51">
        <v>464</v>
      </c>
      <c r="D61" s="41"/>
      <c r="E61" s="118">
        <f>E58/ROWS(E45:E47)</f>
        <v>0.16933333333333334</v>
      </c>
      <c r="F61" s="118"/>
      <c r="G61" s="118"/>
      <c r="H61" s="88"/>
      <c r="I61" s="90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</row>
    <row r="62" ht="27" customHeight="1">
      <c r="B62" s="41"/>
      <c r="C62" t="s" s="51">
        <v>465</v>
      </c>
      <c r="D62" s="41"/>
      <c r="E62" s="118">
        <f>AVERAGE(E48,E54)</f>
        <v>0.097</v>
      </c>
      <c r="F62" s="118"/>
      <c r="G62" s="118"/>
      <c r="H62" t="s" s="88">
        <v>490</v>
      </c>
      <c r="I62" s="90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</row>
    <row r="63" ht="27" customHeight="1">
      <c r="B63" s="41"/>
      <c r="C63" t="s" s="51">
        <v>466</v>
      </c>
      <c r="D63" s="41"/>
      <c r="E63" s="118">
        <f>AVERAGE(E49:E53)</f>
        <v>0.06939999999999999</v>
      </c>
      <c r="F63" s="118"/>
      <c r="G63" s="118"/>
      <c r="H63" s="88"/>
      <c r="I63" s="90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</row>
    <row r="64" ht="27" customHeight="1">
      <c r="B64" s="41"/>
      <c r="C64" t="s" s="51">
        <v>467</v>
      </c>
      <c r="D64" s="41"/>
      <c r="E64" s="118">
        <f>AVERAGE(E55:E56)</f>
        <v>0.1865</v>
      </c>
      <c r="F64" s="118"/>
      <c r="G64" s="118"/>
      <c r="H64" t="s" s="88">
        <v>491</v>
      </c>
      <c r="I64" s="90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</row>
    <row r="65" ht="27" customHeight="1">
      <c r="B65" s="41"/>
      <c r="C65" t="s" s="51">
        <v>468</v>
      </c>
      <c r="D65" s="41"/>
      <c r="E65" s="118">
        <f>E62*ROWS(E49:E53)-SUM(E49:E53)</f>
        <v>0.138</v>
      </c>
      <c r="F65" s="118"/>
      <c r="G65" s="118"/>
      <c r="H65" t="s" s="88">
        <v>492</v>
      </c>
      <c r="I65" s="90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</row>
    <row r="66">
      <c r="B66" s="41"/>
      <c r="C66" t="s" s="51">
        <v>469</v>
      </c>
      <c r="D66" s="41"/>
      <c r="E66" s="117">
        <v>1.6</v>
      </c>
      <c r="F66" s="118"/>
      <c r="G66" s="118"/>
      <c r="H66" s="88"/>
      <c r="I66" t="s" s="90">
        <v>503</v>
      </c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</row>
    <row r="67">
      <c r="B67" s="41"/>
      <c r="C67" t="s" s="51">
        <v>470</v>
      </c>
      <c r="D67" s="41"/>
      <c r="E67" s="118">
        <f>E66-E57</f>
        <v>0.14000000000000012</v>
      </c>
      <c r="F67" s="118"/>
      <c r="G67" s="118"/>
      <c r="H67" s="88"/>
      <c r="I67" s="90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</row>
    <row r="68" ht="40" customHeight="1">
      <c r="B68" s="41"/>
      <c r="C68" t="s" s="51">
        <v>471</v>
      </c>
      <c r="D68" s="41"/>
      <c r="E68" s="118">
        <f>E60*ROWS(E49:E53)-SUM(E49:E53)</f>
        <v>0.5630000000000002</v>
      </c>
      <c r="F68" s="118"/>
      <c r="G68" s="118"/>
      <c r="H68" t="s" s="88">
        <v>493</v>
      </c>
      <c r="I68" s="90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>
      <c r="B69" s="41"/>
      <c r="C69" s="51"/>
      <c r="D69" s="41"/>
      <c r="E69" s="118"/>
      <c r="F69" s="118"/>
      <c r="G69" s="118"/>
      <c r="H69" s="88"/>
      <c r="I69" s="90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>
      <c r="B70" s="41"/>
      <c r="C70" t="s" s="119">
        <v>472</v>
      </c>
      <c r="D70" s="120"/>
      <c r="E70" s="121">
        <f>SUM(F49:F53)</f>
        <v>2.88</v>
      </c>
      <c r="F70" s="121"/>
      <c r="G70" s="121"/>
      <c r="H70" s="88"/>
      <c r="I70" s="90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ht="27" customHeight="1">
      <c r="B71" s="41"/>
      <c r="C71" t="s" s="51">
        <v>473</v>
      </c>
      <c r="D71" s="41"/>
      <c r="E71" s="118">
        <f>E65</f>
        <v>0.138</v>
      </c>
      <c r="F71" s="118"/>
      <c r="G71" s="118"/>
      <c r="H71" s="88"/>
      <c r="I71" s="90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</row>
    <row r="72" ht="40" customHeight="1">
      <c r="B72" s="41"/>
      <c r="C72" t="s" s="51">
        <v>474</v>
      </c>
      <c r="D72" s="41"/>
      <c r="E72" s="118">
        <f>E70-E71</f>
        <v>2.742</v>
      </c>
      <c r="F72" s="118"/>
      <c r="G72" s="118"/>
      <c r="H72" t="s" s="88">
        <v>494</v>
      </c>
      <c r="I72" t="s" s="90">
        <v>504</v>
      </c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</row>
    <row r="73" ht="40" customHeight="1">
      <c r="B73" s="41"/>
      <c r="C73" t="s" s="51">
        <v>475</v>
      </c>
      <c r="D73" s="41"/>
      <c r="E73" s="118">
        <f>SUM(F49:F50)</f>
        <v>2.16</v>
      </c>
      <c r="F73" s="118"/>
      <c r="G73" s="118"/>
      <c r="H73" t="s" s="88">
        <v>495</v>
      </c>
      <c r="I73" t="s" s="90">
        <v>505</v>
      </c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</row>
    <row r="74" ht="40" customHeight="1">
      <c r="B74" s="41"/>
      <c r="C74" t="s" s="51">
        <v>476</v>
      </c>
      <c r="D74" s="41"/>
      <c r="E74" s="118">
        <f>F53</f>
        <v>0.72</v>
      </c>
      <c r="F74" s="118"/>
      <c r="G74" s="118"/>
      <c r="H74" t="s" s="88">
        <v>496</v>
      </c>
      <c r="I74" t="s" s="90">
        <v>506</v>
      </c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</row>
    <row r="75" ht="27" customHeight="1">
      <c r="B75" s="41"/>
      <c r="C75" t="s" s="53">
        <v>477</v>
      </c>
      <c r="D75" s="43"/>
      <c r="E75" s="122">
        <f>E70</f>
        <v>2.88</v>
      </c>
      <c r="F75" s="122">
        <f>E8</f>
        <v>2.88</v>
      </c>
      <c r="G75" s="122">
        <f>ROUND(E75-F75,6)</f>
        <v>0</v>
      </c>
      <c r="H75" s="88"/>
      <c r="I75" s="90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</row>
    <row r="76" ht="27" customHeight="1">
      <c r="B76" s="41"/>
      <c r="C76" t="s" s="53">
        <v>478</v>
      </c>
      <c r="D76" s="43"/>
      <c r="E76" s="122">
        <f>F57</f>
        <v>4.8</v>
      </c>
      <c r="F76" s="122">
        <f>E7</f>
        <v>4.8</v>
      </c>
      <c r="G76" s="122">
        <f>ROUND(E76-F76,6)</f>
        <v>0</v>
      </c>
      <c r="H76" s="88"/>
      <c r="I76" s="90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</row>
    <row r="77">
      <c r="B77" s="41"/>
      <c r="C77" s="51"/>
      <c r="D77" s="41"/>
      <c r="E77" s="41"/>
      <c r="F77" s="41"/>
      <c r="G77" s="41"/>
      <c r="H77" s="88"/>
      <c r="I77" s="90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</row>
    <row r="78" ht="28" customHeight="1">
      <c r="B78" s="41"/>
      <c r="C78" t="s" s="113">
        <v>479</v>
      </c>
      <c r="D78" s="113"/>
      <c r="E78" t="s" s="114">
        <v>196</v>
      </c>
      <c r="F78" t="s" s="114">
        <v>197</v>
      </c>
      <c r="G78" t="s" s="114">
        <v>145</v>
      </c>
      <c r="H78" s="115"/>
      <c r="I78" s="123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</row>
    <row r="79">
      <c r="B79" s="41"/>
      <c r="C79" t="s" s="51">
        <v>480</v>
      </c>
      <c r="D79" s="41"/>
      <c r="E79" s="42">
        <f>'Seller Bridge'!C15</f>
        <v>2.9</v>
      </c>
      <c r="F79" s="42">
        <f>'Seller Bridge'!D15</f>
        <v>1.6</v>
      </c>
      <c r="G79" s="42">
        <f>'Seller Bridge'!E15</f>
        <v>4.8</v>
      </c>
      <c r="H79" s="88"/>
      <c r="I79" t="s" s="90">
        <v>341</v>
      </c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</row>
    <row r="80" ht="27" customHeight="1">
      <c r="B80" s="41"/>
      <c r="C80" t="s" s="51">
        <v>481</v>
      </c>
      <c r="D80" s="41"/>
      <c r="E80" s="82">
        <v>1.2</v>
      </c>
      <c r="F80" s="82">
        <v>1.5</v>
      </c>
      <c r="G80" s="82">
        <v>2</v>
      </c>
      <c r="H80" s="88"/>
      <c r="I80" t="s" s="90">
        <v>507</v>
      </c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</row>
    <row r="81" ht="40" customHeight="1">
      <c r="B81" s="41"/>
      <c r="C81" t="s" s="51">
        <v>482</v>
      </c>
      <c r="D81" s="41"/>
      <c r="E81" s="83">
        <v>0</v>
      </c>
      <c r="F81" s="83">
        <v>0</v>
      </c>
      <c r="G81" s="42"/>
      <c r="H81" t="s" s="88">
        <v>497</v>
      </c>
      <c r="I81" t="s" s="90">
        <v>508</v>
      </c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</row>
    <row r="82" ht="40" customHeight="1">
      <c r="B82" s="41"/>
      <c r="C82" t="s" s="51">
        <v>483</v>
      </c>
      <c r="D82" s="41"/>
      <c r="E82" s="42"/>
      <c r="F82" s="42"/>
      <c r="G82" s="42"/>
      <c r="H82" t="s" s="88">
        <v>498</v>
      </c>
      <c r="I82" t="s" s="90">
        <v>509</v>
      </c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</row>
    <row r="83" ht="27" customHeight="1">
      <c r="B83" s="41"/>
      <c r="C83" t="s" s="119">
        <v>484</v>
      </c>
      <c r="D83" s="120"/>
      <c r="E83" s="124">
        <f>E79-E81</f>
        <v>2.9</v>
      </c>
      <c r="F83" s="124">
        <f>F79-F81</f>
        <v>1.6</v>
      </c>
      <c r="G83" s="124"/>
      <c r="H83" t="s" s="88">
        <v>499</v>
      </c>
      <c r="I83" s="90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</row>
    <row r="84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</row>
    <row r="85">
      <c r="B85" s="41"/>
      <c r="C85" t="s" s="125">
        <v>522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</row>
    <row r="86" ht="27" customHeight="1">
      <c r="B86" s="41"/>
      <c r="C86" t="s" s="51">
        <v>523</v>
      </c>
      <c r="D86" s="41"/>
      <c r="E86" s="126">
        <v>4</v>
      </c>
      <c r="F86" s="126">
        <v>2</v>
      </c>
      <c r="G86" s="41"/>
      <c r="H86" s="41"/>
      <c r="I86" t="s" s="127">
        <v>526</v>
      </c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</row>
    <row r="87" ht="27" customHeight="1">
      <c r="B87" s="41"/>
      <c r="C87" t="s" s="51">
        <v>524</v>
      </c>
      <c r="D87" s="41"/>
      <c r="E87" s="117">
        <v>2.8</v>
      </c>
      <c r="F87" s="117">
        <v>1.16</v>
      </c>
      <c r="G87" s="118">
        <f>E87-F87</f>
        <v>1.64</v>
      </c>
      <c r="H87" s="41"/>
      <c r="I87" t="s" s="127">
        <v>527</v>
      </c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</row>
    <row r="88" ht="27" customHeight="1">
      <c r="B88" s="41"/>
      <c r="C88" t="s" s="51">
        <v>525</v>
      </c>
      <c r="D88" s="41"/>
      <c r="E88" s="117">
        <v>1.503</v>
      </c>
      <c r="F88" s="117">
        <v>1.065</v>
      </c>
      <c r="G88" s="118">
        <f>E88-F88</f>
        <v>0.43799999999999994</v>
      </c>
      <c r="H88" s="41"/>
      <c r="I88" t="s" s="127">
        <v>528</v>
      </c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</row>
  </sheetData>
  <mergeCells count="1">
    <mergeCell ref="B3:I3"/>
  </mergeCells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1"/>
  <sheetViews>
    <sheetView showGridLines="0" workbookViewId="0">
      <selection activeCell="A1" sqref="A1"/>
    </sheetView>
  </sheetViews>
  <cols>
    <col min="1" max="1" width="2.21875" customWidth="1"/>
    <col min="2" max="2" width="68.50390625" customWidth="1"/>
    <col min="3" max="6" width="13.21875" customWidth="1"/>
    <col min="7" max="7" width="28.50390625" customWidth="1"/>
  </cols>
  <sheetData>
    <row r="2">
      <c r="B2" t="s" s="2">
        <v>202</v>
      </c>
    </row>
    <row r="3">
      <c r="B3" t="s" s="4">
        <v>203</v>
      </c>
    </row>
    <row r="5">
      <c r="B5" t="s" s="5">
        <v>7</v>
      </c>
      <c r="C5" s="6">
        <v>45291</v>
      </c>
      <c r="D5" s="6">
        <v>45657</v>
      </c>
      <c r="E5" s="6">
        <v>46022</v>
      </c>
      <c r="F5" s="8">
        <v>46112</v>
      </c>
      <c r="G5" t="s" s="5">
        <v>86</v>
      </c>
    </row>
    <row r="6">
      <c r="B6" t="s" s="9">
        <v>204</v>
      </c>
      <c r="C6" s="9"/>
      <c r="D6" s="9"/>
      <c r="E6" s="9"/>
      <c r="F6" s="9"/>
      <c r="G6" s="25"/>
    </row>
    <row r="7">
      <c r="B7" t="s">
        <v>9</v>
      </c>
      <c r="C7" s="10">
        <f>'Seller Bridge'!C7</f>
        <v>268</v>
      </c>
      <c r="D7" s="10">
        <f>'Seller Bridge'!D7</f>
        <v>332</v>
      </c>
      <c r="E7" s="10">
        <f>'Seller Bridge'!E7</f>
        <v>412</v>
      </c>
      <c r="F7" s="10">
        <f>'Seller Bridge'!H7</f>
        <v>430.8</v>
      </c>
      <c r="G7" t="s" s="26">
        <v>234</v>
      </c>
    </row>
    <row r="8">
      <c r="B8" t="s" s="15">
        <v>13</v>
      </c>
      <c r="C8" s="16">
        <f>'Seller Bridge'!C11</f>
        <v>133.3</v>
      </c>
      <c r="D8" s="16">
        <f>'Seller Bridge'!D11</f>
        <v>174.2</v>
      </c>
      <c r="E8" s="16">
        <f>'Seller Bridge'!E11</f>
        <v>219.10000000000002</v>
      </c>
      <c r="F8" s="16">
        <f>'Seller Bridge'!H11</f>
        <v>229.50000000000003</v>
      </c>
      <c r="G8" t="s" s="27">
        <v>235</v>
      </c>
    </row>
    <row r="9">
      <c r="B9" t="s" s="21">
        <v>517</v>
      </c>
      <c r="C9" s="10">
        <f>'Add-Back Tests'!Q7</f>
        <v>0</v>
      </c>
      <c r="D9" s="10">
        <f>'Add-Back Tests'!S7</f>
        <v>0</v>
      </c>
      <c r="E9" s="10">
        <f>'Add-Back Tests'!F7</f>
        <v>1.92</v>
      </c>
      <c r="F9" s="10">
        <f>'Add-Back Tests'!O7</f>
        <v>3.62</v>
      </c>
      <c r="G9" t="s" s="26">
        <v>236</v>
      </c>
    </row>
    <row r="10">
      <c r="B10" t="s" s="21">
        <v>206</v>
      </c>
      <c r="C10" s="10">
        <f>'Add-Back Tests'!Q10</f>
        <v>0</v>
      </c>
      <c r="D10" s="10">
        <f>'Add-Back Tests'!S10</f>
        <v>0</v>
      </c>
      <c r="E10" s="10">
        <f>'Add-Back Tests'!F10</f>
        <v>1.1</v>
      </c>
      <c r="F10" s="10">
        <f>'Add-Back Tests'!O10</f>
        <v>1.1</v>
      </c>
      <c r="G10" t="s" s="26">
        <v>237</v>
      </c>
    </row>
    <row r="11">
      <c r="B11" t="s" s="21">
        <v>207</v>
      </c>
      <c r="C11" s="10">
        <f>'Add-Back Tests'!Q11</f>
        <v>0</v>
      </c>
      <c r="D11" s="10">
        <f>'Add-Back Tests'!S11</f>
        <v>0</v>
      </c>
      <c r="E11" s="10">
        <f>'Add-Back Tests'!F11</f>
        <v>0</v>
      </c>
      <c r="F11" s="10">
        <f>'Add-Back Tests'!O11</f>
        <v>0</v>
      </c>
      <c r="G11" t="s" s="26">
        <v>238</v>
      </c>
    </row>
    <row r="12">
      <c r="B12" t="s" s="21">
        <v>19</v>
      </c>
      <c r="C12" s="10">
        <f>'Add-Back Tests'!Q12</f>
        <v>0</v>
      </c>
      <c r="D12" s="10">
        <f>'Add-Back Tests'!S12</f>
        <v>0</v>
      </c>
      <c r="E12" s="10">
        <f>'Add-Back Tests'!F12</f>
        <v>-1</v>
      </c>
      <c r="F12" s="10">
        <f>'Add-Back Tests'!O12</f>
        <v>-1.1</v>
      </c>
      <c r="G12" t="s" s="26">
        <v>239</v>
      </c>
    </row>
    <row r="13">
      <c r="B13" t="s" s="21">
        <v>208</v>
      </c>
      <c r="C13" s="10">
        <f>'Add-Back Tests'!Q13</f>
        <v>0</v>
      </c>
      <c r="D13" s="10">
        <f>'Add-Back Tests'!S13</f>
        <v>0</v>
      </c>
      <c r="E13" s="10">
        <f>'Add-Back Tests'!F13</f>
        <v>-0.6</v>
      </c>
      <c r="F13" s="10">
        <f>'Add-Back Tests'!O13</f>
        <v>-0.6</v>
      </c>
      <c r="G13" t="s" s="26">
        <v>240</v>
      </c>
    </row>
    <row r="14">
      <c r="B14" t="s" s="21">
        <v>209</v>
      </c>
      <c r="C14" s="10">
        <f>'Add-Back Tests'!Q14</f>
        <v>0</v>
      </c>
      <c r="D14" s="10">
        <f>'Add-Back Tests'!S14</f>
        <v>0</v>
      </c>
      <c r="E14" s="10">
        <f>'Add-Back Tests'!F14</f>
        <v>0</v>
      </c>
      <c r="F14" s="10">
        <f>'Add-Back Tests'!O14</f>
        <v>-0.4</v>
      </c>
      <c r="G14" t="s" s="26">
        <v>241</v>
      </c>
    </row>
    <row r="15">
      <c r="B15" t="s" s="21">
        <v>210</v>
      </c>
      <c r="C15" s="10">
        <f>'Add-Back Tests'!Q18</f>
        <v>0</v>
      </c>
      <c r="D15" s="10">
        <f>'Add-Back Tests'!S18</f>
        <v>0</v>
      </c>
      <c r="E15" s="10">
        <f>'Add-Back Tests'!F18</f>
        <v>-3.24</v>
      </c>
      <c r="F15" s="10">
        <f>'Add-Back Tests'!O18</f>
        <v>-3.3040000000000003</v>
      </c>
      <c r="G15" t="s" s="26">
        <v>242</v>
      </c>
    </row>
    <row r="16">
      <c r="B16" t="s" s="21">
        <v>211</v>
      </c>
      <c r="C16" s="10">
        <f>'Add-Back Tests'!Q19</f>
        <v>0</v>
      </c>
      <c r="D16" s="10">
        <f>'Add-Back Tests'!S19</f>
        <v>0</v>
      </c>
      <c r="E16" s="10">
        <f>'Add-Back Tests'!F19</f>
        <v>-2.2</v>
      </c>
      <c r="F16" s="10">
        <f>'Add-Back Tests'!O19</f>
        <v>-2.1660000000000004</v>
      </c>
      <c r="G16" t="s" s="26">
        <v>243</v>
      </c>
    </row>
    <row r="17">
      <c r="B17" t="s" s="17">
        <v>212</v>
      </c>
      <c r="C17" s="18">
        <f>SUM(C9:C16)</f>
        <v>0</v>
      </c>
      <c r="D17" s="18">
        <f>SUM(D9:D16)</f>
        <v>0</v>
      </c>
      <c r="E17" s="18">
        <f>SUM(E9:E16)</f>
        <v>-4.0200000000000005</v>
      </c>
      <c r="F17" s="18">
        <f>SUM(F9:F16)</f>
        <v>-2.85</v>
      </c>
      <c r="G17" s="28"/>
    </row>
    <row r="18">
      <c r="B18" t="s" s="19">
        <v>213</v>
      </c>
      <c r="C18" s="20">
        <f>C8+C17</f>
        <v>133.3</v>
      </c>
      <c r="D18" s="20">
        <f>D8+D17</f>
        <v>174.2</v>
      </c>
      <c r="E18" s="20">
        <f>E8+E17</f>
        <v>215.08</v>
      </c>
      <c r="F18" s="20">
        <f>F8+F17</f>
        <v>226.65000000000003</v>
      </c>
      <c r="G18" s="29"/>
    </row>
    <row r="19">
      <c r="B19" t="s" s="3">
        <v>214</v>
      </c>
      <c r="C19" s="13">
        <f>C18/C7</f>
        <v>0.4973880597014926</v>
      </c>
      <c r="D19" s="13">
        <f>D18/D7</f>
        <v>0.5246987951807228</v>
      </c>
      <c r="E19" s="13">
        <f>E18/E7</f>
        <v>0.5220388349514563</v>
      </c>
      <c r="F19" s="13">
        <f>F18/F7</f>
        <v>0.5261142061281338</v>
      </c>
      <c r="G19" s="26"/>
    </row>
    <row r="20">
      <c r="C20" s="10"/>
      <c r="D20" s="10"/>
      <c r="E20" s="10"/>
      <c r="F20" s="10"/>
      <c r="G20" s="26"/>
    </row>
    <row r="21">
      <c r="B21" t="s" s="9">
        <v>215</v>
      </c>
      <c r="C21" s="11"/>
      <c r="D21" s="11"/>
      <c r="E21" s="11"/>
      <c r="F21" s="11"/>
      <c r="G21" s="25"/>
    </row>
    <row r="22">
      <c r="B22" t="s" s="21">
        <v>216</v>
      </c>
      <c r="C22" s="10">
        <f>'Add-Back Tests'!Q37</f>
        <v>-6.1</v>
      </c>
      <c r="D22" s="10">
        <f>'Add-Back Tests'!S37</f>
        <v>-7.2</v>
      </c>
      <c r="E22" s="10">
        <f>'Add-Back Tests'!F37</f>
        <v>-8.4</v>
      </c>
      <c r="F22" s="10">
        <f>'Add-Back Tests'!O37</f>
        <v>-8.500000000000002</v>
      </c>
      <c r="G22" t="s" s="26">
        <v>244</v>
      </c>
    </row>
    <row r="23">
      <c r="B23" t="s" s="21">
        <v>217</v>
      </c>
      <c r="C23" s="10">
        <f>'Add-Back Tests'!Q38</f>
        <v>0</v>
      </c>
      <c r="D23" s="10">
        <f>'Add-Back Tests'!S38</f>
        <v>0</v>
      </c>
      <c r="E23" s="10">
        <f>'Add-Back Tests'!F38</f>
        <v>0</v>
      </c>
      <c r="F23" s="10">
        <f>'Add-Back Tests'!O38</f>
        <v>0</v>
      </c>
      <c r="G23" t="s" s="26">
        <v>245</v>
      </c>
    </row>
    <row r="24">
      <c r="B24" t="s" s="15">
        <v>218</v>
      </c>
      <c r="C24" s="16">
        <f>C18+C22+C23</f>
        <v>127.20000000000002</v>
      </c>
      <c r="D24" s="16">
        <f>D18+D22+D23</f>
        <v>167</v>
      </c>
      <c r="E24" s="16">
        <f>E18+E22+E23</f>
        <v>206.68</v>
      </c>
      <c r="F24" s="16">
        <f>F18+F22+F23</f>
        <v>218.15000000000003</v>
      </c>
      <c r="G24" s="27"/>
    </row>
    <row r="25">
      <c r="B25" t="s" s="3">
        <v>219</v>
      </c>
      <c r="C25" s="13">
        <f>C24/C7</f>
        <v>0.47462686567164186</v>
      </c>
      <c r="D25" s="13">
        <f>D24/D7</f>
        <v>0.5030120481927711</v>
      </c>
      <c r="E25" s="13">
        <f>E24/E7</f>
        <v>0.5016504854368932</v>
      </c>
      <c r="F25" s="13">
        <f>F24/F7</f>
        <v>0.5063834726090994</v>
      </c>
      <c r="G25" s="26"/>
    </row>
    <row r="26">
      <c r="C26" s="10"/>
      <c r="D26" s="10"/>
      <c r="E26" s="10"/>
      <c r="F26" s="10"/>
      <c r="G26" s="26"/>
    </row>
    <row r="27">
      <c r="B27" t="s" s="9">
        <v>220</v>
      </c>
      <c r="C27" s="11"/>
      <c r="D27" s="11"/>
      <c r="E27" s="11"/>
      <c r="F27" s="11"/>
      <c r="G27" s="25"/>
    </row>
    <row r="28">
      <c r="B28" t="s" s="15">
        <v>221</v>
      </c>
      <c r="C28" s="16">
        <f>'Seller Bridge'!C23</f>
        <v>139</v>
      </c>
      <c r="D28" s="16">
        <f>'Seller Bridge'!D23</f>
        <v>178</v>
      </c>
      <c r="E28" s="16">
        <f>'Seller Bridge'!E23</f>
        <v>224</v>
      </c>
      <c r="F28" s="16">
        <f>'Seller Bridge'!H23</f>
        <v>235.6</v>
      </c>
      <c r="G28" t="s" s="27">
        <v>246</v>
      </c>
    </row>
    <row r="29">
      <c r="B29" t="s" s="21">
        <v>222</v>
      </c>
      <c r="C29" s="10">
        <f>ROUND(C18-C28,6)</f>
        <v>-5.7</v>
      </c>
      <c r="D29" s="10">
        <f>ROUND(D18-D28,6)</f>
        <v>-3.8</v>
      </c>
      <c r="E29" s="10">
        <f>ROUND(E18-E28,6)</f>
        <v>-8.92</v>
      </c>
      <c r="F29" s="10">
        <f>ROUND(F18-F28,6)</f>
        <v>-8.95</v>
      </c>
      <c r="G29" s="26"/>
    </row>
    <row r="30">
      <c r="B30" t="s" s="3">
        <v>223</v>
      </c>
      <c r="C30" s="13">
        <f>C29/C28</f>
        <v>-0.04100719424460432</v>
      </c>
      <c r="D30" s="13">
        <f>D29/D28</f>
        <v>-0.02134831460674157</v>
      </c>
      <c r="E30" s="13">
        <f>E29/E28</f>
        <v>-0.03982142857142857</v>
      </c>
      <c r="F30" s="13">
        <f>F29/F28</f>
        <v>-0.03798811544991511</v>
      </c>
      <c r="G30" s="26"/>
    </row>
    <row r="32">
      <c r="B32" t="s" s="9">
        <v>224</v>
      </c>
      <c r="C32" s="9"/>
      <c r="D32" s="9"/>
      <c r="E32" s="9"/>
      <c r="F32" s="9"/>
      <c r="G32" s="9"/>
    </row>
    <row r="33">
      <c r="C33" t="s" s="86">
        <v>231</v>
      </c>
      <c r="D33" t="s" s="86">
        <v>232</v>
      </c>
      <c r="E33" t="s" s="86">
        <v>233</v>
      </c>
    </row>
    <row r="34">
      <c r="B34" t="s">
        <v>225</v>
      </c>
      <c r="C34" s="12">
        <f>D28/C28-1</f>
        <v>0.28057553956834536</v>
      </c>
      <c r="D34" s="12">
        <f>E28/D28-1</f>
        <v>0.2584269662921348</v>
      </c>
      <c r="E34" s="12">
        <f>(E28/C28)^(1/2)-1</f>
        <v>0.2694529496467786</v>
      </c>
    </row>
    <row r="35">
      <c r="B35" t="s" s="1">
        <v>226</v>
      </c>
      <c r="C35" s="87">
        <f>D18/C18-1</f>
        <v>0.306826706676669</v>
      </c>
      <c r="D35" s="87">
        <f>E18/D18-1</f>
        <v>0.23467278989667073</v>
      </c>
      <c r="E35" s="87">
        <f>(E18/C18)^(1/2)-1</f>
        <v>0.2702375273325699</v>
      </c>
    </row>
    <row r="36">
      <c r="B36" t="s" s="40">
        <v>227</v>
      </c>
      <c r="C36" s="13">
        <f>C35-C34</f>
        <v>0.026251167108323648</v>
      </c>
      <c r="D36" s="13">
        <f>D35-D34</f>
        <v>-0.023754176395464066</v>
      </c>
      <c r="E36" s="13">
        <f>E35-E34</f>
        <v>0.0007845776857913211</v>
      </c>
    </row>
    <row r="37">
      <c r="B37" t="s">
        <v>228</v>
      </c>
      <c r="C37" s="12">
        <f>(D18-D15-D16)/(C18-C15-C16)-1</f>
        <v>0.306826706676669</v>
      </c>
      <c r="D37" s="12">
        <f>(E18-E15-E16)/(D18-D15-D16)-1</f>
        <v>0.26590126291618854</v>
      </c>
      <c r="E37" s="12">
        <f>((E18-E15-E16)/(C18-C15-C16))^(1/2)-1</f>
        <v>0.286201220025311</v>
      </c>
    </row>
    <row r="38">
      <c r="B38" t="s" s="40">
        <v>227</v>
      </c>
      <c r="C38" s="13">
        <f>C37-C34</f>
        <v>0.026251167108323648</v>
      </c>
      <c r="D38" s="13">
        <f>D37-D34</f>
        <v>0.0074742966240537445</v>
      </c>
      <c r="E38" s="13">
        <f>E37-E34</f>
        <v>0.016748270378532437</v>
      </c>
    </row>
    <row r="39">
      <c r="B39" t="s">
        <v>229</v>
      </c>
      <c r="C39" s="12">
        <f>D24/C24-1</f>
        <v>0.31289308176100605</v>
      </c>
      <c r="D39" s="12">
        <f>E24/D24-1</f>
        <v>0.23760479041916183</v>
      </c>
      <c r="E39" s="12">
        <f>(E24/C24)^(1/2)-1</f>
        <v>0.27469320516569695</v>
      </c>
    </row>
    <row r="41" ht="54" customHeight="1">
      <c r="B41" t="s" s="30">
        <v>518</v>
      </c>
    </row>
  </sheetData>
  <mergeCells count="1">
    <mergeCell ref="B41:G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showGridLines="0" workbookViewId="0">
      <selection activeCell="A1" sqref="A1"/>
    </sheetView>
  </sheetViews>
  <cols>
    <col min="1" max="1" width="2.21875" customWidth="1"/>
    <col min="2" max="2" width="43.7890625" customWidth="1"/>
    <col min="3" max="7" width="13.21875" customWidth="1"/>
    <col min="8" max="8" width="26.64453125" customWidth="1"/>
    <col min="9" max="9" width="49.50390625" customWidth="1"/>
  </cols>
  <sheetData>
    <row r="2">
      <c r="B2" t="s" s="2">
        <v>399</v>
      </c>
    </row>
    <row r="3">
      <c r="B3" t="s" s="4">
        <v>400</v>
      </c>
    </row>
    <row r="5">
      <c r="B5" t="s" s="36">
        <v>0</v>
      </c>
      <c r="C5" t="s" s="37">
        <v>145</v>
      </c>
      <c r="D5" t="s" s="38">
        <v>413</v>
      </c>
      <c r="E5" t="s" s="37">
        <v>412</v>
      </c>
      <c r="F5" t="s" s="37">
        <v>415</v>
      </c>
      <c r="G5" t="s" s="37">
        <v>416</v>
      </c>
      <c r="H5" t="s" s="36">
        <v>86</v>
      </c>
      <c r="I5" t="s" s="5">
        <v>446</v>
      </c>
    </row>
    <row r="6">
      <c r="B6" t="s" s="15">
        <v>291</v>
      </c>
      <c r="C6" s="16">
        <f>'Seller Bridge'!E11</f>
        <v>219.10000000000002</v>
      </c>
      <c r="D6" t="s" s="106">
        <v>414</v>
      </c>
      <c r="E6" s="16">
        <f>C6</f>
        <v>219.10000000000002</v>
      </c>
      <c r="F6" s="16">
        <f>C6</f>
        <v>219.10000000000002</v>
      </c>
      <c r="G6" t="str" s="107">
        <f>TEXT(C6,"0.0")</f>
        <v>219.1</v>
      </c>
      <c r="H6" t="s" s="27">
        <v>235</v>
      </c>
      <c r="I6" t="str">
        <f>B6&amp;" "&amp;G6</f>
        <v>Reported EBITDA 219.1</v>
      </c>
    </row>
    <row r="7">
      <c r="B7" t="s" s="21">
        <v>401</v>
      </c>
      <c r="C7" s="10">
        <f>'Seller Bridge'!E15</f>
        <v>4.8</v>
      </c>
      <c r="D7" t="s" s="104">
        <v>0</v>
      </c>
      <c r="E7" s="10">
        <f>E6+C7</f>
        <v>223.90000000000003</v>
      </c>
      <c r="F7" s="10">
        <f>C7</f>
        <v>4.8</v>
      </c>
      <c r="G7" t="str" s="105">
        <f>TEXT(C7,"0.0;(0.0)")</f>
        <v>4.8</v>
      </c>
      <c r="H7" t="s" s="26">
        <v>341</v>
      </c>
      <c r="I7" t="str">
        <f>B7&amp;" "&amp;G7</f>
        <v>Transaction &amp; process costs (seller) 4.8</v>
      </c>
    </row>
    <row r="8">
      <c r="B8" t="s" s="21">
        <v>402</v>
      </c>
      <c r="C8" s="10">
        <f>'Seller Bridge'!E16</f>
        <v>1.1</v>
      </c>
      <c r="D8" t="s" s="104">
        <v>0</v>
      </c>
      <c r="E8" s="10">
        <f>E7+C8</f>
        <v>225.00000000000003</v>
      </c>
      <c r="F8" s="10">
        <f>C8</f>
        <v>1.1</v>
      </c>
      <c r="G8" t="str" s="105">
        <f>TEXT(C8,"0.0;(0.0)")</f>
        <v>1.1</v>
      </c>
      <c r="H8" t="s" s="26">
        <v>417</v>
      </c>
      <c r="I8" t="str">
        <f>B8&amp;" "&amp;G8</f>
        <v>Storm repair: DFW I (seller) 1.1</v>
      </c>
    </row>
    <row r="9">
      <c r="B9" t="s" s="21">
        <v>403</v>
      </c>
      <c r="C9" s="10">
        <f>'Seller Bridge'!E17</f>
        <v>0.6</v>
      </c>
      <c r="D9" t="s" s="104">
        <v>0</v>
      </c>
      <c r="E9" s="10">
        <f>E8+C9</f>
        <v>225.60000000000002</v>
      </c>
      <c r="F9" s="10">
        <f>C9</f>
        <v>0.6</v>
      </c>
      <c r="G9" t="str" s="105">
        <f>TEXT(C9,"0.0;(0.0)")</f>
        <v>0.6</v>
      </c>
      <c r="H9" t="s" s="26">
        <v>342</v>
      </c>
      <c r="I9" t="str">
        <f>B9&amp;" "&amp;G9</f>
        <v>Severance (seller) 0.6</v>
      </c>
    </row>
    <row r="10">
      <c r="B10" t="s" s="21">
        <v>404</v>
      </c>
      <c r="C10" s="10">
        <f>'Seller Bridge'!E18</f>
        <v>-1</v>
      </c>
      <c r="D10" t="s" s="104">
        <v>0</v>
      </c>
      <c r="E10" s="10">
        <f>E9+C10</f>
        <v>224.60000000000002</v>
      </c>
      <c r="F10" s="10">
        <f>C10</f>
        <v>-1</v>
      </c>
      <c r="G10" t="str" s="105">
        <f>TEXT(C10,"0.0;(0.0)")</f>
        <v>(1.0)</v>
      </c>
      <c r="H10" t="s" s="26">
        <v>418</v>
      </c>
      <c r="I10" t="str">
        <f>B10&amp;" "&amp;G10</f>
        <v>Insurance recoveries (seller) (1.0)</v>
      </c>
    </row>
    <row r="11">
      <c r="B11" t="s" s="21">
        <v>405</v>
      </c>
      <c r="C11" s="10">
        <f>'Seller Bridge'!E19</f>
        <v>-0.6</v>
      </c>
      <c r="D11" t="s" s="104">
        <v>0</v>
      </c>
      <c r="E11" s="10">
        <f>E10+C11</f>
        <v>224.00000000000003</v>
      </c>
      <c r="F11" s="10">
        <f>C11</f>
        <v>-0.6</v>
      </c>
      <c r="G11" t="str" s="105">
        <f>TEXT(C11,"0.0;(0.0)")</f>
        <v>(0.6)</v>
      </c>
      <c r="H11" t="s" s="26">
        <v>344</v>
      </c>
      <c r="I11" t="str">
        <f>B11&amp;" "&amp;G11</f>
        <v>PHX I tax refund (seller) (0.6)</v>
      </c>
    </row>
    <row r="12">
      <c r="B12" t="s" s="15">
        <v>406</v>
      </c>
      <c r="C12" s="16">
        <f>'Seller Bridge'!E23</f>
        <v>224</v>
      </c>
      <c r="D12" t="s" s="106">
        <v>414</v>
      </c>
      <c r="E12" s="16">
        <f>C12</f>
        <v>224</v>
      </c>
      <c r="F12" s="16">
        <f>0*C12</f>
        <v>0</v>
      </c>
      <c r="G12" t="str" s="107">
        <f>TEXT(C12,"0.0")</f>
        <v>224.0</v>
      </c>
      <c r="H12" t="s" s="27">
        <v>246</v>
      </c>
      <c r="I12" t="str">
        <f>B12&amp;" "&amp;G12</f>
        <v>Management-adjusted EBITDA 224.0</v>
      </c>
    </row>
    <row r="13">
      <c r="B13" t="s" s="21">
        <v>521</v>
      </c>
      <c r="C13" s="10">
        <f>'Add-Back Tests'!T7</f>
        <v>-2.88</v>
      </c>
      <c r="D13" t="s" s="104">
        <v>0</v>
      </c>
      <c r="E13" s="10">
        <f>E12+C13</f>
        <v>221.12</v>
      </c>
      <c r="F13" s="10">
        <f>C13</f>
        <v>-2.88</v>
      </c>
      <c r="G13" t="str" s="105">
        <f>TEXT(C13,"0.0;(0.0)")</f>
        <v>(2.9)</v>
      </c>
      <c r="H13" t="s" s="26">
        <v>236</v>
      </c>
      <c r="I13" t="str">
        <f>B13&amp;" "&amp;G13</f>
        <v>May-Sep 2025 transaction costs held back (2.9)</v>
      </c>
    </row>
    <row r="14">
      <c r="B14" t="s" s="21">
        <v>408</v>
      </c>
      <c r="C14" s="10">
        <f>'Add-Back Tests'!T11</f>
        <v>-0.6</v>
      </c>
      <c r="D14" t="s" s="104">
        <v>0</v>
      </c>
      <c r="E14" s="10">
        <f>E13+C14</f>
        <v>220.52</v>
      </c>
      <c r="F14" s="10">
        <f>C14</f>
        <v>-0.6</v>
      </c>
      <c r="G14" t="str" s="105">
        <f>TEXT(C14,"0.0;(0.0)")</f>
        <v>(0.6)</v>
      </c>
      <c r="H14" t="s" s="26">
        <v>238</v>
      </c>
      <c r="I14" t="str">
        <f>B14&amp;" "&amp;G14</f>
        <v>Severance rejected (0.6)</v>
      </c>
    </row>
    <row r="15">
      <c r="B15" t="s" s="21">
        <v>409</v>
      </c>
      <c r="C15" s="10">
        <f>'Add-Back Tests'!T18</f>
        <v>-3.24</v>
      </c>
      <c r="D15" t="s" s="104">
        <v>0</v>
      </c>
      <c r="E15" s="10">
        <f>E14+C15</f>
        <v>217.28</v>
      </c>
      <c r="F15" s="10">
        <f>C15</f>
        <v>-3.24</v>
      </c>
      <c r="G15" t="str" s="105">
        <f>TEXT(C15,"0.0;(0.0)")</f>
        <v>(3.2)</v>
      </c>
      <c r="H15" t="s" s="26">
        <v>242</v>
      </c>
      <c r="I15" t="str">
        <f>B15&amp;" "&amp;G15</f>
        <v>Interest income removed (3.2)</v>
      </c>
    </row>
    <row r="16">
      <c r="B16" t="s" s="21">
        <v>410</v>
      </c>
      <c r="C16" s="10">
        <f>'Add-Back Tests'!T19</f>
        <v>-2.2</v>
      </c>
      <c r="D16" t="s" s="104">
        <v>0</v>
      </c>
      <c r="E16" s="10">
        <f>E15+C16</f>
        <v>215.08</v>
      </c>
      <c r="F16" s="10">
        <f>C16</f>
        <v>-2.2</v>
      </c>
      <c r="G16" t="str" s="105">
        <f>TEXT(C16,"0.0;(0.0)")</f>
        <v>(2.2)</v>
      </c>
      <c r="H16" t="s" s="26">
        <v>243</v>
      </c>
      <c r="I16" t="str">
        <f>B16&amp;" "&amp;G16</f>
        <v>VPPA settlements removed (2.2)</v>
      </c>
    </row>
    <row r="17">
      <c r="B17" t="s" s="15">
        <v>226</v>
      </c>
      <c r="C17" s="16">
        <f>'Diligence EBITDA'!E18</f>
        <v>215.08</v>
      </c>
      <c r="D17" t="s" s="106">
        <v>414</v>
      </c>
      <c r="E17" s="16">
        <f>C17</f>
        <v>215.08</v>
      </c>
      <c r="F17" s="16">
        <f>0*C17</f>
        <v>0</v>
      </c>
      <c r="G17" t="str" s="107">
        <f>TEXT(C17,"0.0")</f>
        <v>215.1</v>
      </c>
      <c r="H17" t="s" s="27">
        <v>419</v>
      </c>
      <c r="I17" t="str">
        <f>B17&amp;" "&amp;G17</f>
        <v>Diligence-adjusted EBITDA 215.1</v>
      </c>
    </row>
    <row r="18">
      <c r="B18" t="s" s="21">
        <v>253</v>
      </c>
      <c r="C18" s="10">
        <f>'Add-Back Tests'!F37</f>
        <v>-8.4</v>
      </c>
      <c r="D18" t="s" s="104">
        <v>0</v>
      </c>
      <c r="E18" s="10">
        <f>E17+C18</f>
        <v>206.68</v>
      </c>
      <c r="F18" s="10">
        <f>C18</f>
        <v>-8.4</v>
      </c>
      <c r="G18" t="str" s="105">
        <f>TEXT(C18,"0.0;(0.0)")</f>
        <v>(8.4)</v>
      </c>
      <c r="H18" t="s" s="26">
        <v>244</v>
      </c>
      <c r="I18" t="str">
        <f>B18&amp;" "&amp;G18</f>
        <v>Straight-line rent (8.4)</v>
      </c>
    </row>
    <row r="19">
      <c r="B19" t="s" s="15">
        <v>229</v>
      </c>
      <c r="C19" s="16">
        <f>'Diligence EBITDA'!E24</f>
        <v>206.68</v>
      </c>
      <c r="D19" t="s" s="106">
        <v>414</v>
      </c>
      <c r="E19" s="16">
        <f>C19</f>
        <v>206.68</v>
      </c>
      <c r="F19" s="16">
        <f>0*C19</f>
        <v>0</v>
      </c>
      <c r="G19" t="str" s="107">
        <f>TEXT(C19,"0.0")</f>
        <v>206.7</v>
      </c>
      <c r="H19" t="s" s="27">
        <v>420</v>
      </c>
      <c r="I19" t="str">
        <f>B19&amp;" "&amp;G19</f>
        <v>Cash EBITDA 206.7</v>
      </c>
    </row>
    <row r="21">
      <c r="B21" t="s" s="36">
        <v>411</v>
      </c>
      <c r="C21" t="s" s="37">
        <v>412</v>
      </c>
      <c r="D21" t="s" s="37">
        <v>414</v>
      </c>
      <c r="E21" t="s" s="37">
        <v>29</v>
      </c>
    </row>
    <row r="22">
      <c r="B22" t="s" s="21">
        <v>406</v>
      </c>
      <c r="C22" s="10">
        <f>E11</f>
        <v>224.00000000000003</v>
      </c>
      <c r="D22" s="10">
        <f>C12</f>
        <v>224</v>
      </c>
      <c r="E22" s="10">
        <f>C22-D22</f>
        <v>0</v>
      </c>
    </row>
    <row r="23">
      <c r="B23" t="s" s="21">
        <v>226</v>
      </c>
      <c r="C23" s="10">
        <f>E16</f>
        <v>215.08</v>
      </c>
      <c r="D23" s="10">
        <f>C17</f>
        <v>215.08</v>
      </c>
      <c r="E23" s="10">
        <f>C23-D23</f>
        <v>0</v>
      </c>
    </row>
    <row r="24">
      <c r="B24" t="s" s="108">
        <v>229</v>
      </c>
      <c r="C24" s="109">
        <f>E18</f>
        <v>206.68</v>
      </c>
      <c r="D24" s="109">
        <f>C19</f>
        <v>206.68</v>
      </c>
      <c r="E24" s="109">
        <f>C24-D24</f>
        <v>0</v>
      </c>
    </row>
  </sheetData>
  <pageMargins left="0.7" right="0.7" top="0.75" bottom="0.75" header="0.3" footer="0.3"/>
  <drawing r:id="rId1"/>
</worksheet>
</file>

<file path=ccalc/calcState.xml><?xml version="1.0" encoding="utf-8"?>
<calcState xmlns="urn:twentyai:ccalc:calc-state" version="1" digest="25a6b19cad95e28f3e0b2a9be9607fb19af7bebe1a8c53a1e05a105e6d015ceb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>Compound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Adjusted EBITDA bridge template</dc:title>
  <dc:subject/>
  <dc:creator>Compound</dc:creator>
  <cp:keywords/>
  <dc:description/>
  <cp:lastModifiedBy/>
  <cp:revision/>
  <dcterms:created xsi:type="dcterms:W3CDTF">2026-10-22T18:56:26Z</dcterms:created>
  <dcterms:modified xsi:type="dcterms:W3CDTF">2026-10-22T18:56:26Z</dcterms:modified>
  <cp:category/>
  <cp:contentStatus/>
</cp:coreProperties>
</file>