
<file path=[Content_Types].xml><?xml version="1.0" encoding="utf-8"?>
<Types xmlns="http://schemas.openxmlformats.org/package/2006/content-types">
  <Default Extension="json" ContentType="application/json"/>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olors7.xml" ContentType="application/vnd.ms-office.chartcolorstyle+xml"/>
  <Override PartName="/xl/charts/colors8.xml" ContentType="application/vnd.ms-office.chartcolorstyle+xml"/>
  <Override PartName="/xl/charts/style7.xml" ContentType="application/vnd.ms-office.chartstyle+xml"/>
  <Override PartName="/xl/charts/style8.xml" ContentType="application/vnd.ms-office.chartstyle+xml"/>
  <Override PartName="/xl/comments2.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3.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4ac="http://schemas.microsoft.com/office/spreadsheetml/2009/9/ac" mc:Ignorable="x14ac">
  <fileVersion appName="xl" lastEdited="7" lowestEdited="7" rupBuild="30527"/>
  <workbookPr defaultThemeVersion="166925"/>
  <bookViews>
    <workbookView xmlns:xr2="http://schemas.microsoft.com/office/spreadsheetml/2015/revision2" xWindow="-98" yWindow="-98" windowWidth="21795" windowHeight="12975" firstSheet="5" activeTab="8" xr2:uid="{00000000-000D-0000-FFFF-FFFF00000000}"/>
  </bookViews>
  <sheets>
    <sheet name="Driver Assumptions" sheetId="2" r:id="rId1"/>
    <sheet name="Model" sheetId="3" r:id="rId2"/>
    <sheet name="LBO Output" sheetId="4" r:id="rId3"/>
    <sheet name="From Company&gt;&gt;&gt;" sheetId="5" r:id="rId4"/>
    <sheet name="Income Statement" sheetId="6" r:id="rId5"/>
    <sheet name="Balance Sheet" sheetId="7" r:id="rId6"/>
    <sheet name="Cash Flow" sheetId="8" r:id="rId7"/>
    <sheet name="Peer Benchmark" sheetId="9" r:id="rId8"/>
    <sheet name="Sensitivity" sheetId="15" r:id="rId9"/>
  </sheets>
  <calcPr calcMode="autoNoTable" iterate="1" iterateCount="200" iterateDelta="0.0001"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ccaches="urn:twentyai:ccalc:caches" uri="{3C5F2E7A-9B41-4D6E-A8C2-19409CCA1C01}">
      <xccaches:writer/>
    </ext>
  </extLst>
</workbook>
</file>

<file path=xl/comments2.xml><?xml version="1.0" encoding="utf-8"?>
<comments xmlns="http://schemas.openxmlformats.org/spreadsheetml/2006/main">
  <authors>
    <author>Compound</author>
  </authors>
  <commentList>
    <comment ref="E5" authorId="0">
      <text>
        <r>
          <t xml:space="preserve">ADT Inc. 8-K (2026-10-29) d572133dex991
ADT Inc. 8-K (2026-10-29) d572133dex991
ADT Inc. 8-K (2026-10-29) d572133dex991
https://www.sec.gov/Archives/edgar/data/1703056/000119312526437123/d572133dex991</t>
        </r>
      </text>
    </comment>
    <comment ref="Y5" authorId="0">
      <text>
        <r>
          <t xml:space="preserve">Cited for Y5:Y6
ADT Inc. 8-K (2026-10-29) d572133dex991
Cited for Y5:Y6
ADT Inc. 8-K (2026-10-29) d572133dex991
Cited for Y5:Y6
ADT Inc. 8-K (2026-10-29) d572133dex991
https://www.sec.gov/Archives/edgar/data/1703056/000119312526437123/d572133dex991</t>
        </r>
      </text>
    </comment>
    <comment ref="Y8" authorId="0">
      <text>
        <r>
          <t xml:space="preserve">ADT Inc. 8-K (2026-10-29) d572133dex991
ADT Inc. 8-K (2026-10-29) d572133dex991
ADT Inc. 8-K (2026-10-29) d572133dex991
https://www.sec.gov/Archives/edgar/data/1703056/000119312526437123/d572133dex991</t>
        </r>
      </text>
    </comment>
    <comment ref="Y14" authorId="0">
      <text>
        <r>
          <t xml:space="preserve">ADT Inc. 8-K (2026-10-29) d572133dex991
ADT Inc. 8-K (2026-10-29) d572133dex991
ADT Inc. 8-K (2026-10-29) d572133dex991
https://www.sec.gov/Archives/edgar/data/1703056/000119312526437123/d572133dex991</t>
        </r>
      </text>
    </comment>
    <comment ref="I94" authorId="0">
      <text>
        <r>
          <t xml:space="preserve">Market-implied SOFR 1M and 3M forward rates (not CME Term SOFR), 3M rate from 2027-07-30 to 2027-10-29, as of the 2026-10-28 close, computed from 587 SOFR swap trades of 2026-10-28 and the SOFR fixing of 2026-10-28 (3.94%): 4.6521 (data provided by Compound, computed from SOFR published by the Federal Reserve Bank of New York and from SOFR swap trades in DTCC public swap data)
Market-implied SOFR 1M and 3M forward rates (not CME Term SOFR), 3M rate from 2027-07-30 to 2027-10-29, as of the 2026-10-28 close, computed from 587 SOFR swap trades of 2026-10-28 and the SOFR fixing of 2026-10-28 (3.94%): 4.6521 (data provided by Compound, computed from SOFR published by the Federal Reserve Bank of New York and from SOFR swap trades in DTCC public swap data)
Market-implied SOFR 1M and 3M forward rates (not CME Term SOFR), 3M rate from 2027-07-30 to 2027-10-29, as of the 2026-10-28 close, computed from 587 SOFR swap trades of 2026-10-28 and the SOFR fixing of 2026-10-28 (3.94%): 4.6521 (data provided by Compound, computed from SOFR published by the Federal Reserve Bank of New York and from SOFR swap trades in DTCC public swap data)</t>
        </r>
      </text>
    </comment>
    <comment ref="J94" authorId="0">
      <text>
        <r>
          <t xml:space="preserve">Market-implied SOFR 1M and 3M forward rates (not CME Term SOFR), 3M rate from 2028-07-31 to 2028-10-30, as of the 2026-10-28 close, computed from 587 SOFR swap trades of 2026-10-28 and the SOFR fixing of 2026-10-28 (3.94%): 4.5468 (data provided by Compound, computed from SOFR published by the Federal Reserve Bank of New York and from SOFR swap trades in DTCC public swap data)
Market-implied SOFR 1M and 3M forward rates (not CME Term SOFR), 3M rate from 2028-07-31 to 2028-10-30, as of the 2026-10-28 close, computed from 587 SOFR swap trades of 2026-10-28 and the SOFR fixing of 2026-10-28 (3.94%): 4.5468 (data provided by Compound, computed from SOFR published by the Federal Reserve Bank of New York and from SOFR swap trades in DTCC public swap data)
Market-implied SOFR 1M and 3M forward rates (not CME Term SOFR), 3M rate from 2028-07-31 to 2028-10-30, as of the 2026-10-28 close, computed from 587 SOFR swap trades of 2026-10-28 and the SOFR fixing of 2026-10-28 (3.94%): 4.5468 (data provided by Compound, computed from SOFR published by the Federal Reserve Bank of New York and from SOFR swap trades in DTCC public swap data)</t>
        </r>
      </text>
    </comment>
    <comment ref="K94" authorId="0">
      <text>
        <r>
          <t xml:space="preserve">Market-implied SOFR 1M and 3M forward rates (not CME Term SOFR), 3M rate from 2029-07-30 to 2029-10-30, as of the 2026-10-28 close, computed from 587 SOFR swap trades of 2026-10-28 and the SOFR fixing of 2026-10-28 (3.94%): 4.5074 (data provided by Compound, computed from SOFR published by the Federal Reserve Bank of New York and from SOFR swap trades in DTCC public swap data)
Market-implied SOFR 1M and 3M forward rates (not CME Term SOFR), 3M rate from 2029-07-30 to 2029-10-30, as of the 2026-10-28 close, computed from 587 SOFR swap trades of 2026-10-28 and the SOFR fixing of 2026-10-28 (3.94%): 4.5074 (data provided by Compound, computed from SOFR published by the Federal Reserve Bank of New York and from SOFR swap trades in DTCC public swap data)
Market-implied SOFR 1M and 3M forward rates (not CME Term SOFR), 3M rate from 2029-07-30 to 2029-10-30, as of the 2026-10-28 close, computed from 587 SOFR swap trades of 2026-10-28 and the SOFR fixing of 2026-10-28 (3.94%): 4.5074 (data provided by Compound, computed from SOFR published by the Federal Reserve Bank of New York and from SOFR swap trades in DTCC public swap data)</t>
        </r>
      </text>
    </comment>
    <comment ref="L94" authorId="0">
      <text>
        <r>
          <t xml:space="preserve">Market-implied SOFR 1M and 3M forward rates (not CME Term SOFR), 3M rate from 2030-07-30 to 2030-10-30, as of the 2026-10-28 close, computed from 587 SOFR swap trades of 2026-10-28 and the SOFR fixing of 2026-10-28 (3.94%): 4.4451 (data provided by Compound, computed from SOFR published by the Federal Reserve Bank of New York and from SOFR swap trades in DTCC public swap data)
Market-implied SOFR 1M and 3M forward rates (not CME Term SOFR), 3M rate from 2030-07-30 to 2030-10-30, as of the 2026-10-28 close, computed from 587 SOFR swap trades of 2026-10-28 and the SOFR fixing of 2026-10-28 (3.94%): 4.4451 (data provided by Compound, computed from SOFR published by the Federal Reserve Bank of New York and from SOFR swap trades in DTCC public swap data)
Market-implied SOFR 1M and 3M forward rates (not CME Term SOFR), 3M rate from 2030-07-30 to 2030-10-30, as of the 2026-10-28 close, computed from 587 SOFR swap trades of 2026-10-28 and the SOFR fixing of 2026-10-28 (3.94%): 4.4451 (data provided by Compound, computed from SOFR published by the Federal Reserve Bank of New York and from SOFR swap trades in DTCC public swap data)</t>
        </r>
      </text>
    </comment>
    <comment ref="M94" authorId="0">
      <text>
        <r>
          <t xml:space="preserve">Market-implied SOFR 1M and 3M forward rates (not CME Term SOFR), 3M rate from 2031-07-30 to 2031-10-30, as of the 2026-10-28 close, computed from 587 SOFR swap trades of 2026-10-28 and the SOFR fixing of 2026-10-28 (3.94%): 4.4804 (data provided by Compound, computed from SOFR published by the Federal Reserve Bank of New York and from SOFR swap trades in DTCC public swap data)
Market-implied SOFR 1M and 3M forward rates (not CME Term SOFR), 3M rate from 2031-07-30 to 2031-10-30, as of the 2026-10-28 close, computed from 587 SOFR swap trades of 2026-10-28 and the SOFR fixing of 2026-10-28 (3.94%): 4.4804 (data provided by Compound, computed from SOFR published by the Federal Reserve Bank of New York and from SOFR swap trades in DTCC public swap data)
Market-implied SOFR 1M and 3M forward rates (not CME Term SOFR), 3M rate from 2031-07-30 to 2031-10-30, as of the 2026-10-28 close, computed from 587 SOFR swap trades of 2026-10-28 and the SOFR fixing of 2026-10-28 (3.94%): 4.4804 (data provided by Compound, computed from SOFR published by the Federal Reserve Bank of New York and from SOFR swap trades in DTCC public swap data)</t>
        </r>
      </text>
    </comment>
    <comment ref="N94" authorId="0">
      <text>
        <r>
          <t xml:space="preserve">Market-implied SOFR 1M and 3M forward rates (not CME Term SOFR), 3M rate from 2032-07-30 to 2032-10-29, as of the 2026-10-28 close, computed from 587 SOFR swap trades of 2026-10-28 and the SOFR fixing of 2026-10-28 (3.94%): 4.5453 (data provided by Compound, computed from SOFR published by the Federal Reserve Bank of New York and from SOFR swap trades in DTCC public swap data)
Market-implied SOFR 1M and 3M forward rates (not CME Term SOFR), 3M rate from 2032-07-30 to 2032-10-29, as of the 2026-10-28 close, computed from 587 SOFR swap trades of 2026-10-28 and the SOFR fixing of 2026-10-28 (3.94%): 4.5453 (data provided by Compound, computed from SOFR published by the Federal Reserve Bank of New York and from SOFR swap trades in DTCC public swap data)
Market-implied SOFR 1M and 3M forward rates (not CME Term SOFR), 3M rate from 2032-07-30 to 2032-10-29, as of the 2026-10-28 close, computed from 587 SOFR swap trades of 2026-10-28 and the SOFR fixing of 2026-10-28 (3.94%): 4.5453 (data provided by Compound, computed from SOFR published by the Federal Reserve Bank of New York and from SOFR swap trades in DTCC public swap data)</t>
        </r>
      </text>
    </comment>
    <comment ref="O94" authorId="0">
      <text>
        <r>
          <t xml:space="preserve">Market-implied SOFR 1M and 3M forward rates (not CME Term SOFR), 3M rate from 2033-07-29 to 2033-10-31, as of the 2026-10-28 close, computed from 587 SOFR swap trades of 2026-10-28 and the SOFR fixing of 2026-10-28 (3.94%): 4.5687 (data provided by Compound, computed from SOFR published by the Federal Reserve Bank of New York and from SOFR swap trades in DTCC public swap data)
Market-implied SOFR 1M and 3M forward rates (not CME Term SOFR), 3M rate from 2033-07-29 to 2033-10-31, as of the 2026-10-28 close, computed from 587 SOFR swap trades of 2026-10-28 and the SOFR fixing of 2026-10-28 (3.94%): 4.5687 (data provided by Compound, computed from SOFR published by the Federal Reserve Bank of New York and from SOFR swap trades in DTCC public swap data)
Market-implied SOFR 1M and 3M forward rates (not CME Term SOFR), 3M rate from 2033-07-29 to 2033-10-31, as of the 2026-10-28 close, computed from 587 SOFR swap trades of 2026-10-28 and the SOFR fixing of 2026-10-28 (3.94%): 4.5687 (data provided by Compound, computed from SOFR published by the Federal Reserve Bank of New York and from SOFR swap trades in DTCC public swap data)</t>
        </r>
      </text>
    </comment>
    <comment ref="P94" authorId="0">
      <text>
        <r>
          <t xml:space="preserve">Market-implied SOFR 1M and 3M forward rates (not CME Term SOFR), 3M rate from 2034-07-31 to 2034-10-30, as of the 2026-10-28 close, computed from 587 SOFR swap trades of 2026-10-28 and the SOFR fixing of 2026-10-28 (3.94%): 4.6638 (data provided by Compound, computed from SOFR published by the Federal Reserve Bank of New York and from SOFR swap trades in DTCC public swap data)
Market-implied SOFR 1M and 3M forward rates (not CME Term SOFR), 3M rate from 2034-07-31 to 2034-10-30, as of the 2026-10-28 close, computed from 587 SOFR swap trades of 2026-10-28 and the SOFR fixing of 2026-10-28 (3.94%): 4.6638 (data provided by Compound, computed from SOFR published by the Federal Reserve Bank of New York and from SOFR swap trades in DTCC public swap data)
Market-implied SOFR 1M and 3M forward rates (not CME Term SOFR), 3M rate from 2034-07-31 to 2034-10-30, as of the 2026-10-28 close, computed from 587 SOFR swap trades of 2026-10-28 and the SOFR fixing of 2026-10-28 (3.94%): 4.6638 (data provided by Compound, computed from SOFR published by the Federal Reserve Bank of New York and from SOFR swap trades in DTCC public swap data)</t>
        </r>
      </text>
    </comment>
    <comment ref="Q94" authorId="0">
      <text>
        <r>
          <t xml:space="preserve">Market-implied SOFR 1M and 3M forward rates (not CME Term SOFR), 3M rate from 2035-07-30 to 2035-10-30, as of the 2026-10-28 close, computed from 587 SOFR swap trades of 2026-10-28 and the SOFR fixing of 2026-10-28 (3.94%): 4.8236 (data provided by Compound, computed from SOFR published by the Federal Reserve Bank of New York and from SOFR swap trades in DTCC public swap data)
Market-implied SOFR 1M and 3M forward rates (not CME Term SOFR), 3M rate from 2035-07-30 to 2035-10-30, as of the 2026-10-28 close, computed from 587 SOFR swap trades of 2026-10-28 and the SOFR fixing of 2026-10-28 (3.94%): 4.8236 (data provided by Compound, computed from SOFR published by the Federal Reserve Bank of New York and from SOFR swap trades in DTCC public swap data)
Market-implied SOFR 1M and 3M forward rates (not CME Term SOFR), 3M rate from 2035-07-30 to 2035-10-30, as of the 2026-10-28 close, computed from 587 SOFR swap trades of 2026-10-28 and the SOFR fixing of 2026-10-28 (3.94%): 4.8236 (data provided by Compound, computed from SOFR published by the Federal Reserve Bank of New York and from SOFR swap trades in DTCC public swap data)</t>
        </r>
      </text>
    </comment>
    <comment ref="R94" authorId="0">
      <text>
        <r>
          <t xml:space="preserve">Market-implied SOFR 1M and 3M forward rates (not CME Term SOFR), 3M rate from 2036-07-30 to 2036-10-30, as of the 2026-10-28 close, computed from 587 SOFR swap trades of 2026-10-28 and the SOFR fixing of 2026-10-28 (3.94%): 4.7483 (data provided by Compound, computed from SOFR published by the Federal Reserve Bank of New York and from SOFR swap trades in DTCC public swap data)
Market-implied SOFR 1M and 3M forward rates (not CME Term SOFR), 3M rate from 2036-07-30 to 2036-10-30, as of the 2026-10-28 close, computed from 587 SOFR swap trades of 2026-10-28 and the SOFR fixing of 2026-10-28 (3.94%): 4.7483 (data provided by Compound, computed from SOFR published by the Federal Reserve Bank of New York and from SOFR swap trades in DTCC public swap data)
Market-implied SOFR 1M and 3M forward rates (not CME Term SOFR), 3M rate from 2036-07-30 to 2036-10-30, as of the 2026-10-28 close, computed from 587 SOFR swap trades of 2026-10-28 and the SOFR fixing of 2026-10-28 (3.94%): 4.7483 (data provided by Compound, computed from SOFR published by the Federal Reserve Bank of New York and from SOFR swap trades in DTCC public swap data)</t>
        </r>
      </text>
    </comment>
  </commentList>
</comments>
</file>

<file path=xl/comments5.xml><?xml version="1.0" encoding="utf-8"?>
<comments xmlns="http://schemas.openxmlformats.org/spreadsheetml/2006/main">
  <authors>
    <author>Compound</author>
  </authors>
  <commentList>
    <comment ref="B5" authorId="0">
      <text>
        <r>
          <t xml:space="preserve">ADT Inc. 8-K (2025-02-27) q42024adtearningsrelease-e
ADT Inc. 8-K (2025-02-27) q42024adtearningsrelease-e
ADT Inc. 8-K (2025-02-27) q42024adtearningsrelease-e
https://www.sec.gov/Archives/edgar/data/1703056/000170305625000021/q42024adtearningsrelease-e</t>
        </r>
      </text>
    </comment>
    <comment ref="D5" authorId="0">
      <text>
        <r>
          <t xml:space="preserve">Cited for C5:D5
ADT Inc. 8-K (2026-03-02) q42025adtearningsrelease-e
Cited for C5:D5
ADT Inc. 8-K (2026-03-02) q42025adtearningsrelease-e
Cited for C5:D5
ADT Inc. 8-K (2026-03-02) q42025adtearningsrelease-e
https://www.sec.gov/Archives/edgar/data/1703056/000170305626000013/q42025adtearningsrelease-e</t>
        </r>
      </text>
    </comment>
    <comment ref="F5" authorId="0">
      <text>
        <r>
          <t xml:space="preserve">Cited for E5:F5
ADT Inc. 8-K (2026-07-30) q22026adtearningsrelease-e
Cited for E5:F5
ADT Inc. 8-K (2026-07-30) q22026adtearningsrelease-e
Cited for E5:F5
ADT Inc. 8-K (2026-07-30) q22026adtearningsrelease-e
https://www.sec.gov/Archives/edgar/data/1703056/000170305626000097/q22026adtearningsrelease-e</t>
        </r>
      </text>
    </comment>
    <comment ref="B6" authorId="0">
      <text>
        <r>
          <t xml:space="preserve">ADT Inc. 8-K (2025-02-27) q42024adtearningsrelease-e
ADT Inc. 8-K (2025-02-27) q42024adtearningsrelease-e
ADT Inc. 8-K (2025-02-27) q42024adtearningsrelease-e
https://www.sec.gov/Archives/edgar/data/1703056/000170305625000021/q42024adtearningsrelease-e</t>
        </r>
      </text>
    </comment>
    <comment ref="D6" authorId="0">
      <text>
        <r>
          <t xml:space="preserve">Cited for C6:D6
ADT Inc. 8-K (2026-03-02) q42025adtearningsrelease-e
Cited for C6:D6
ADT Inc. 8-K (2026-03-02) q42025adtearningsrelease-e
Cited for C6:D6
ADT Inc. 8-K (2026-03-02) q42025adtearningsrelease-e
https://www.sec.gov/Archives/edgar/data/1703056/000170305626000013/q42025adtearningsrelease-e</t>
        </r>
      </text>
    </comment>
    <comment ref="F6" authorId="0">
      <text>
        <r>
          <t xml:space="preserve">Cited for E6:F6
ADT Inc. 8-K (2026-07-30) q22026adtearningsrelease-e
Cited for E6:F6
ADT Inc. 8-K (2026-07-30) q22026adtearningsrelease-e
Cited for E6:F6
ADT Inc. 8-K (2026-07-30) q22026adtearningsrelease-e
https://www.sec.gov/Archives/edgar/data/1703056/000170305626000097/q22026adtearningsrelease-e</t>
        </r>
      </text>
    </comment>
    <comment ref="B8" authorId="0">
      <text>
        <r>
          <t xml:space="preserve">ADT Inc. 8-K (2025-02-27) q42024adtearningsrelease-e
ADT Inc. 8-K (2025-02-27) q42024adtearningsrelease-e
ADT Inc. 8-K (2025-02-27) q42024adtearningsrelease-e
https://www.sec.gov/Archives/edgar/data/1703056/000170305625000021/q42024adtearningsrelease-e</t>
        </r>
      </text>
    </comment>
    <comment ref="D8" authorId="0">
      <text>
        <r>
          <t xml:space="preserve">Cited for C8:D8
ADT Inc. 8-K (2026-03-02) q42025adtearningsrelease-e
Cited for C8:D8
ADT Inc. 8-K (2026-03-02) q42025adtearningsrelease-e
Cited for C8:D8
ADT Inc. 8-K (2026-03-02) q42025adtearningsrelease-e
https://www.sec.gov/Archives/edgar/data/1703056/000170305626000013/q42025adtearningsrelease-e</t>
        </r>
      </text>
    </comment>
    <comment ref="F8" authorId="0">
      <text>
        <r>
          <t xml:space="preserve">Cited for E8:F8
ADT Inc. 8-K (2026-07-30) q22026adtearningsrelease-e
Cited for E8:F8
ADT Inc. 8-K (2026-07-30) q22026adtearningsrelease-e
Cited for E8:F8
ADT Inc. 8-K (2026-07-30) q22026adtearningsrelease-e
https://www.sec.gov/Archives/edgar/data/1703056/000170305626000097/q22026adtearningsrelease-e</t>
        </r>
      </text>
    </comment>
    <comment ref="B9" authorId="0">
      <text>
        <r>
          <t xml:space="preserve">ADT Inc. 8-K (2025-02-27) q42024adtearningsrelease-e
ADT Inc. 8-K (2025-02-27) q42024adtearningsrelease-e
ADT Inc. 8-K (2025-02-27) q42024adtearningsrelease-e
https://www.sec.gov/Archives/edgar/data/1703056/000170305625000021/q42024adtearningsrelease-e</t>
        </r>
      </text>
    </comment>
    <comment ref="D9" authorId="0">
      <text>
        <r>
          <t xml:space="preserve">Cited for C9:D9
ADT Inc. 8-K (2026-03-02) q42025adtearningsrelease-e
Cited for C9:D9
ADT Inc. 8-K (2026-03-02) q42025adtearningsrelease-e
Cited for C9:D9
ADT Inc. 8-K (2026-03-02) q42025adtearningsrelease-e
https://www.sec.gov/Archives/edgar/data/1703056/000170305626000013/q42025adtearningsrelease-e</t>
        </r>
      </text>
    </comment>
    <comment ref="F9" authorId="0">
      <text>
        <r>
          <t xml:space="preserve">Cited for E9:F9
ADT Inc. 8-K (2026-07-30) q22026adtearningsrelease-e
Cited for E9:F9
ADT Inc. 8-K (2026-07-30) q22026adtearningsrelease-e
Cited for E9:F9
ADT Inc. 8-K (2026-07-30) q22026adtearningsrelease-e
https://www.sec.gov/Archives/edgar/data/1703056/000170305626000097/q22026adtearningsrelease-e</t>
        </r>
      </text>
    </comment>
    <comment ref="C12" authorId="0">
      <text>
        <r>
          <t xml:space="preserve">Cited for B12:C12
ADT Inc. 8-K (2025-02-27) q42024adtearningsrelease-e
Cited for B12:C12
ADT Inc. 8-K (2025-02-27) q42024adtearningsrelease-e
Cited for B12:C12
ADT Inc. 8-K (2025-02-27) q42024adtearningsrelease-e
https://www.sec.gov/Archives/edgar/data/1703056/000170305625000021/q42024adtearningsrelease-e</t>
        </r>
      </text>
    </comment>
    <comment ref="D12" authorId="0">
      <text>
        <r>
          <t xml:space="preserve">ADT Inc. 8-K (2026-03-02) q42025adtearningsrelease-e
ADT Inc. 8-K (2026-03-02) q42025adtearningsrelease-e
ADT Inc. 8-K (2026-03-02) q42025adtearningsrelease-e
https://www.sec.gov/Archives/edgar/data/1703056/000170305626000013/q42025adtearningsrelease-e</t>
        </r>
      </text>
    </comment>
    <comment ref="F12" authorId="0">
      <text>
        <r>
          <t xml:space="preserve">Cited for E12:F12
ADT Inc. 8-K (2026-07-30) q22026adtearningsrelease-e
Cited for E12:F12
ADT Inc. 8-K (2026-07-30) q22026adtearningsrelease-e
Cited for E12:F12
ADT Inc. 8-K (2026-07-30) q22026adtearningsrelease-e
https://www.sec.gov/Archives/edgar/data/1703056/000170305626000097/q22026adtearningsrelease-e</t>
        </r>
      </text>
    </comment>
    <comment ref="C13" authorId="0">
      <text>
        <r>
          <t xml:space="preserve">Cited for B13:C13
ADT Inc. 8-K (2025-02-27) q42024adtearningsrelease-e
Cited for B13:C13
ADT Inc. 8-K (2025-02-27) q42024adtearningsrelease-e
Cited for B13:C13
ADT Inc. 8-K (2025-02-27) q42024adtearningsrelease-e
https://www.sec.gov/Archives/edgar/data/1703056/000170305625000021/q42024adtearningsrelease-e</t>
        </r>
      </text>
    </comment>
    <comment ref="D13" authorId="0">
      <text>
        <r>
          <t xml:space="preserve">ADT Inc. 8-K (2026-03-02) q42025adtearningsrelease-e
ADT Inc. 8-K (2026-03-02) q42025adtearningsrelease-e
ADT Inc. 8-K (2026-03-02) q42025adtearningsrelease-e
https://www.sec.gov/Archives/edgar/data/1703056/000170305626000013/q42025adtearningsrelease-e</t>
        </r>
      </text>
    </comment>
    <comment ref="F13" authorId="0">
      <text>
        <r>
          <t xml:space="preserve">Cited for E13:F13
ADT Inc. 8-K (2026-07-30) q22026adtearningsrelease-e
Cited for E13:F13
ADT Inc. 8-K (2026-07-30) q22026adtearningsrelease-e
Cited for E13:F13
ADT Inc. 8-K (2026-07-30) q22026adtearningsrelease-e
https://www.sec.gov/Archives/edgar/data/1703056/000170305626000097/q22026adtearningsrelease-e</t>
        </r>
      </text>
    </comment>
    <comment ref="C14" authorId="0">
      <text>
        <r>
          <t xml:space="preserve">Cited for B14:C14
ADT Inc. 8-K (2025-02-27) q42024adtearningsrelease-e
Cited for B14:C14
ADT Inc. 8-K (2025-02-27) q42024adtearningsrelease-e
Cited for B14:C14
ADT Inc. 8-K (2025-02-27) q42024adtearningsrelease-e
https://www.sec.gov/Archives/edgar/data/1703056/000170305625000021/q42024adtearningsrelease-e</t>
        </r>
      </text>
    </comment>
    <comment ref="B16" authorId="0">
      <text>
        <r>
          <t xml:space="preserve">ADT Inc. 8-K (2025-02-27) q42024adtearningsrelease-e
ADT Inc. 8-K (2025-02-27) q42024adtearningsrelease-e
ADT Inc. 8-K (2025-02-27) q42024adtearningsrelease-e
https://www.sec.gov/Archives/edgar/data/1703056/000170305625000021/q42024adtearningsrelease-e</t>
        </r>
      </text>
    </comment>
    <comment ref="D16" authorId="0">
      <text>
        <r>
          <t xml:space="preserve">Cited for C16:D16
ADT Inc. 8-K (2026-03-02) q42025adtearningsrelease-e
Cited for C16:D16
ADT Inc. 8-K (2026-03-02) q42025adtearningsrelease-e
Cited for C16:D16
ADT Inc. 8-K (2026-03-02) q42025adtearningsrelease-e
https://www.sec.gov/Archives/edgar/data/1703056/000170305626000013/q42025adtearningsrelease-e</t>
        </r>
      </text>
    </comment>
    <comment ref="F16" authorId="0">
      <text>
        <r>
          <t xml:space="preserve">Cited for E16:F16
ADT Inc. 8-K (2026-07-30) q22026adtearningsrelease-e
Cited for E16:F16
ADT Inc. 8-K (2026-07-30) q22026adtearningsrelease-e
Cited for E16:F16
ADT Inc. 8-K (2026-07-30) q22026adtearningsrelease-e
https://www.sec.gov/Archives/edgar/data/1703056/000170305626000097/q22026adtearningsrelease-e</t>
        </r>
      </text>
    </comment>
    <comment ref="B18" authorId="0">
      <text>
        <r>
          <t xml:space="preserve">ADT Inc. 8-K (2025-02-27) q42024adtearningsrelease-e
ADT Inc. 8-K (2025-02-27) q42024adtearningsrelease-e
ADT Inc. 8-K (2025-02-27) q42024adtearningsrelease-e
https://www.sec.gov/Archives/edgar/data/1703056/000170305625000021/q42024adtearningsrelease-e</t>
        </r>
      </text>
    </comment>
    <comment ref="D18" authorId="0">
      <text>
        <r>
          <t xml:space="preserve">Cited for C18:D18
ADT Inc. 8-K (2026-03-02) q42025adtearningsrelease-e
Cited for C18:D18
ADT Inc. 8-K (2026-03-02) q42025adtearningsrelease-e
Cited for C18:D18
ADT Inc. 8-K (2026-03-02) q42025adtearningsrelease-e
https://www.sec.gov/Archives/edgar/data/1703056/000170305626000013/q42025adtearningsrelease-e</t>
        </r>
      </text>
    </comment>
    <comment ref="F18" authorId="0">
      <text>
        <r>
          <t xml:space="preserve">Cited for E18:F18
ADT Inc. 8-K (2026-07-30) q22026adtearningsrelease-e
Cited for E18:F18
ADT Inc. 8-K (2026-07-30) q22026adtearningsrelease-e
Cited for E18:F18
ADT Inc. 8-K (2026-07-30) q22026adtearningsrelease-e
https://www.sec.gov/Archives/edgar/data/1703056/000170305626000097/q22026adtearningsrelease-e</t>
        </r>
      </text>
    </comment>
    <comment ref="B19" authorId="0">
      <text>
        <r>
          <t xml:space="preserve">ADT Inc. 8-K (2025-02-27) q42024adtearningsrelease-e
ADT Inc. 8-K (2025-02-27) q42024adtearningsrelease-e
ADT Inc. 8-K (2025-02-27) q42024adtearningsrelease-e
https://www.sec.gov/Archives/edgar/data/1703056/000170305625000021/q42024adtearningsrelease-e</t>
        </r>
      </text>
    </comment>
    <comment ref="D19" authorId="0">
      <text>
        <r>
          <t xml:space="preserve">Cited for C19:D19
ADT Inc. 8-K (2026-03-02) q42025adtearningsrelease-e
Cited for C19:D19
ADT Inc. 8-K (2026-03-02) q42025adtearningsrelease-e
Cited for C19:D19
ADT Inc. 8-K (2026-03-02) q42025adtearningsrelease-e
https://www.sec.gov/Archives/edgar/data/1703056/000170305626000013/q42025adtearningsrelease-e</t>
        </r>
      </text>
    </comment>
    <comment ref="F19" authorId="0">
      <text>
        <r>
          <t xml:space="preserve">Cited for E19:F19
ADT Inc. 8-K (2026-07-30) q22026adtearningsrelease-e
Cited for E19:F19
ADT Inc. 8-K (2026-07-30) q22026adtearningsrelease-e
Cited for E19:F19
ADT Inc. 8-K (2026-07-30) q22026adtearningsrelease-e
https://www.sec.gov/Archives/edgar/data/1703056/000170305626000097/q22026adtearningsrelease-e</t>
        </r>
      </text>
    </comment>
    <comment ref="B21" authorId="0">
      <text>
        <r>
          <t xml:space="preserve">ADT Inc. 8-K (2025-02-27) q42024adtearningsrelease-e
ADT Inc. 8-K (2025-02-27) q42024adtearningsrelease-e
ADT Inc. 8-K (2025-02-27) q42024adtearningsrelease-e
https://www.sec.gov/Archives/edgar/data/1703056/000170305625000021/q42024adtearningsrelease-e</t>
        </r>
      </text>
    </comment>
    <comment ref="D21" authorId="0">
      <text>
        <r>
          <t xml:space="preserve">Cited for C21:D21
ADT Inc. 8-K (2026-03-02) q42025adtearningsrelease-e
Cited for C21:D21
ADT Inc. 8-K (2026-03-02) q42025adtearningsrelease-e
Cited for C21:D21
ADT Inc. 8-K (2026-03-02) q42025adtearningsrelease-e
https://www.sec.gov/Archives/edgar/data/1703056/000170305626000013/q42025adtearningsrelease-e</t>
        </r>
      </text>
    </comment>
    <comment ref="F21" authorId="0">
      <text>
        <r>
          <t xml:space="preserve">Cited for E21:F21
ADT Inc. 10-Q (2026-06-30) adt-20260630
Cited for E21:F21
ADT Inc. 10-Q (2026-06-30) adt-20260630
Cited for E21:F21
ADT Inc. 10-Q (2026-06-30) adt-20260630
https://www.sec.gov/Archives/edgar/data/1703056/000170305626000100/adt-20260630</t>
        </r>
      </text>
    </comment>
    <comment ref="B25" authorId="0">
      <text>
        <r>
          <t xml:space="preserve">ADT Inc. 8-K (2025-02-27) q42024adtearningsrelease-e
ADT Inc. 8-K (2025-02-27) q42024adtearningsrelease-e
ADT Inc. 8-K (2025-02-27) q42024adtearningsrelease-e
https://www.sec.gov/Archives/edgar/data/1703056/000170305625000021/q42024adtearningsrelease-e</t>
        </r>
      </text>
    </comment>
    <comment ref="D25" authorId="0">
      <text>
        <r>
          <t xml:space="preserve">Cited for C25:D25
ADT Inc. 8-K (2026-03-02) q42025adtearningsrelease-e
Cited for C25:D25
ADT Inc. 8-K (2026-03-02) q42025adtearningsrelease-e
Cited for C25:D25
ADT Inc. 8-K (2026-03-02) q42025adtearningsrelease-e
https://www.sec.gov/Archives/edgar/data/1703056/000170305626000013/q42025adtearningsrelease-e</t>
        </r>
      </text>
    </comment>
    <comment ref="F25" authorId="0">
      <text>
        <r>
          <t xml:space="preserve">Cited for E25:F25
ADT Inc. 8-K (2026-07-30) q22026adtearningsrelease-e
Cited for E25:F25
ADT Inc. 8-K (2026-07-30) q22026adtearningsrelease-e
Cited for E25:F25
ADT Inc. 8-K (2026-07-30) q22026adtearningsrelease-e
https://www.sec.gov/Archives/edgar/data/1703056/000170305626000097/q22026adtearningsrelease-e</t>
        </r>
      </text>
    </comment>
    <comment ref="B26" authorId="0">
      <text>
        <r>
          <t xml:space="preserve">ADT Inc. 8-K (2025-02-27) q42024adtearningsrelease-e
ADT Inc. 8-K (2025-02-27) q42024adtearningsrelease-e
ADT Inc. 8-K (2025-02-27) q42024adtearningsrelease-e
https://www.sec.gov/Archives/edgar/data/1703056/000170305625000021/q42024adtearningsrelease-e</t>
        </r>
      </text>
    </comment>
    <comment ref="D26" authorId="0">
      <text>
        <r>
          <t xml:space="preserve">Cited for C26:D26
ADT Inc. 8-K (2026-03-02) q42025adtearningsrelease-e
Cited for C26:D26
ADT Inc. 8-K (2026-03-02) q42025adtearningsrelease-e
Cited for C26:D26
ADT Inc. 8-K (2026-03-02) q42025adtearningsrelease-e
https://www.sec.gov/Archives/edgar/data/1703056/000170305626000013/q42025adtearningsrelease-e</t>
        </r>
      </text>
    </comment>
    <comment ref="F26" authorId="0">
      <text>
        <r>
          <t xml:space="preserve">Cited for E26:F26
ADT Inc. 8-K (2026-07-30) q22026adtearningsrelease-e
Cited for E26:F26
ADT Inc. 8-K (2026-07-30) q22026adtearningsrelease-e
Cited for E26:F26
ADT Inc. 8-K (2026-07-30) q22026adtearningsrelease-e
https://www.sec.gov/Archives/edgar/data/1703056/000170305626000097/q22026adtearningsrelease-e</t>
        </r>
      </text>
    </comment>
    <comment ref="B27" authorId="0">
      <text>
        <r>
          <t xml:space="preserve">ADT Inc. 8-K (2025-02-27) q42024adtearningsrelease-e
ADT Inc. 8-K (2025-02-27) q42024adtearningsrelease-e
ADT Inc. 8-K (2025-02-27) q42024adtearningsrelease-e
https://www.sec.gov/Archives/edgar/data/1703056/000170305625000021/q42024adtearningsrelease-e</t>
        </r>
      </text>
    </comment>
    <comment ref="D27" authorId="0">
      <text>
        <r>
          <t xml:space="preserve">Cited for C27:D27
ADT Inc. 8-K (2026-03-02) q42025adtearningsrelease-e
Cited for C27:D27
ADT Inc. 8-K (2026-03-02) q42025adtearningsrelease-e
Cited for C27:D27
ADT Inc. 8-K (2026-03-02) q42025adtearningsrelease-e
https://www.sec.gov/Archives/edgar/data/1703056/000170305626000013/q42025adtearningsrelease-e</t>
        </r>
      </text>
    </comment>
    <comment ref="F27" authorId="0">
      <text>
        <r>
          <t xml:space="preserve">Cited for E27:F27
ADT Inc. 8-K (2026-07-30) q22026adtearningsrelease-e
Cited for E27:F27
ADT Inc. 8-K (2026-07-30) q22026adtearningsrelease-e
Cited for E27:F27
ADT Inc. 8-K (2026-07-30) q22026adtearningsrelease-e
https://www.sec.gov/Archives/edgar/data/1703056/000170305626000097/q22026adtearningsrelease-e</t>
        </r>
      </text>
    </comment>
  </commentList>
</comments>
</file>

<file path=xl/comments6.xml><?xml version="1.0" encoding="utf-8"?>
<comments xmlns="http://schemas.openxmlformats.org/spreadsheetml/2006/main">
  <authors>
    <author>Compound</author>
  </authors>
  <commentList>
    <comment ref="C5" authorId="0">
      <text>
        <r>
          <t xml:space="preserve">Cited for B5:C5
ADT Inc. 8-K (2026-03-02) q42025adtearningsrelease-e
Cited for B5:C5
ADT Inc. 8-K (2026-03-02) q42025adtearningsrelease-e
Cited for B5:C5
ADT Inc. 8-K (2026-03-02) q42025adtearningsrelease-e
https://www.sec.gov/Archives/edgar/data/1703056/000170305626000013/q42025adtearningsrelease-e</t>
        </r>
      </text>
    </comment>
    <comment ref="D5" authorId="0">
      <text>
        <r>
          <t xml:space="preserve">ADT Inc. 8-K (2026-07-30) q22026adtearningsrelease-e
ADT Inc. 8-K (2026-07-30) q22026adtearningsrelease-e
ADT Inc. 8-K (2026-07-30) q22026adtearningsrelease-e
https://www.sec.gov/Archives/edgar/data/1703056/000170305626000097/q22026adtearningsrelease-e</t>
        </r>
      </text>
    </comment>
    <comment ref="C6" authorId="0">
      <text>
        <r>
          <t xml:space="preserve">Cited for B6:C6
ADT Inc. 8-K (2026-03-02) q42025adtearningsrelease-e
Cited for B6:C6
ADT Inc. 8-K (2026-03-02) q42025adtearningsrelease-e
Cited for B6:C6
ADT Inc. 8-K (2026-03-02) q42025adtearningsrelease-e
https://www.sec.gov/Archives/edgar/data/1703056/000170305626000013/q42025adtearningsrelease-e</t>
        </r>
      </text>
    </comment>
    <comment ref="D6" authorId="0">
      <text>
        <r>
          <t xml:space="preserve">ADT Inc. 8-K (2026-07-30) q22026adtearningsrelease-e
ADT Inc. 8-K (2026-07-30) q22026adtearningsrelease-e
ADT Inc. 8-K (2026-07-30) q22026adtearningsrelease-e
https://www.sec.gov/Archives/edgar/data/1703056/000170305626000097/q22026adtearningsrelease-e</t>
        </r>
      </text>
    </comment>
    <comment ref="C7" authorId="0">
      <text>
        <r>
          <t xml:space="preserve">Cited for B7:C7
ADT Inc. 8-K (2026-03-02) q42025adtearningsrelease-e
Cited for B7:C7
ADT Inc. 8-K (2026-03-02) q42025adtearningsrelease-e
Cited for B7:C7
ADT Inc. 8-K (2026-03-02) q42025adtearningsrelease-e
https://www.sec.gov/Archives/edgar/data/1703056/000170305626000013/q42025adtearningsrelease-e</t>
        </r>
      </text>
    </comment>
    <comment ref="D7" authorId="0">
      <text>
        <r>
          <t xml:space="preserve">ADT Inc. 8-K (2026-07-30) q22026adtearningsrelease-e
ADT Inc. 8-K (2026-07-30) q22026adtearningsrelease-e
ADT Inc. 8-K (2026-07-30) q22026adtearningsrelease-e
https://www.sec.gov/Archives/edgar/data/1703056/000170305626000097/q22026adtearningsrelease-e</t>
        </r>
      </text>
    </comment>
    <comment ref="C8" authorId="0">
      <text>
        <r>
          <t xml:space="preserve">Cited for B8:C8
ADT Inc. 8-K (2026-03-02) q42025adtearningsrelease-e
Cited for B8:C8
ADT Inc. 8-K (2026-03-02) q42025adtearningsrelease-e
Cited for B8:C8
ADT Inc. 8-K (2026-03-02) q42025adtearningsrelease-e
https://www.sec.gov/Archives/edgar/data/1703056/000170305626000013/q42025adtearningsrelease-e</t>
        </r>
      </text>
    </comment>
    <comment ref="D8" authorId="0">
      <text>
        <r>
          <t xml:space="preserve">ADT Inc. 8-K (2026-07-30) q22026adtearningsrelease-e
ADT Inc. 8-K (2026-07-30) q22026adtearningsrelease-e
ADT Inc. 8-K (2026-07-30) q22026adtearningsrelease-e
https://www.sec.gov/Archives/edgar/data/1703056/000170305626000097/q22026adtearningsrelease-e</t>
        </r>
      </text>
    </comment>
    <comment ref="C9" authorId="0">
      <text>
        <r>
          <t xml:space="preserve">Cited for B9:C9
ADT Inc. 8-K (2026-03-02) q42025adtearningsrelease-e
Cited for B9:C9
ADT Inc. 8-K (2026-03-02) q42025adtearningsrelease-e
Cited for B9:C9
ADT Inc. 8-K (2026-03-02) q42025adtearningsrelease-e
https://www.sec.gov/Archives/edgar/data/1703056/000170305626000013/q42025adtearningsrelease-e</t>
        </r>
      </text>
    </comment>
    <comment ref="D9" authorId="0">
      <text>
        <r>
          <t xml:space="preserve">ADT Inc. 8-K (2026-07-30) q22026adtearningsrelease-e
ADT Inc. 8-K (2026-07-30) q22026adtearningsrelease-e
ADT Inc. 8-K (2026-07-30) q22026adtearningsrelease-e
https://www.sec.gov/Archives/edgar/data/1703056/000170305626000097/q22026adtearningsrelease-e</t>
        </r>
      </text>
    </comment>
    <comment ref="C10" authorId="0">
      <text>
        <r>
          <t xml:space="preserve">Cited for B10:C10
ADT Inc. 8-K (2026-03-02) q42025adtearningsrelease-e
Cited for B10:C10
ADT Inc. 8-K (2026-03-02) q42025adtearningsrelease-e
Cited for B10:C10
ADT Inc. 8-K (2026-03-02) q42025adtearningsrelease-e
https://www.sec.gov/Archives/edgar/data/1703056/000170305626000013/q42025adtearningsrelease-e</t>
        </r>
      </text>
    </comment>
    <comment ref="D10" authorId="0">
      <text>
        <r>
          <t xml:space="preserve">ADT Inc. 8-K (2026-07-30) q22026adtearningsrelease-e
ADT Inc. 8-K (2026-07-30) q22026adtearningsrelease-e
ADT Inc. 8-K (2026-07-30) q22026adtearningsrelease-e
https://www.sec.gov/Archives/edgar/data/1703056/000170305626000097/q22026adtearningsrelease-e</t>
        </r>
      </text>
    </comment>
    <comment ref="C11" authorId="0">
      <text>
        <r>
          <t xml:space="preserve">Cited for B11:C11
ADT Inc. 8-K (2026-03-02) q42025adtearningsrelease-e
Cited for B11:C11
ADT Inc. 8-K (2026-03-02) q42025adtearningsrelease-e
Cited for B11:C11
ADT Inc. 8-K (2026-03-02) q42025adtearningsrelease-e
https://www.sec.gov/Archives/edgar/data/1703056/000170305626000013/q42025adtearningsrelease-e</t>
        </r>
      </text>
    </comment>
    <comment ref="D11" authorId="0">
      <text>
        <r>
          <t xml:space="preserve">ADT Inc. 8-K (2026-07-30) q22026adtearningsrelease-e
ADT Inc. 8-K (2026-07-30) q22026adtearningsrelease-e
ADT Inc. 8-K (2026-07-30) q22026adtearningsrelease-e
https://www.sec.gov/Archives/edgar/data/1703056/000170305626000097/q22026adtearningsrelease-e</t>
        </r>
      </text>
    </comment>
    <comment ref="C12" authorId="0">
      <text>
        <r>
          <t xml:space="preserve">Cited for B12:C12
ADT Inc. 8-K (2026-03-02) q42025adtearningsrelease-e
Cited for B12:C12
ADT Inc. 8-K (2026-03-02) q42025adtearningsrelease-e
Cited for B12:C12
ADT Inc. 8-K (2026-03-02) q42025adtearningsrelease-e
https://www.sec.gov/Archives/edgar/data/1703056/000170305626000013/q42025adtearningsrelease-e</t>
        </r>
      </text>
    </comment>
    <comment ref="D12" authorId="0">
      <text>
        <r>
          <t xml:space="preserve">ADT Inc. 8-K (2026-07-30) q22026adtearningsrelease-e
ADT Inc. 8-K (2026-07-30) q22026adtearningsrelease-e
ADT Inc. 8-K (2026-07-30) q22026adtearningsrelease-e
https://www.sec.gov/Archives/edgar/data/1703056/000170305626000097/q22026adtearningsrelease-e</t>
        </r>
      </text>
    </comment>
    <comment ref="C13" authorId="0">
      <text>
        <r>
          <t xml:space="preserve">Cited for B13:C13
ADT Inc. 8-K (2026-03-02) q42025adtearningsrelease-e
Cited for B13:C13
ADT Inc. 8-K (2026-03-02) q42025adtearningsrelease-e
Cited for B13:C13
ADT Inc. 8-K (2026-03-02) q42025adtearningsrelease-e
https://www.sec.gov/Archives/edgar/data/1703056/000170305626000013/q42025adtearningsrelease-e</t>
        </r>
      </text>
    </comment>
    <comment ref="D13" authorId="0">
      <text>
        <r>
          <t xml:space="preserve">ADT Inc. 8-K (2026-07-30) q22026adtearningsrelease-e
ADT Inc. 8-K (2026-07-30) q22026adtearningsrelease-e
ADT Inc. 8-K (2026-07-30) q22026adtearningsrelease-e
https://www.sec.gov/Archives/edgar/data/1703056/000170305626000097/q22026adtearningsrelease-e</t>
        </r>
      </text>
    </comment>
    <comment ref="C14" authorId="0">
      <text>
        <r>
          <t xml:space="preserve">Cited for B14:C14
ADT Inc. 8-K (2026-03-02) q42025adtearningsrelease-e
Cited for B14:C14
ADT Inc. 8-K (2026-03-02) q42025adtearningsrelease-e
Cited for B14:C14
ADT Inc. 8-K (2026-03-02) q42025adtearningsrelease-e
https://www.sec.gov/Archives/edgar/data/1703056/000170305626000013/q42025adtearningsrelease-e</t>
        </r>
      </text>
    </comment>
    <comment ref="D14" authorId="0">
      <text>
        <r>
          <t xml:space="preserve">ADT Inc. 8-K (2026-07-30) q22026adtearningsrelease-e
ADT Inc. 8-K (2026-07-30) q22026adtearningsrelease-e
ADT Inc. 8-K (2026-07-30) q22026adtearningsrelease-e
https://www.sec.gov/Archives/edgar/data/1703056/000170305626000097/q22026adtearningsrelease-e</t>
        </r>
      </text>
    </comment>
    <comment ref="C15" authorId="0">
      <text>
        <r>
          <t xml:space="preserve">Cited for B15:C15
ADT Inc. 8-K (2026-03-02) q42025adtearningsrelease-e
Cited for B15:C15
ADT Inc. 8-K (2026-03-02) q42025adtearningsrelease-e
Cited for B15:C15
ADT Inc. 8-K (2026-03-02) q42025adtearningsrelease-e
https://www.sec.gov/Archives/edgar/data/1703056/000170305626000013/q42025adtearningsrelease-e</t>
        </r>
      </text>
    </comment>
    <comment ref="D15" authorId="0">
      <text>
        <r>
          <t xml:space="preserve">ADT Inc. 8-K (2026-07-30) q22026adtearningsrelease-e
ADT Inc. 8-K (2026-07-30) q22026adtearningsrelease-e
ADT Inc. 8-K (2026-07-30) q22026adtearningsrelease-e
https://www.sec.gov/Archives/edgar/data/1703056/000170305626000097/q22026adtearningsrelease-e</t>
        </r>
      </text>
    </comment>
    <comment ref="C16" authorId="0">
      <text>
        <r>
          <t xml:space="preserve">Cited for B16:C16
ADT Inc. 8-K (2026-03-02) q42025adtearningsrelease-e
Cited for B16:C16
ADT Inc. 8-K (2026-03-02) q42025adtearningsrelease-e
Cited for B16:C16
ADT Inc. 8-K (2026-03-02) q42025adtearningsrelease-e
https://www.sec.gov/Archives/edgar/data/1703056/000170305626000013/q42025adtearningsrelease-e</t>
        </r>
      </text>
    </comment>
    <comment ref="D16" authorId="0">
      <text>
        <r>
          <t xml:space="preserve">ADT Inc. 8-K (2026-07-30) q22026adtearningsrelease-e
ADT Inc. 8-K (2026-07-30) q22026adtearningsrelease-e
ADT Inc. 8-K (2026-07-30) q22026adtearningsrelease-e
https://www.sec.gov/Archives/edgar/data/1703056/000170305626000097/q22026adtearningsrelease-e</t>
        </r>
      </text>
    </comment>
    <comment ref="C17" authorId="0">
      <text>
        <r>
          <t xml:space="preserve">Cited for B17:C17
ADT Inc. 8-K (2026-03-02) q42025adtearningsrelease-e
Cited for B17:C17
ADT Inc. 8-K (2026-03-02) q42025adtearningsrelease-e
Cited for B17:C17
ADT Inc. 8-K (2026-03-02) q42025adtearningsrelease-e
https://www.sec.gov/Archives/edgar/data/1703056/000170305626000013/q42025adtearningsrelease-e</t>
        </r>
      </text>
    </comment>
    <comment ref="D17" authorId="0">
      <text>
        <r>
          <t xml:space="preserve">ADT Inc. 8-K (2026-07-30) q22026adtearningsrelease-e
ADT Inc. 8-K (2026-07-30) q22026adtearningsrelease-e
ADT Inc. 8-K (2026-07-30) q22026adtearningsrelease-e
https://www.sec.gov/Archives/edgar/data/1703056/000170305626000097/q22026adtearningsrelease-e</t>
        </r>
      </text>
    </comment>
    <comment ref="C18" authorId="0">
      <text>
        <r>
          <t xml:space="preserve">Cited for B18:C18
ADT Inc. 8-K (2026-03-02) q42025adtearningsrelease-e
Cited for B18:C18
ADT Inc. 8-K (2026-03-02) q42025adtearningsrelease-e
Cited for B18:C18
ADT Inc. 8-K (2026-03-02) q42025adtearningsrelease-e
https://www.sec.gov/Archives/edgar/data/1703056/000170305626000013/q42025adtearningsrelease-e</t>
        </r>
      </text>
    </comment>
    <comment ref="D18" authorId="0">
      <text>
        <r>
          <t xml:space="preserve">ADT Inc. 8-K (2026-07-30) q22026adtearningsrelease-e
ADT Inc. 8-K (2026-07-30) q22026adtearningsrelease-e
ADT Inc. 8-K (2026-07-30) q22026adtearningsrelease-e
https://www.sec.gov/Archives/edgar/data/1703056/000170305626000097/q22026adtearningsrelease-e</t>
        </r>
      </text>
    </comment>
    <comment ref="B21" authorId="0">
      <text>
        <r>
          <t xml:space="preserve">ADT Inc. 10-Q (2026-06-30) adt-20260630
ADT Inc. 10-Q (2026-06-30) adt-20260630
ADT Inc. 10-Q (2026-06-30) adt-20260630
https://www.sec.gov/Archives/edgar/data/1703056/000170305626000100/adt-20260630</t>
        </r>
      </text>
    </comment>
    <comment ref="B22" authorId="0">
      <text>
        <r>
          <t xml:space="preserve">ADT Inc. 10-Q (2026-06-30) adt-20260630
ADT Inc. 10-Q (2026-06-30) adt-20260630
ADT Inc. 10-Q (2026-06-30) adt-20260630
https://www.sec.gov/Archives/edgar/data/1703056/000170305626000100/adt-20260630</t>
        </r>
      </text>
    </comment>
    <comment ref="B23" authorId="0">
      <text>
        <r>
          <t xml:space="preserve">ADT Inc. 10-Q (2026-06-30) adt-20260630
ADT Inc. 10-Q (2026-06-30) adt-20260630
ADT Inc. 10-Q (2026-06-30) adt-20260630
https://www.sec.gov/Archives/edgar/data/1703056/000170305626000100/adt-20260630</t>
        </r>
      </text>
    </comment>
    <comment ref="B24" authorId="0">
      <text>
        <r>
          <t xml:space="preserve">ADT Inc. 10-Q (2026-06-30) adt-20260630
ADT Inc. 10-Q (2026-06-30) adt-20260630
ADT Inc. 10-Q (2026-06-30) adt-20260630
https://www.sec.gov/Archives/edgar/data/1703056/000170305626000100/adt-20260630</t>
        </r>
      </text>
    </comment>
    <comment ref="B25" authorId="0">
      <text>
        <r>
          <t xml:space="preserve">ADT Inc. 10-Q (2026-06-30) adt-20260630
ADT Inc. 10-Q (2026-06-30) adt-20260630
ADT Inc. 10-Q (2026-06-30) adt-20260630
https://www.sec.gov/Archives/edgar/data/1703056/000170305626000100/adt-20260630</t>
        </r>
      </text>
    </comment>
    <comment ref="B26" authorId="0">
      <text>
        <r>
          <t xml:space="preserve">ADT Inc. 10-Q (2026-06-30) adt-20260630
ADT Inc. 10-Q (2026-06-30) adt-20260630
ADT Inc. 10-Q (2026-06-30) adt-20260630
https://www.sec.gov/Archives/edgar/data/1703056/000170305626000100/adt-20260630</t>
        </r>
      </text>
    </comment>
    <comment ref="B27" authorId="0">
      <text>
        <r>
          <t xml:space="preserve">ADT Inc. 10-Q (2026-06-30) adt-20260630
ADT Inc. 10-Q (2026-06-30) adt-20260630
ADT Inc. 10-Q (2026-06-30) adt-20260630
https://www.sec.gov/Archives/edgar/data/1703056/000170305626000100/adt-20260630</t>
        </r>
      </text>
    </comment>
    <comment ref="B28" authorId="0">
      <text>
        <r>
          <t xml:space="preserve">ADT Inc. 10-Q (2026-06-30) adt-20260630
ADT Inc. 10-Q (2026-06-30) adt-20260630
ADT Inc. 10-Q (2026-06-30) adt-20260630
https://www.sec.gov/Archives/edgar/data/1703056/000170305626000100/adt-20260630</t>
        </r>
      </text>
    </comment>
    <comment ref="B29" authorId="0">
      <text>
        <r>
          <t xml:space="preserve">ADT Inc. 10-Q (2026-06-30) adt-20260630
ADT Inc. 10-Q (2026-06-30) adt-20260630
ADT Inc. 10-Q (2026-06-30) adt-20260630
https://www.sec.gov/Archives/edgar/data/1703056/000170305626000100/adt-20260630</t>
        </r>
      </text>
    </comment>
    <comment ref="B31" authorId="0">
      <text>
        <r>
          <t xml:space="preserve">ADT Inc. 10-Q (2026-06-30) adt-20260630
ADT Inc. 10-Q (2026-06-30) adt-20260630
ADT Inc. 10-Q (2026-06-30) adt-20260630
https://www.sec.gov/Archives/edgar/data/1703056/000170305626000100/adt-20260630</t>
        </r>
      </text>
    </comment>
    <comment ref="B33" authorId="0">
      <text>
        <r>
          <t xml:space="preserve">ADT Inc. 10-Q (2026-06-30) adt-20260630
ADT Inc. 10-Q (2026-06-30) adt-20260630
ADT Inc. 10-Q (2026-06-30) adt-20260630
https://www.sec.gov/Archives/edgar/data/1703056/000170305626000100/adt-20260630</t>
        </r>
      </text>
    </comment>
  </commentList>
</comments>
</file>

<file path=xl/comments7.xml><?xml version="1.0" encoding="utf-8"?>
<comments xmlns="http://schemas.openxmlformats.org/spreadsheetml/2006/main">
  <authors>
    <author>Compound</author>
  </authors>
  <commentList>
    <comment ref="B5" authorId="0">
      <text>
        <r>
          <t xml:space="preserve">ADT Inc. 8-K (2025-02-27) q42024adtearningsrelease-e
ADT Inc. 8-K (2025-02-27) q42024adtearningsrelease-e
ADT Inc. 8-K (2025-02-27) q42024adtearningsrelease-e
https://www.sec.gov/Archives/edgar/data/1703056/000170305625000021/q42024adtearningsrelease-e</t>
        </r>
      </text>
    </comment>
    <comment ref="D5" authorId="0">
      <text>
        <r>
          <t xml:space="preserve">Cited for C5:D5
ADT Inc. 8-K (2026-03-02) q42025adtearningsrelease-e
Cited for C5:D5
ADT Inc. 8-K (2026-03-02) q42025adtearningsrelease-e
Cited for C5:D5
ADT Inc. 8-K (2026-03-02) q42025adtearningsrelease-e
https://www.sec.gov/Archives/edgar/data/1703056/000170305626000013/q42025adtearningsrelease-e</t>
        </r>
      </text>
    </comment>
    <comment ref="F5" authorId="0">
      <text>
        <r>
          <t xml:space="preserve">Cited for E5:F5
ADT Inc. 8-K (2026-07-30) q22026adtearningsrelease-e
Cited for E5:F5
ADT Inc. 8-K (2026-07-30) q22026adtearningsrelease-e
Cited for E5:F5
ADT Inc. 8-K (2026-07-30) q22026adtearningsrelease-e
https://www.sec.gov/Archives/edgar/data/1703056/000170305626000097/q22026adtearningsrelease-e</t>
        </r>
      </text>
    </comment>
    <comment ref="B6" authorId="0">
      <text>
        <r>
          <t xml:space="preserve">ADT Inc. 8-K (2025-02-27) q42024adtearningsrelease-e
ADT Inc. 8-K (2025-02-27) q42024adtearningsrelease-e
ADT Inc. 8-K (2025-02-27) q42024adtearningsrelease-e
https://www.sec.gov/Archives/edgar/data/1703056/000170305625000021/q42024adtearningsrelease-e</t>
        </r>
      </text>
    </comment>
    <comment ref="D6" authorId="0">
      <text>
        <r>
          <t xml:space="preserve">Cited for C6:D6
ADT Inc. 8-K (2026-03-02) q42025adtearningsrelease-e
Cited for C6:D6
ADT Inc. 8-K (2026-03-02) q42025adtearningsrelease-e
Cited for C6:D6
ADT Inc. 8-K (2026-03-02) q42025adtearningsrelease-e
https://www.sec.gov/Archives/edgar/data/1703056/000170305626000013/q42025adtearningsrelease-e</t>
        </r>
      </text>
    </comment>
    <comment ref="F6" authorId="0">
      <text>
        <r>
          <t xml:space="preserve">Cited for E6:F6
ADT Inc. 8-K (2026-07-30) q22026adtearningsrelease-e
Cited for E6:F6
ADT Inc. 8-K (2026-07-30) q22026adtearningsrelease-e
Cited for E6:F6
ADT Inc. 8-K (2026-07-30) q22026adtearningsrelease-e
https://www.sec.gov/Archives/edgar/data/1703056/000170305626000097/q22026adtearningsrelease-e</t>
        </r>
      </text>
    </comment>
    <comment ref="B7" authorId="0">
      <text>
        <r>
          <t xml:space="preserve">ADT Inc. 8-K (2025-02-27) q42024adtearningsrelease-e
ADT Inc. 8-K (2025-02-27) q42024adtearningsrelease-e
ADT Inc. 8-K (2025-02-27) q42024adtearningsrelease-e
https://www.sec.gov/Archives/edgar/data/1703056/000170305625000021/q42024adtearningsrelease-e</t>
        </r>
      </text>
    </comment>
    <comment ref="D7" authorId="0">
      <text>
        <r>
          <t xml:space="preserve">Cited for C7:D7
ADT Inc. 8-K (2026-03-02) q42025adtearningsrelease-e
Cited for C7:D7
ADT Inc. 8-K (2026-03-02) q42025adtearningsrelease-e
Cited for C7:D7
ADT Inc. 8-K (2026-03-02) q42025adtearningsrelease-e
https://www.sec.gov/Archives/edgar/data/1703056/000170305626000013/q42025adtearningsrelease-e</t>
        </r>
      </text>
    </comment>
    <comment ref="F7" authorId="0">
      <text>
        <r>
          <t xml:space="preserve">Cited for E7:F7
ADT Inc. 8-K (2026-07-30) q22026adtearningsrelease-e
Cited for E7:F7
ADT Inc. 8-K (2026-07-30) q22026adtearningsrelease-e
Cited for E7:F7
ADT Inc. 8-K (2026-07-30) q22026adtearningsrelease-e
https://www.sec.gov/Archives/edgar/data/1703056/000170305626000097/q22026adtearningsrelease-e</t>
        </r>
      </text>
    </comment>
    <comment ref="B8" authorId="0">
      <text>
        <r>
          <t xml:space="preserve">ADT Inc. 8-K (2025-02-27) q42024adtearningsrelease-e
ADT Inc. 8-K (2025-02-27) q42024adtearningsrelease-e
ADT Inc. 8-K (2025-02-27) q42024adtearningsrelease-e
https://www.sec.gov/Archives/edgar/data/1703056/000170305625000021/q42024adtearningsrelease-e</t>
        </r>
      </text>
    </comment>
    <comment ref="D8" authorId="0">
      <text>
        <r>
          <t xml:space="preserve">Cited for C8:D8
ADT Inc. 8-K (2026-03-02) q42025adtearningsrelease-e
Cited for C8:D8
ADT Inc. 8-K (2026-03-02) q42025adtearningsrelease-e
Cited for C8:D8
ADT Inc. 8-K (2026-03-02) q42025adtearningsrelease-e
https://www.sec.gov/Archives/edgar/data/1703056/000170305626000013/q42025adtearningsrelease-e</t>
        </r>
      </text>
    </comment>
    <comment ref="F8" authorId="0">
      <text>
        <r>
          <t xml:space="preserve">Cited for E8:F8
ADT Inc. 8-K (2026-07-30) q22026adtearningsrelease-e
Cited for E8:F8
ADT Inc. 8-K (2026-07-30) q22026adtearningsrelease-e
Cited for E8:F8
ADT Inc. 8-K (2026-07-30) q22026adtearningsrelease-e
https://www.sec.gov/Archives/edgar/data/1703056/000170305626000097/q22026adtearningsrelease-e</t>
        </r>
      </text>
    </comment>
    <comment ref="B10" authorId="0">
      <text>
        <r>
          <t xml:space="preserve">ADT Inc. 8-K (2025-02-27) q42024adtearningsrelease-e
ADT Inc. 8-K (2025-02-27) q42024adtearningsrelease-e
ADT Inc. 8-K (2025-02-27) q42024adtearningsrelease-e
https://www.sec.gov/Archives/edgar/data/1703056/000170305625000021/q42024adtearningsrelease-e</t>
        </r>
      </text>
    </comment>
    <comment ref="D10" authorId="0">
      <text>
        <r>
          <t xml:space="preserve">Cited for C10:D10
ADT Inc. 8-K (2026-03-02) q42025adtearningsrelease-e
Cited for C10:D10
ADT Inc. 8-K (2026-03-02) q42025adtearningsrelease-e
Cited for C10:D10
ADT Inc. 8-K (2026-03-02) q42025adtearningsrelease-e
https://www.sec.gov/Archives/edgar/data/1703056/000170305626000013/q42025adtearningsrelease-e</t>
        </r>
      </text>
    </comment>
    <comment ref="F10" authorId="0">
      <text>
        <r>
          <t xml:space="preserve">Cited for E10:F10
ADT Inc. 8-K (2026-07-30) q22026adtearningsrelease-e
Cited for E10:F10
ADT Inc. 8-K (2026-07-30) q22026adtearningsrelease-e
Cited for E10:F10
ADT Inc. 8-K (2026-07-30) q22026adtearningsrelease-e
https://www.sec.gov/Archives/edgar/data/1703056/000170305626000097/q22026adtearningsrelease-e</t>
        </r>
      </text>
    </comment>
    <comment ref="B11" authorId="0">
      <text>
        <r>
          <t xml:space="preserve">ADT Inc. 8-K (2025-02-27) q42024adtearningsrelease-e
ADT Inc. 8-K (2025-02-27) q42024adtearningsrelease-e
ADT Inc. 8-K (2025-02-27) q42024adtearningsrelease-e
https://www.sec.gov/Archives/edgar/data/1703056/000170305625000021/q42024adtearningsrelease-e</t>
        </r>
      </text>
    </comment>
    <comment ref="D11" authorId="0">
      <text>
        <r>
          <t xml:space="preserve">Cited for C11:D11
ADT Inc. 8-K (2026-03-02) q42025adtearningsrelease-e
Cited for C11:D11
ADT Inc. 8-K (2026-03-02) q42025adtearningsrelease-e
Cited for C11:D11
ADT Inc. 8-K (2026-03-02) q42025adtearningsrelease-e
https://www.sec.gov/Archives/edgar/data/1703056/000170305626000013/q42025adtearningsrelease-e</t>
        </r>
      </text>
    </comment>
    <comment ref="F11" authorId="0">
      <text>
        <r>
          <t xml:space="preserve">Cited for E11:F11
ADT Inc. 8-K (2026-07-30) q22026adtearningsrelease-e
Cited for E11:F11
ADT Inc. 8-K (2026-07-30) q22026adtearningsrelease-e
Cited for E11:F11
ADT Inc. 8-K (2026-07-30) q22026adtearningsrelease-e
https://www.sec.gov/Archives/edgar/data/1703056/000170305626000097/q22026adtearningsrelease-e</t>
        </r>
      </text>
    </comment>
    <comment ref="C13" authorId="0">
      <text>
        <r>
          <t xml:space="preserve">Cited for B13:C13
ADT Inc. 8-K (2025-02-27) q42024adtearningsrelease-e
Cited for B13:C13
ADT Inc. 8-K (2025-02-27) q42024adtearningsrelease-e
Cited for B13:C13
ADT Inc. 8-K (2025-02-27) q42024adtearningsrelease-e
https://www.sec.gov/Archives/edgar/data/1703056/000170305625000021/q42024adtearningsrelease-e</t>
        </r>
      </text>
    </comment>
    <comment ref="D13" authorId="0">
      <text>
        <r>
          <t xml:space="preserve">ADT Inc. 8-K (2026-03-02) q42025adtearningsrelease-e
ADT Inc. 8-K (2026-03-02) q42025adtearningsrelease-e
ADT Inc. 8-K (2026-03-02) q42025adtearningsrelease-e
https://www.sec.gov/Archives/edgar/data/1703056/000170305626000013/q42025adtearningsrelease-e</t>
        </r>
      </text>
    </comment>
    <comment ref="F13" authorId="0">
      <text>
        <r>
          <t xml:space="preserve">Cited for E13:F13
ADT Inc. 8-K (2026-07-30) q22026adtearningsrelease-e
Cited for E13:F13
ADT Inc. 8-K (2026-07-30) q22026adtearningsrelease-e
Cited for E13:F13
ADT Inc. 8-K (2026-07-30) q22026adtearningsrelease-e
https://www.sec.gov/Archives/edgar/data/1703056/000170305626000097/q22026adtearningsrelease-e</t>
        </r>
      </text>
    </comment>
  </commentList>
</comments>
</file>

<file path=xl/comments8.xml><?xml version="1.0" encoding="utf-8"?>
<comments xmlns="http://schemas.openxmlformats.org/spreadsheetml/2006/main">
  <authors>
    <author>Compound</author>
  </authors>
  <commentList>
    <comment ref="C6" authorId="0">
      <text>
        <r>
          <t xml:space="preserve">VSRPF close, 2026-10-28: 10 (data provided by Fiscal.ai)
VSRPF close, 2026-10-28: 10 (data provided by Fiscal.ai)
VSRPF close, 2026-10-28: 10 (data provided by Fiscal.ai)</t>
        </r>
      </text>
    </comment>
    <comment ref="D6" authorId="0">
      <text>
        <r>
          <t xml:space="preserve">VSRPF shares outstanding, 2026-03-31 (Common Stock): 1.03B (data provided by Fiscal.ai)
VSRPF shares outstanding, 2026-03-31 (Common Stock): 1.03B (data provided by Fiscal.ai)
VSRPF shares outstanding, 2026-03-31 (Common Stock): 1.03B (data provided by Fiscal.ai)</t>
        </r>
      </text>
    </comment>
    <comment ref="H6" authorId="0">
      <text>
        <r>
          <t xml:space="preserve">VSRPF revenue, 2026-06-30: 3.94B (data provided by Fiscal.ai)
VSRPF revenue, 2026-06-30: 3.94B (data provided by Fiscal.ai)
VSRPF revenue, 2026-06-30: 3.94B (data provided by Fiscal.ai)</t>
        </r>
      </text>
    </comment>
    <comment ref="I6" authorId="0">
      <text>
        <r>
          <t xml:space="preserve">VSRPF revenue growth, 2026-06-30: 10.309884388209278 (data provided by Fiscal.ai)
VSRPF revenue growth, 2026-06-30: 10.309884388209278 (data provided by Fiscal.ai)
VSRPF revenue growth, 2026-06-30: 10.309884388209278 (data provided by Fiscal.ai)</t>
        </r>
      </text>
    </comment>
    <comment ref="J6" authorId="0">
      <text>
        <r>
          <t xml:space="preserve">VSRPF ebitda, 2026-06-30: 1.54B (data provided by Fiscal.ai)
VSRPF ebitda, 2026-06-30: 1.54B (data provided by Fiscal.ai)
VSRPF ebitda, 2026-06-30: 1.54B (data provided by Fiscal.ai)</t>
        </r>
      </text>
    </comment>
    <comment ref="C7" authorId="0">
      <text>
        <r>
          <t xml:space="preserve">BCO close, 2026-10-28: 100.19 (data provided by Fiscal.ai)
BCO close, 2026-10-28: 100.19 (data provided by Fiscal.ai)
BCO close, 2026-10-28: 100.19 (data provided by Fiscal.ai)</t>
        </r>
      </text>
    </comment>
    <comment ref="D7" authorId="0">
      <text>
        <r>
          <t xml:space="preserve">BCO shares outstanding, 2026-07-31 (Common Stock): 41.19M (data provided by Fiscal.ai)
BCO shares outstanding, 2026-07-31 (Common Stock): 41.19M (data provided by Fiscal.ai)
BCO shares outstanding, 2026-07-31 (Common Stock): 41.19M (data provided by Fiscal.ai)</t>
        </r>
      </text>
    </comment>
    <comment ref="H7" authorId="0">
      <text>
        <r>
          <t xml:space="preserve">BCO revenue, 2026-06-30: 5.48B (data provided by Fiscal.ai)
BCO revenue, 2026-06-30: 5.48B (data provided by Fiscal.ai)
BCO revenue, 2026-06-30: 5.48B (data provided by Fiscal.ai)</t>
        </r>
      </text>
    </comment>
    <comment ref="I7" authorId="0">
      <text>
        <r>
          <t xml:space="preserve">BCO revenue growth, 2026-06-30: 8.116530898045315 (data provided by Fiscal.ai)
BCO revenue growth, 2026-06-30: 8.116530898045315 (data provided by Fiscal.ai)
BCO revenue growth, 2026-06-30: 8.116530898045315 (data provided by Fiscal.ai)</t>
        </r>
      </text>
    </comment>
    <comment ref="J7" authorId="0">
      <text>
        <r>
          <t xml:space="preserve">BCO ebitda, 2026-06-30: 895.10M (data provided by Fiscal.ai)
BCO ebitda, 2026-06-30: 895.10M (data provided by Fiscal.ai)
BCO ebitda, 2026-06-30: 895.10M (data provided by Fiscal.ai)</t>
        </r>
      </text>
    </comment>
    <comment ref="C10" authorId="0">
      <text>
        <r>
          <t xml:space="preserve">ALRM close, 2026-10-28: 64.92 (data provided by Fiscal.ai)
ALRM close, 2026-10-28: 64.92 (data provided by Fiscal.ai)
ALRM close, 2026-10-28: 64.92 (data provided by Fiscal.ai)</t>
        </r>
      </text>
    </comment>
    <comment ref="D10" authorId="0">
      <text>
        <r>
          <t xml:space="preserve">ALRM shares outstanding, 2026-07-30 (Common Stock): 49.09M (data provided by Fiscal.ai)
ALRM shares outstanding, 2026-07-30 (Common Stock): 49.09M (data provided by Fiscal.ai)
ALRM shares outstanding, 2026-07-30 (Common Stock): 49.09M (data provided by Fiscal.ai)</t>
        </r>
      </text>
    </comment>
    <comment ref="H10" authorId="0">
      <text>
        <r>
          <t xml:space="preserve">ALRM revenue, 2026-06-30: 1.06B (data provided by Fiscal.ai)
ALRM revenue, 2026-06-30: 1.06B (data provided by Fiscal.ai)
ALRM revenue, 2026-06-30: 1.06B (data provided by Fiscal.ai)</t>
        </r>
      </text>
    </comment>
    <comment ref="I10" authorId="0">
      <text>
        <r>
          <t xml:space="preserve">ALRM revenue growth, 2026-06-30: 8.722192675846197 (data provided by Fiscal.ai)
ALRM revenue growth, 2026-06-30: 8.722192675846197 (data provided by Fiscal.ai)
ALRM revenue growth, 2026-06-30: 8.722192675846197 (data provided by Fiscal.ai)</t>
        </r>
      </text>
    </comment>
    <comment ref="J10" authorId="0">
      <text>
        <r>
          <t xml:space="preserve">ALRM ebitda, 2026-06-30: 170.41M (data provided by Fiscal.ai)
ALRM ebitda, 2026-06-30: 170.41M (data provided by Fiscal.ai)
ALRM ebitda, 2026-06-30: 170.41M (data provided by Fiscal.ai)</t>
        </r>
      </text>
    </comment>
    <comment ref="C11" authorId="0">
      <text>
        <r>
          <t xml:space="preserve">NSSC close, 2026-10-28: 39.66 (data provided by Fiscal.ai)
NSSC close, 2026-10-28: 39.66 (data provided by Fiscal.ai)
NSSC close, 2026-10-28: 39.66 (data provided by Fiscal.ai)</t>
        </r>
      </text>
    </comment>
    <comment ref="D11" authorId="0">
      <text>
        <r>
          <t xml:space="preserve">NSSC shares outstanding, 2026-08-21 (Common Stock): 35.77M (data provided by Fiscal.ai)
NSSC shares outstanding, 2026-08-21 (Common Stock): 35.77M (data provided by Fiscal.ai)
NSSC shares outstanding, 2026-08-21 (Common Stock): 35.77M (data provided by Fiscal.ai)</t>
        </r>
      </text>
    </comment>
    <comment ref="H11" authorId="0">
      <text>
        <r>
          <t xml:space="preserve">NSSC revenue, 2026-06-30: 202.32M (data provided by Fiscal.ai)
NSSC revenue, 2026-06-30: 202.32M (data provided by Fiscal.ai)
NSSC revenue, 2026-06-30: 202.32M (data provided by Fiscal.ai)</t>
        </r>
      </text>
    </comment>
    <comment ref="I11" authorId="0">
      <text>
        <r>
          <t xml:space="preserve">NSSC revenue growth, 2026-06-30: 11.394607451781447 (data provided by Fiscal.ai)
NSSC revenue growth, 2026-06-30: 11.394607451781447 (data provided by Fiscal.ai)
NSSC revenue growth, 2026-06-30: 11.394607451781447 (data provided by Fiscal.ai)</t>
        </r>
      </text>
    </comment>
    <comment ref="J11" authorId="0">
      <text>
        <r>
          <t xml:space="preserve">NSSC ebitda, 2026-06-30: 47.85M (data provided by Fiscal.ai)
NSSC ebitda, 2026-06-30: 47.85M (data provided by Fiscal.ai)
NSSC ebitda, 2026-06-30: 47.85M (data provided by Fiscal.ai)</t>
        </r>
      </text>
    </comment>
    <comment ref="C12" authorId="0">
      <text>
        <r>
          <t xml:space="preserve">REZI close, 2026-10-28: 18.31 (data provided by Fiscal.ai)
REZI close, 2026-10-28: 18.31 (data provided by Fiscal.ai)
REZI close, 2026-10-28: 18.31 (data provided by Fiscal.ai)</t>
        </r>
      </text>
    </comment>
    <comment ref="D12" authorId="0">
      <text>
        <r>
          <t xml:space="preserve">REZI shares outstanding, 2026-08-05 (Common Stock): 151.85M (data provided by Fiscal.ai)
REZI shares outstanding, 2026-08-05 (Common Stock): 151.85M (data provided by Fiscal.ai)
REZI shares outstanding, 2026-08-05 (Common Stock): 151.85M (data provided by Fiscal.ai)</t>
        </r>
      </text>
    </comment>
    <comment ref="H12" authorId="0">
      <text>
        <r>
          <t xml:space="preserve">REZI revenue, 2026-07-04: 7.65B (data provided by Fiscal.ai)
REZI revenue, 2026-07-04: 7.65B (data provided by Fiscal.ai)
REZI revenue, 2026-07-04: 7.65B (data provided by Fiscal.ai)</t>
        </r>
      </text>
    </comment>
    <comment ref="I12" authorId="0">
      <text>
        <r>
          <t xml:space="preserve">REZI revenue growth, 2026-07-04: 3.4193809974320866 (data provided by Fiscal.ai)
REZI revenue growth, 2026-07-04: 3.4193809974320866 (data provided by Fiscal.ai)
REZI revenue growth, 2026-07-04: 3.4193809974320866 (data provided by Fiscal.ai)</t>
        </r>
      </text>
    </comment>
    <comment ref="J12" authorId="0">
      <text>
        <r>
          <t xml:space="preserve">REZI ebitda, 2026-07-04: 727.00M (data provided by Fiscal.ai)
REZI ebitda, 2026-07-04: 727.00M (data provided by Fiscal.ai)
REZI ebitda, 2026-07-04: 727.00M (data provided by Fiscal.ai)</t>
        </r>
      </text>
    </comment>
    <comment ref="C13" authorId="0">
      <text>
        <r>
          <t xml:space="preserve">ARLO close, 2026-10-28: 13.64 (data provided by Fiscal.ai)
ARLO close, 2026-10-28: 13.64 (data provided by Fiscal.ai)
ARLO close, 2026-10-28: 13.64 (data provided by Fiscal.ai)</t>
        </r>
      </text>
    </comment>
    <comment ref="D13" authorId="0">
      <text>
        <r>
          <t xml:space="preserve">ARLO shares outstanding, 2026-07-31 (Common Stock): 107.61M (data provided by Fiscal.ai)
ARLO shares outstanding, 2026-07-31 (Common Stock): 107.61M (data provided by Fiscal.ai)
ARLO shares outstanding, 2026-07-31 (Common Stock): 107.61M (data provided by Fiscal.ai)</t>
        </r>
      </text>
    </comment>
    <comment ref="H13" authorId="0">
      <text>
        <r>
          <t xml:space="preserve">ARLO revenue, 2026-06-28: 587.14M (data provided by Fiscal.ai)
ARLO revenue, 2026-06-28: 587.14M (data provided by Fiscal.ai)
ARLO revenue, 2026-06-28: 587.14M (data provided by Fiscal.ai)</t>
        </r>
      </text>
    </comment>
    <comment ref="I13" authorId="0">
      <text>
        <r>
          <t xml:space="preserve">ARLO revenue growth, 2026-06-28: 15.645742648362248 (data provided by Fiscal.ai)
ARLO revenue growth, 2026-06-28: 15.645742648362248 (data provided by Fiscal.ai)
ARLO revenue growth, 2026-06-28: 15.645742648362248 (data provided by Fiscal.ai)</t>
        </r>
      </text>
    </comment>
    <comment ref="J13" authorId="0">
      <text>
        <r>
          <t xml:space="preserve">ARLO ebitda, 2026-06-28: 22.47M (data provided by Fiscal.ai)
ARLO ebitda, 2026-06-28: 22.47M (data provided by Fiscal.ai)
ARLO ebitda, 2026-06-28: 22.47M (data provided by Fiscal.ai)</t>
        </r>
      </text>
    </comment>
    <comment ref="C14" authorId="0">
      <text>
        <r>
          <t xml:space="preserve">ALLE close, 2026-10-28: 180.66 (data provided by Fiscal.ai)
ALLE close, 2026-10-28: 180.66 (data provided by Fiscal.ai)
ALLE close, 2026-10-28: 180.66 (data provided by Fiscal.ai)</t>
        </r>
      </text>
    </comment>
    <comment ref="D14" authorId="0">
      <text>
        <r>
          <t xml:space="preserve">ALLE shares outstanding, 2026-10-19 (Common Stock): 84.32M (data provided by Fiscal.ai)
ALLE shares outstanding, 2026-10-19 (Common Stock): 84.32M (data provided by Fiscal.ai)
ALLE shares outstanding, 2026-10-19 (Common Stock): 84.32M (data provided by Fiscal.ai)</t>
        </r>
      </text>
    </comment>
    <comment ref="H14" authorId="0">
      <text>
        <r>
          <t xml:space="preserve">ALLE revenue, 2026-09-30: 4.39B (data provided by Fiscal.ai)
ALLE revenue, 2026-09-30: 4.39B (data provided by Fiscal.ai)
ALLE revenue, 2026-09-30: 4.39B (data provided by Fiscal.ai)</t>
        </r>
      </text>
    </comment>
    <comment ref="I14" authorId="0">
      <text>
        <r>
          <t xml:space="preserve">ALLE revenue growth, 2026-09-30: 10.332437118375747 (data provided by Fiscal.ai)
ALLE revenue growth, 2026-09-30: 10.332437118375747 (data provided by Fiscal.ai)
ALLE revenue growth, 2026-09-30: 10.332437118375747 (data provided by Fiscal.ai)</t>
        </r>
      </text>
    </comment>
    <comment ref="J14" authorId="0">
      <text>
        <r>
          <t xml:space="preserve">ALLE ebitda, 2026-09-30: 1.09B (data provided by Fiscal.ai)
ALLE ebitda, 2026-09-30: 1.09B (data provided by Fiscal.ai)
ALLE ebitda, 2026-09-30: 1.09B (data provided by Fiscal.ai)</t>
        </r>
      </text>
    </comment>
    <comment ref="C15" authorId="0">
      <text>
        <r>
          <t xml:space="preserve">JCI close, 2026-10-28: 157.35 (data provided by Fiscal.ai)
JCI close, 2026-10-28: 157.35 (data provided by Fiscal.ai)
JCI close, 2026-10-28: 157.35 (data provided by Fiscal.ai)</t>
        </r>
      </text>
    </comment>
    <comment ref="D15" authorId="0">
      <text>
        <r>
          <t xml:space="preserve">JCI shares outstanding, 2026-06-30 (Common Stock): 605.74M (data provided by Fiscal.ai)
JCI shares outstanding, 2026-06-30 (Common Stock): 605.74M (data provided by Fiscal.ai)
JCI shares outstanding, 2026-06-30 (Common Stock): 605.74M (data provided by Fiscal.ai)</t>
        </r>
      </text>
    </comment>
    <comment ref="H15" authorId="0">
      <text>
        <r>
          <t xml:space="preserve">JCI revenue, 2026-06-30: 25.00B (data provided by Fiscal.ai)
JCI revenue, 2026-06-30: 25.00B (data provided by Fiscal.ai)
JCI revenue, 2026-06-30: 25.00B (data provided by Fiscal.ai)</t>
        </r>
      </text>
    </comment>
    <comment ref="I15" authorId="0">
      <text>
        <r>
          <t xml:space="preserve">JCI revenue growth, 2026-06-30: 6.807110503375791 (data provided by Fiscal.ai)
JCI revenue growth, 2026-06-30: 6.807110503375791 (data provided by Fiscal.ai)
JCI revenue growth, 2026-06-30: 6.807110503375791 (data provided by Fiscal.ai)</t>
        </r>
      </text>
    </comment>
    <comment ref="J15" authorId="0">
      <text>
        <r>
          <t xml:space="preserve">JCI ebitda, 2026-06-30: 3.76B (data provided by Fiscal.ai)
JCI ebitda, 2026-06-30: 3.76B (data provided by Fiscal.ai)
JCI ebitda, 2026-06-30: 3.76B (data provided by Fiscal.ai)</t>
        </r>
      </text>
    </comment>
    <comment ref="C18" authorId="0">
      <text>
        <r>
          <t xml:space="preserve">ROL close, 2026-10-28: 33.5 (data provided by Fiscal.ai)
ROL close, 2026-10-28: 33.5 (data provided by Fiscal.ai)
ROL close, 2026-10-28: 33.5 (data provided by Fiscal.ai)</t>
        </r>
      </text>
    </comment>
    <comment ref="D18" authorId="0">
      <text>
        <r>
          <t xml:space="preserve">ROL shares outstanding, 2026-10-12 (Common Stock): 478.05M (data provided by Fiscal.ai)
ROL shares outstanding, 2026-10-12 (Common Stock): 478.05M (data provided by Fiscal.ai)
ROL shares outstanding, 2026-10-12 (Common Stock): 478.05M (data provided by Fiscal.ai)</t>
        </r>
      </text>
    </comment>
    <comment ref="H18" authorId="0">
      <text>
        <r>
          <t xml:space="preserve">ROL revenue, 2026-09-30: 3.99B (data provided by Fiscal.ai)
ROL revenue, 2026-09-30: 3.99B (data provided by Fiscal.ai)
ROL revenue, 2026-09-30: 3.99B (data provided by Fiscal.ai)</t>
        </r>
      </text>
    </comment>
    <comment ref="I18" authorId="0">
      <text>
        <r>
          <t xml:space="preserve">ROL revenue growth, 2026-09-30: 8.349224222116302 (data provided by Fiscal.ai)
ROL revenue growth, 2026-09-30: 8.349224222116302 (data provided by Fiscal.ai)
ROL revenue growth, 2026-09-30: 8.349224222116302 (data provided by Fiscal.ai)</t>
        </r>
      </text>
    </comment>
    <comment ref="J18" authorId="0">
      <text>
        <r>
          <t xml:space="preserve">ROL ebitda, 2026-09-30: 860.72M (data provided by Fiscal.ai)
ROL ebitda, 2026-09-30: 860.72M (data provided by Fiscal.ai)
ROL ebitda, 2026-09-30: 860.72M (data provided by Fiscal.ai)</t>
        </r>
      </text>
    </comment>
    <comment ref="C19" authorId="0">
      <text>
        <r>
          <t xml:space="preserve">FTDR close, 2026-10-28: 84.2 (data provided by Fiscal.ai)
FTDR close, 2026-10-28: 84.2 (data provided by Fiscal.ai)
FTDR close, 2026-10-28: 84.2 (data provided by Fiscal.ai)</t>
        </r>
      </text>
    </comment>
    <comment ref="D19" authorId="0">
      <text>
        <r>
          <t xml:space="preserve">FTDR shares outstanding, 2026-07-31 (Common Stock): 68.89M (data provided by Fiscal.ai)
FTDR shares outstanding, 2026-07-31 (Common Stock): 68.89M (data provided by Fiscal.ai)
FTDR shares outstanding, 2026-07-31 (Common Stock): 68.89M (data provided by Fiscal.ai)</t>
        </r>
      </text>
    </comment>
    <comment ref="H19" authorId="0">
      <text>
        <r>
          <t xml:space="preserve">FTDR revenue, 2026-06-30: 2.15B (data provided by Fiscal.ai)
FTDR revenue, 2026-06-30: 2.15B (data provided by Fiscal.ai)
FTDR revenue, 2026-06-30: 2.15B (data provided by Fiscal.ai)</t>
        </r>
      </text>
    </comment>
    <comment ref="I19" authorId="0">
      <text>
        <r>
          <t xml:space="preserve">FTDR revenue growth, 2026-06-30: 9.262086513994916 (data provided by Fiscal.ai)
FTDR revenue growth, 2026-06-30: 9.262086513994916 (data provided by Fiscal.ai)
FTDR revenue growth, 2026-06-30: 9.262086513994916 (data provided by Fiscal.ai)</t>
        </r>
      </text>
    </comment>
    <comment ref="J19" authorId="0">
      <text>
        <r>
          <t xml:space="preserve">FTDR ebitda, 2026-06-30: 502.00M (data provided by Fiscal.ai)
FTDR ebitda, 2026-06-30: 502.00M (data provided by Fiscal.ai)
FTDR ebitda, 2026-06-30: 502.00M (data provided by Fiscal.ai)</t>
        </r>
      </text>
    </comment>
    <comment ref="B27" authorId="0">
      <text>
        <r>
          <t xml:space="preserve">VSRPF Long-Term Debt, Q2 2026 (standardized, Quarterly, balance-sheet): 3.91B (data provided by Fiscal.ai)
VSRPF Long-Term Debt, Q2 2026 (standardized, Quarterly, balance-sheet): 3.91B (data provided by Fiscal.ai)
VSRPF Long-Term Debt, Q2 2026 (standardized, Quarterly, balance-sheet): 3.91B (data provided by Fiscal.ai)</t>
        </r>
      </text>
    </comment>
    <comment ref="C27" authorId="0">
      <text>
        <r>
          <t xml:space="preserve">VSRPF Current Portion of Long-Term Debt, Q2 2026 (standardized, Quarterly, balance-sheet): 1.30B (data provided by Fiscal.ai)
VSRPF Current Portion of Long-Term Debt, Q2 2026 (standardized, Quarterly, balance-sheet): 1.30B (data provided by Fiscal.ai)
VSRPF Current Portion of Long-Term Debt, Q2 2026 (standardized, Quarterly, balance-sheet): 1.30B (data provided by Fiscal.ai)</t>
        </r>
      </text>
    </comment>
    <comment ref="E27" authorId="0">
      <text>
        <r>
          <t xml:space="preserve">VSRPF Cash and Cash Equivalents, Q2 2026 (standardized, Quarterly, balance-sheet): 36.70M (data provided by Fiscal.ai)
VSRPF Cash and Cash Equivalents, Q2 2026 (standardized, Quarterly, balance-sheet): 36.70M (data provided by Fiscal.ai)
VSRPF Cash and Cash Equivalents, Q2 2026 (standardized, Quarterly, balance-sheet): 36.70M (data provided by Fiscal.ai)</t>
        </r>
      </text>
    </comment>
    <comment ref="B28" authorId="0">
      <text>
        <r>
          <t xml:space="preserve">BCO Long-Term Debt, Q2 2026 (standardized, Quarterly, balance-sheet): 3.90B (data provided by Fiscal.ai)
BCO Long-Term Debt, Q2 2026 (standardized, Quarterly, balance-sheet): 3.90B (data provided by Fiscal.ai)
BCO Long-Term Debt, Q2 2026 (standardized, Quarterly, balance-sheet): 3.90B (data provided by Fiscal.ai)</t>
        </r>
      </text>
    </comment>
    <comment ref="C28" authorId="0">
      <text>
        <r>
          <t xml:space="preserve">BCO Current Portion of Long-Term Debt, Q2 2026 (standardized, Quarterly, balance-sheet): 98.40M (data provided by Fiscal.ai)
BCO Current Portion of Long-Term Debt, Q2 2026 (standardized, Quarterly, balance-sheet): 98.40M (data provided by Fiscal.ai)
BCO Current Portion of Long-Term Debt, Q2 2026 (standardized, Quarterly, balance-sheet): 98.40M (data provided by Fiscal.ai)</t>
        </r>
      </text>
    </comment>
    <comment ref="D28" authorId="0">
      <text>
        <r>
          <t xml:space="preserve">BCO Short-Term Debt, Q2 2026 (standardized, Quarterly, balance-sheet): 248.80M (data provided by Fiscal.ai)
BCO Short-Term Debt, Q2 2026 (standardized, Quarterly, balance-sheet): 248.80M (data provided by Fiscal.ai)
BCO Short-Term Debt, Q2 2026 (standardized, Quarterly, balance-sheet): 248.80M (data provided by Fiscal.ai)</t>
        </r>
      </text>
    </comment>
    <comment ref="E28" authorId="0">
      <text>
        <r>
          <t xml:space="preserve">BCO Cash and Cash Equivalents, Q2 2026 (standardized, Quarterly, balance-sheet): 1.66B (data provided by Fiscal.ai)
BCO Cash and Cash Equivalents, Q2 2026 (standardized, Quarterly, balance-sheet): 1.66B (data provided by Fiscal.ai)
BCO Cash and Cash Equivalents, Q2 2026 (standardized, Quarterly, balance-sheet): 1.66B (data provided by Fiscal.ai)</t>
        </r>
      </text>
    </comment>
    <comment ref="B29" authorId="0">
      <text>
        <r>
          <t xml:space="preserve">ALRM Long-Term Debt, Q2 2026 (standardized, Quarterly, balance-sheet): 491.09M (data provided by Fiscal.ai)
ALRM Long-Term Debt, Q2 2026 (standardized, Quarterly, balance-sheet): 491.09M (data provided by Fiscal.ai)
ALRM Long-Term Debt, Q2 2026 (standardized, Quarterly, balance-sheet): 491.09M (data provided by Fiscal.ai)</t>
        </r>
      </text>
    </comment>
    <comment ref="E29" authorId="0">
      <text>
        <r>
          <t xml:space="preserve">ALRM Cash and Cash Equivalents, Q2 2026 (standardized, Quarterly, balance-sheet): 479.42M (data provided by Fiscal.ai)
ALRM Cash and Cash Equivalents, Q2 2026 (standardized, Quarterly, balance-sheet): 479.42M (data provided by Fiscal.ai)
ALRM Cash and Cash Equivalents, Q2 2026 (standardized, Quarterly, balance-sheet): 479.42M (data provided by Fiscal.ai)</t>
        </r>
      </text>
    </comment>
    <comment ref="E30" authorId="0">
      <text>
        <r>
          <t xml:space="preserve">NSSC Cash and Cash Equivalents, Q4 2026 (standardized, Quarterly, balance-sheet): 126.93M (data provided by Fiscal.ai)
NSSC Cash and Cash Equivalents, Q4 2026 (standardized, Quarterly, balance-sheet): 126.93M (data provided by Fiscal.ai)
NSSC Cash and Cash Equivalents, Q4 2026 (standardized, Quarterly, balance-sheet): 126.93M (data provided by Fiscal.ai)</t>
        </r>
      </text>
    </comment>
    <comment ref="B31" authorId="0">
      <text>
        <r>
          <t xml:space="preserve">REZI Long-Term Debt, Q2 2026 (standardized, Quarterly, balance-sheet): 3.56B (data provided by Fiscal.ai)
REZI Long-Term Debt, Q2 2026 (standardized, Quarterly, balance-sheet): 3.56B (data provided by Fiscal.ai)
REZI Long-Term Debt, Q2 2026 (standardized, Quarterly, balance-sheet): 3.56B (data provided by Fiscal.ai)</t>
        </r>
      </text>
    </comment>
    <comment ref="E31" authorId="0">
      <text>
        <r>
          <t xml:space="preserve">REZI Cash and Cash Equivalents, Q2 2026 (standardized, Quarterly, balance-sheet): 549.00M (data provided by Fiscal.ai)
REZI Cash and Cash Equivalents, Q2 2026 (standardized, Quarterly, balance-sheet): 549.00M (data provided by Fiscal.ai)
REZI Cash and Cash Equivalents, Q2 2026 (standardized, Quarterly, balance-sheet): 549.00M (data provided by Fiscal.ai)</t>
        </r>
      </text>
    </comment>
    <comment ref="E32" authorId="0">
      <text>
        <r>
          <t xml:space="preserve">ARLO Cash and Cash Equivalents, Q2 2026 (standardized, Quarterly, balance-sheet): 101.38M (data provided by Fiscal.ai)
ARLO Cash and Cash Equivalents, Q2 2026 (standardized, Quarterly, balance-sheet): 101.38M (data provided by Fiscal.ai)
ARLO Cash and Cash Equivalents, Q2 2026 (standardized, Quarterly, balance-sheet): 101.38M (data provided by Fiscal.ai)</t>
        </r>
      </text>
    </comment>
    <comment ref="B33" authorId="0">
      <text>
        <r>
          <t xml:space="preserve">ALLE Long-Term Debt, Q3 2026 (standardized, Quarterly, balance-sheet): 2.03B (data provided by Fiscal.ai)
ALLE Long-Term Debt, Q3 2026 (standardized, Quarterly, balance-sheet): 2.03B (data provided by Fiscal.ai)
ALLE Long-Term Debt, Q3 2026 (standardized, Quarterly, balance-sheet): 2.03B (data provided by Fiscal.ai)</t>
        </r>
      </text>
    </comment>
    <comment ref="C33" authorId="0">
      <text>
        <r>
          <t xml:space="preserve">ALLE Current Portion of Long-Term Debt, Q3 2026 (standardized, Quarterly, balance-sheet): 300000 (data provided by Fiscal.ai)
ALLE Current Portion of Long-Term Debt, Q3 2026 (standardized, Quarterly, balance-sheet): 300000 (data provided by Fiscal.ai)
ALLE Current Portion of Long-Term Debt, Q3 2026 (standardized, Quarterly, balance-sheet): 300000 (data provided by Fiscal.ai)</t>
        </r>
      </text>
    </comment>
    <comment ref="D33" authorId="0">
      <text>
        <r>
          <t xml:space="preserve">ALLE Short-Term Debt, Q3 2026 (standardized, Quarterly, balance-sheet): 300000 (data provided by Fiscal.ai)
ALLE Short-Term Debt, Q3 2026 (standardized, Quarterly, balance-sheet): 300000 (data provided by Fiscal.ai)
ALLE Short-Term Debt, Q3 2026 (standardized, Quarterly, balance-sheet): 300000 (data provided by Fiscal.ai)</t>
        </r>
      </text>
    </comment>
    <comment ref="E33" authorId="0">
      <text>
        <r>
          <t xml:space="preserve">ALLE Cash and Cash Equivalents, Q3 2026 (standardized, Quarterly, balance-sheet): 388.10M (data provided by Fiscal.ai)
ALLE Cash and Cash Equivalents, Q3 2026 (standardized, Quarterly, balance-sheet): 388.10M (data provided by Fiscal.ai)
ALLE Cash and Cash Equivalents, Q3 2026 (standardized, Quarterly, balance-sheet): 388.10M (data provided by Fiscal.ai)</t>
        </r>
      </text>
    </comment>
    <comment ref="B34" authorId="0">
      <text>
        <r>
          <t xml:space="preserve">JCI Long-Term Debt, Q4 2026 (standardized, Quarterly, balance-sheet): 7.53B (data provided by Fiscal.ai)
JCI Long-Term Debt, Q4 2026 (standardized, Quarterly, balance-sheet): 7.53B (data provided by Fiscal.ai)
JCI Long-Term Debt, Q4 2026 (standardized, Quarterly, balance-sheet): 7.53B (data provided by Fiscal.ai)</t>
        </r>
      </text>
    </comment>
    <comment ref="C34" authorId="0">
      <text>
        <r>
          <t xml:space="preserve">JCI Current Portion of Long-Term Debt, Q4 2026 (standardized, Quarterly, balance-sheet): 1.07B (data provided by Fiscal.ai)
JCI Current Portion of Long-Term Debt, Q4 2026 (standardized, Quarterly, balance-sheet): 1.07B (data provided by Fiscal.ai)
JCI Current Portion of Long-Term Debt, Q4 2026 (standardized, Quarterly, balance-sheet): 1.07B (data provided by Fiscal.ai)</t>
        </r>
      </text>
    </comment>
    <comment ref="D34" authorId="0">
      <text>
        <r>
          <t xml:space="preserve">JCI Short-Term Debt, Q4 2026 (standardized, Quarterly, balance-sheet): 678.00M (data provided by Fiscal.ai)
JCI Short-Term Debt, Q4 2026 (standardized, Quarterly, balance-sheet): 678.00M (data provided by Fiscal.ai)
JCI Short-Term Debt, Q4 2026 (standardized, Quarterly, balance-sheet): 678.00M (data provided by Fiscal.ai)</t>
        </r>
      </text>
    </comment>
    <comment ref="E34" authorId="0">
      <text>
        <r>
          <t xml:space="preserve">JCI Cash and Cash Equivalents, Q4 2026 (standardized, Quarterly, balance-sheet): 618.00M (data provided by Fiscal.ai)
JCI Cash and Cash Equivalents, Q4 2026 (standardized, Quarterly, balance-sheet): 618.00M (data provided by Fiscal.ai)
JCI Cash and Cash Equivalents, Q4 2026 (standardized, Quarterly, balance-sheet): 618.00M (data provided by Fiscal.ai)</t>
        </r>
      </text>
    </comment>
    <comment ref="B35" authorId="0">
      <text>
        <r>
          <t xml:space="preserve">ROL Long-Term Debt, Q3 2026 (standardized, Quarterly, balance-sheet): 487.59M (data provided by Fiscal.ai)
ROL Long-Term Debt, Q3 2026 (standardized, Quarterly, balance-sheet): 487.59M (data provided by Fiscal.ai)
ROL Long-Term Debt, Q3 2026 (standardized, Quarterly, balance-sheet): 487.59M (data provided by Fiscal.ai)</t>
        </r>
      </text>
    </comment>
    <comment ref="D35" authorId="0">
      <text>
        <r>
          <t xml:space="preserve">ROL Short-Term Debt, Q3 2026 (standardized, Quarterly, balance-sheet): 239.56M (data provided by Fiscal.ai)
ROL Short-Term Debt, Q3 2026 (standardized, Quarterly, balance-sheet): 239.56M (data provided by Fiscal.ai)
ROL Short-Term Debt, Q3 2026 (standardized, Quarterly, balance-sheet): 239.56M (data provided by Fiscal.ai)</t>
        </r>
      </text>
    </comment>
    <comment ref="E35" authorId="0">
      <text>
        <r>
          <t xml:space="preserve">ROL Cash and Cash Equivalents, Q3 2026 (standardized, Quarterly, balance-sheet): 129.05M (data provided by Fiscal.ai)
ROL Cash and Cash Equivalents, Q3 2026 (standardized, Quarterly, balance-sheet): 129.05M (data provided by Fiscal.ai)
ROL Cash and Cash Equivalents, Q3 2026 (standardized, Quarterly, balance-sheet): 129.05M (data provided by Fiscal.ai)</t>
        </r>
      </text>
    </comment>
    <comment ref="B36" authorId="0">
      <text>
        <r>
          <t xml:space="preserve">FTDR Long-Term Debt, Q2 2026 (standardized, Quarterly, balance-sheet): 1.13B (data provided by Fiscal.ai)
FTDR Long-Term Debt, Q2 2026 (standardized, Quarterly, balance-sheet): 1.13B (data provided by Fiscal.ai)
FTDR Long-Term Debt, Q2 2026 (standardized, Quarterly, balance-sheet): 1.13B (data provided by Fiscal.ai)</t>
        </r>
      </text>
    </comment>
    <comment ref="C36" authorId="0">
      <text>
        <r>
          <t xml:space="preserve">FTDR Current Portion of Long-Term Debt, Q2 2026 (standardized, Quarterly, balance-sheet): 29.00M (data provided by Fiscal.ai)
FTDR Current Portion of Long-Term Debt, Q2 2026 (standardized, Quarterly, balance-sheet): 29.00M (data provided by Fiscal.ai)
FTDR Current Portion of Long-Term Debt, Q2 2026 (standardized, Quarterly, balance-sheet): 29.00M (data provided by Fiscal.ai)</t>
        </r>
      </text>
    </comment>
    <comment ref="E36" authorId="0">
      <text>
        <r>
          <t xml:space="preserve">FTDR Cash and Cash Equivalents, Q2 2026 (standardized, Quarterly, balance-sheet): 627.00M (data provided by Fiscal.ai)
FTDR Cash and Cash Equivalents, Q2 2026 (standardized, Quarterly, balance-sheet): 627.00M (data provided by Fiscal.ai)
FTDR Cash and Cash Equivalents, Q2 2026 (standardized, Quarterly, balance-sheet): 627.00M (data provided by Fiscal.ai)</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<sst xmlns="http://schemas.openxmlformats.org/spreadsheetml/2006/main" count="627" uniqueCount="627">
  <si>
    <t>Case Toggle</t>
  </si>
  <si>
    <t>Selected Case</t>
  </si>
  <si>
    <t>Driver Assumptions</t>
  </si>
  <si>
    <t>Case 1: Downside Case</t>
  </si>
  <si>
    <t>Case 2: Base Case</t>
  </si>
  <si>
    <t>Case 3: Upside Case</t>
  </si>
  <si>
    <t>($ in millions, unless stated otherwise)</t>
  </si>
  <si>
    <t>General Assumptions</t>
  </si>
  <si>
    <t>Transaction / Capitalization Detail</t>
  </si>
  <si>
    <t>Transaction Date</t>
  </si>
  <si>
    <t>Transaction Fees</t>
  </si>
  <si>
    <t>Minimum Cash</t>
  </si>
  <si>
    <t>Tax Rate</t>
  </si>
  <si>
    <t>Circularity</t>
  </si>
  <si>
    <t>Financing Assumptions</t>
  </si>
  <si>
    <t>Commitment Fee</t>
  </si>
  <si>
    <t>Commitment</t>
  </si>
  <si>
    <t>Amount</t>
  </si>
  <si>
    <t>Multiple</t>
  </si>
  <si>
    <t>Rate</t>
  </si>
  <si>
    <t>SOFR Floor</t>
  </si>
  <si>
    <t>% Amort.</t>
  </si>
  <si>
    <t>Fee (%)</t>
  </si>
  <si>
    <t>Fee ($)</t>
  </si>
  <si>
    <t>Revolver</t>
  </si>
  <si>
    <t>Total</t>
  </si>
  <si>
    <t>Sources</t>
  </si>
  <si>
    <t>Uses</t>
  </si>
  <si>
    <t>Purchase Equity Value</t>
  </si>
  <si>
    <t>Financing Fees</t>
  </si>
  <si>
    <t>Total Sources</t>
  </si>
  <si>
    <t>Total Uses</t>
  </si>
  <si>
    <t>Operating Assumptions</t>
  </si>
  <si>
    <t>Fiscal Year Ending Dec-31</t>
  </si>
  <si>
    <t>CAGRs</t>
  </si>
  <si>
    <t>Revenue</t>
  </si>
  <si>
    <t>% Growth</t>
  </si>
  <si>
    <t>% of Sales</t>
  </si>
  <si>
    <t>Gross Profit</t>
  </si>
  <si>
    <t>% Margin</t>
  </si>
  <si>
    <t>(-) D&amp;A</t>
  </si>
  <si>
    <t>EBIT</t>
  </si>
  <si>
    <t>(-) Net Interest Expense</t>
  </si>
  <si>
    <t>(-) Amortization of FF</t>
  </si>
  <si>
    <t>EBT</t>
  </si>
  <si>
    <t>(-) Taxes</t>
  </si>
  <si>
    <t>Net Income</t>
  </si>
  <si>
    <t>(+) D&amp;A</t>
  </si>
  <si>
    <t>(+) Amortization of FF</t>
  </si>
  <si>
    <t>(-) Change in NWC</t>
  </si>
  <si>
    <t>(-) Mandatory Amortization</t>
  </si>
  <si>
    <t>Cash Flow Available for Revolver</t>
  </si>
  <si>
    <t>(-) Revolver Paydown / (Drawdown)</t>
  </si>
  <si>
    <t>(-) Optional Paydown</t>
  </si>
  <si>
    <t>Excess Cash</t>
  </si>
  <si>
    <t>Beginning Cash Balance</t>
  </si>
  <si>
    <t>Net Change in Cash Flow</t>
  </si>
  <si>
    <t>Ending Cash Balance</t>
  </si>
  <si>
    <t>Debt Waterfall</t>
  </si>
  <si>
    <t>Beginning Balance</t>
  </si>
  <si>
    <t>Ending Balance</t>
  </si>
  <si>
    <t>Interest Expense</t>
  </si>
  <si>
    <t>Unused Commitment Fee</t>
  </si>
  <si>
    <t>(-) Cash Sweep</t>
  </si>
  <si>
    <t>Total Interest Expense</t>
  </si>
  <si>
    <t>Returns Analysis</t>
  </si>
  <si>
    <t>Year</t>
  </si>
  <si>
    <t>LTM EBITDA</t>
  </si>
  <si>
    <t>Exit Enterprise Value</t>
  </si>
  <si>
    <t>(-) Net Debt</t>
  </si>
  <si>
    <t>Exit Equity Value</t>
  </si>
  <si>
    <t>IRR</t>
  </si>
  <si>
    <t>MOIC</t>
  </si>
  <si>
    <t>5-Year IRR</t>
  </si>
  <si>
    <t>5-Year MOIC</t>
  </si>
  <si>
    <t>($ in millions)</t>
  </si>
  <si>
    <t>P&amp;L Output</t>
  </si>
  <si>
    <t>Historicals</t>
  </si>
  <si>
    <t>Projections</t>
  </si>
  <si>
    <t>D&amp;A</t>
  </si>
  <si>
    <t>(+) Amort. of Financing Fees</t>
  </si>
  <si>
    <t>Total Debt</t>
  </si>
  <si>
    <t>Income Statement</t>
  </si>
  <si>
    <t>Balance Sheet</t>
  </si>
  <si>
    <t>Goodwill</t>
  </si>
  <si>
    <t>Net Debt</t>
  </si>
  <si>
    <t>Cash Flow</t>
  </si>
  <si>
    <t>Total revenue</t>
  </si>
  <si>
    <t>Gross profit</t>
  </si>
  <si>
    <t>Gross margin %</t>
  </si>
  <si>
    <t>Adj. EBITDA</t>
  </si>
  <si>
    <t>Adj. EBITDA margin %</t>
  </si>
  <si>
    <t>Adj. EBITDA (reported)</t>
  </si>
  <si>
    <t>Difference</t>
  </si>
  <si>
    <t>FY23A</t>
  </si>
  <si>
    <t>FY24A</t>
  </si>
  <si>
    <t>FY25A</t>
  </si>
  <si>
    <t>Source</t>
  </si>
  <si>
    <t>Accounts receivable, net</t>
  </si>
  <si>
    <t>Total assets</t>
  </si>
  <si>
    <t>Total liabilities</t>
  </si>
  <si>
    <t>Free cash flow</t>
  </si>
  <si>
    <t>MIP (% of Equity Gain)</t>
  </si>
  <si>
    <t>Mgmt Rollover</t>
  </si>
  <si>
    <t>D&amp;A (% of Rev.)</t>
  </si>
  <si>
    <t>Change in NWC (% of Δ Rev.)</t>
  </si>
  <si>
    <t>Life (Yrs)</t>
  </si>
  <si>
    <t>First Lien Term Loan</t>
  </si>
  <si>
    <t>Second Lien Notes</t>
  </si>
  <si>
    <t>n.a.</t>
  </si>
  <si>
    <t>Cash Flow Available for First Lien</t>
  </si>
  <si>
    <t>Cash Flow Available for Second Lien</t>
  </si>
  <si>
    <t>Credit Metrics</t>
  </si>
  <si>
    <t>Total Debt / Adj. EBITDA</t>
  </si>
  <si>
    <t>Net Debt / Adj. EBITDA</t>
  </si>
  <si>
    <t>Adj. EBITDA / Interest</t>
  </si>
  <si>
    <t>LTM Revenue</t>
  </si>
  <si>
    <t>(-) MIP</t>
  </si>
  <si>
    <t>Equity to Investors</t>
  </si>
  <si>
    <t>Equity Invested</t>
  </si>
  <si>
    <t>Sponsor Proceeds</t>
  </si>
  <si>
    <t>Sensitivity Tables (FY31 Exit, 5-Year Hold)</t>
  </si>
  <si>
    <t>Case Comparison</t>
  </si>
  <si>
    <t>Live</t>
  </si>
  <si>
    <t>Downside</t>
  </si>
  <si>
    <t>Base</t>
  </si>
  <si>
    <t>Case #</t>
  </si>
  <si>
    <t>Revenue FY27E</t>
  </si>
  <si>
    <t>Revenue FY31E</t>
  </si>
  <si>
    <t>Adj. EBITDA FY27E</t>
  </si>
  <si>
    <t>Adj. EBITDA FY31E</t>
  </si>
  <si>
    <t>Adj. EBITDA Margin FY31E</t>
  </si>
  <si>
    <t>% Total</t>
  </si>
  <si>
    <t>Sources less Uses</t>
  </si>
  <si>
    <t>Returns Summary</t>
  </si>
  <si>
    <t>Entry TEV</t>
  </si>
  <si>
    <t>FY31E Adj. EBITDA</t>
  </si>
  <si>
    <t>Exit EV (FY31)</t>
  </si>
  <si>
    <t>Sensitivity Tables (FY31 Exit)</t>
  </si>
  <si>
    <t>FY23–25</t>
  </si>
  <si>
    <t>FY26–31</t>
  </si>
  <si>
    <t>Peer Benchmark</t>
  </si>
  <si>
    <t>Company</t>
  </si>
  <si>
    <t>Median</t>
  </si>
  <si>
    <t>Model FY31E Adj. EBITDA</t>
  </si>
  <si>
    <t>Pre-Interest FCF</t>
  </si>
  <si>
    <t>% Conversion</t>
  </si>
  <si>
    <t>Adj. EBITDA Check</t>
  </si>
  <si>
    <t>Bid Authority</t>
  </si>
  <si>
    <t>Transaction &amp; Financing Fees</t>
  </si>
  <si>
    <t>($ in millions; FYE Dec-31)</t>
  </si>
  <si>
    <t>H1'25A</t>
  </si>
  <si>
    <t>H1'26A</t>
  </si>
  <si>
    <t>LTM Q2'26</t>
  </si>
  <si>
    <t>Monitoring &amp; related services</t>
  </si>
  <si>
    <t>Installation, product &amp; other</t>
  </si>
  <si>
    <t>M&amp;S cost of revenue</t>
  </si>
  <si>
    <t>Installation cost of revenue</t>
  </si>
  <si>
    <t>SG&amp;A</t>
  </si>
  <si>
    <t>Merger, restructuring &amp; other</t>
  </si>
  <si>
    <t>Operating income</t>
  </si>
  <si>
    <t>Interest expense, net</t>
  </si>
  <si>
    <t>Other items, net</t>
  </si>
  <si>
    <t>Income tax</t>
  </si>
  <si>
    <t>Income from cont. ops</t>
  </si>
  <si>
    <t>Adj. SG&amp;A, net</t>
  </si>
  <si>
    <t>RMR, end of period</t>
  </si>
  <si>
    <t>Gross revenue attrition (TTM)</t>
  </si>
  <si>
    <t>Revenue payback (yrs)</t>
  </si>
  <si>
    <t>ER-25Q4 (FY24-25), ER-24Q4 (FY23), ER-26Q2 (H1)</t>
  </si>
  <si>
    <t>Same releases, cost of revenue</t>
  </si>
  <si>
    <t>FY23-24 per ER-24Q4 basis; FY25+ incl. restructuring</t>
  </si>
  <si>
    <t>FY25+ in SG&amp;A</t>
  </si>
  <si>
    <t>Plug to reported; swaps, debt extinguishment, other</t>
  </si>
  <si>
    <t>Same releases</t>
  </si>
  <si>
    <t>ER Adj. EBITDA recon; H1 per 10-Q Q2'26 KPI table</t>
  </si>
  <si>
    <t>Plug: Adj. EBITDA less gross profit</t>
  </si>
  <si>
    <t>ER other measures; H1 col = Q2 quarter-end</t>
  </si>
  <si>
    <t>TTM; H1 col = TTM at Q2</t>
  </si>
  <si>
    <t>Net cash from operations</t>
  </si>
  <si>
    <t>Dealer &amp; bulk account purchases</t>
  </si>
  <si>
    <t>Subscriber system assets</t>
  </si>
  <si>
    <t>Purchases of PP&amp;E</t>
  </si>
  <si>
    <t>Deferred SAC costs (in OCF)</t>
  </si>
  <si>
    <t>Deferred SAC revenue (in OCF)</t>
  </si>
  <si>
    <t>Net SAC investment</t>
  </si>
  <si>
    <t>Adj. FCF incl. swaps (reported)</t>
  </si>
  <si>
    <t>ER-24Q4 (FY23), ER-25Q4 (FY24-25), ER-26Q2 (H1) cash flow</t>
  </si>
  <si>
    <t>Company definition: OCF less three capex lines</t>
  </si>
  <si>
    <t>Dealer + subscriber assets + deferred SAC, net</t>
  </si>
  <si>
    <t>ER non-GAAP recon</t>
  </si>
  <si>
    <t>Q2'26A</t>
  </si>
  <si>
    <t>Cash &amp; equivalents</t>
  </si>
  <si>
    <t>Inventories, net</t>
  </si>
  <si>
    <t>Subscriber system assets, net</t>
  </si>
  <si>
    <t>Deferred SAC costs, net</t>
  </si>
  <si>
    <t>Intangible assets, net</t>
  </si>
  <si>
    <t>Current maturities of debt</t>
  </si>
  <si>
    <t>Long-term debt</t>
  </si>
  <si>
    <t>Deferred SAC revenue</t>
  </si>
  <si>
    <t>Deferred tax liabilities</t>
  </si>
  <si>
    <t>Stockholders' equity</t>
  </si>
  <si>
    <t>ER-25Q4 (FY24-25); ER-26Q2 (Q2'26) balance sheet</t>
  </si>
  <si>
    <t>Debt by instrument (30-Jun-26)</t>
  </si>
  <si>
    <t>Principal</t>
  </si>
  <si>
    <t>Maturity</t>
  </si>
  <si>
    <t>First Lien TLB due 2030</t>
  </si>
  <si>
    <t>First Lien TLB-2 due 2032</t>
  </si>
  <si>
    <t>First Lien TLA due 2030</t>
  </si>
  <si>
    <t>First Lien Notes due 2027</t>
  </si>
  <si>
    <t>First Lien Notes due 2029</t>
  </si>
  <si>
    <t>First Lien Notes due 2033</t>
  </si>
  <si>
    <t>ADT Notes due 2032</t>
  </si>
  <si>
    <t>ADT Notes due 2042</t>
  </si>
  <si>
    <t>2020 Receivables Facility</t>
  </si>
  <si>
    <t>Total principal</t>
  </si>
  <si>
    <t>Reported principal</t>
  </si>
  <si>
    <t>Finance leases</t>
  </si>
  <si>
    <t>Principal incl. leases</t>
  </si>
  <si>
    <t>SOFR + 2.00%</t>
  </si>
  <si>
    <t>SOFR + 1.75%</t>
  </si>
  <si>
    <t>SOFR + 1.50%</t>
  </si>
  <si>
    <t>Various</t>
  </si>
  <si>
    <t>10-Q Q2'26, debt note table</t>
  </si>
  <si>
    <t>Refinanced at close (assumption)</t>
  </si>
  <si>
    <t>Opening RMR</t>
  </si>
  <si>
    <t>(+) Gross RMR Additions</t>
  </si>
  <si>
    <t>% of Opening RMR</t>
  </si>
  <si>
    <t>(-) Attrition</t>
  </si>
  <si>
    <t>Attrition Rate</t>
  </si>
  <si>
    <t>Closing RMR</t>
  </si>
  <si>
    <t>Average RMR</t>
  </si>
  <si>
    <t>M&amp;S Rev. / Avg. RMR (x)</t>
  </si>
  <si>
    <t>Monitoring &amp; Related Services</t>
  </si>
  <si>
    <t>Installation, Product &amp; Other</t>
  </si>
  <si>
    <t>x Gross RMR Adds</t>
  </si>
  <si>
    <t>Total Revenue</t>
  </si>
  <si>
    <t>(-) M&amp;S Cost of Revenue</t>
  </si>
  <si>
    <t>% of M&amp;S Revenue</t>
  </si>
  <si>
    <t>(-) Installation Cost</t>
  </si>
  <si>
    <t>% of Install. Revenue</t>
  </si>
  <si>
    <t>(-) Adj. SG&amp;A, net</t>
  </si>
  <si>
    <t>(-) Net SAC Investment</t>
  </si>
  <si>
    <t>(-) PP&amp;E CapEx</t>
  </si>
  <si>
    <t>Adj. EBITDA less SAC &amp; CapEx</t>
  </si>
  <si>
    <t>Gross RMR Adds (% Open. RMR)</t>
  </si>
  <si>
    <t>FY25A implied from RMR roll-forward; incl. price. Cases: deal team</t>
  </si>
  <si>
    <t>Gross Revenue Attrition</t>
  </si>
  <si>
    <t>FY25A 13.1% (ER-25Q4); 100 bps ≈ $40M recurring revenue (10-Q)</t>
  </si>
  <si>
    <t>Install. Rev. / Gross Adds (x)</t>
  </si>
  <si>
    <t>Outright-sale mix rising (~30% of new subs, 10-Q Q1'26)</t>
  </si>
  <si>
    <t>M&amp;S Cost (% of M&amp;S Rev.)</t>
  </si>
  <si>
    <t>AI monitoring / remote assistance lever (deal team)</t>
  </si>
  <si>
    <t>Adj. SG&amp;A (% of Revenue)</t>
  </si>
  <si>
    <t>Adj. EBITDA less gross profit; AI service and G&amp;A (deal team)</t>
  </si>
  <si>
    <t>Net SAC / Gross Adds (x)</t>
  </si>
  <si>
    <t>RMR creation multiple; FY25A 24.4x (CF tab)</t>
  </si>
  <si>
    <t>Install. Cost (% of Install. Rev.)</t>
  </si>
  <si>
    <t>FY25A 44.0%; H1'26 45.3% (ER-26Q2)</t>
  </si>
  <si>
    <t>($ in millions, unless stated otherwise; LTM to 30-Jun-26)</t>
  </si>
  <si>
    <t>Offer Price / Share</t>
  </si>
  <si>
    <t>Exit EV / LTM Adj. EBITDA</t>
  </si>
  <si>
    <t>Hurdle IRR</t>
  </si>
  <si>
    <t>PP&amp;E CapEx (% of Rev.)</t>
  </si>
  <si>
    <t>Attrition Sens. (pp)</t>
  </si>
  <si>
    <t>x LTM EBITDA</t>
  </si>
  <si>
    <t>Revolver (undrawn)</t>
  </si>
  <si>
    <t>LTM Q2'26 Adj. EBITDA</t>
  </si>
  <si>
    <t>Signed Offer / Share</t>
  </si>
  <si>
    <t>Unaffected Close (27-Oct-26)</t>
  </si>
  <si>
    <t>Premium to Unaffected</t>
  </si>
  <si>
    <t>Equity Value per Release</t>
  </si>
  <si>
    <t>Implied FD Shares (mm)</t>
  </si>
  <si>
    <t>(+) Debt incl. Leases</t>
  </si>
  <si>
    <t>(-) Cash</t>
  </si>
  <si>
    <t>TEV at Offer</t>
  </si>
  <si>
    <t>TEV per Release</t>
  </si>
  <si>
    <t>TEV / LTM Adj. EBITDA</t>
  </si>
  <si>
    <t>TEV / FY26E Adj. EBITDA</t>
  </si>
  <si>
    <t>Sponsor Equity (Thrive)</t>
  </si>
  <si>
    <t>Refinance Debt, net of Cash</t>
  </si>
  <si>
    <t>LTM Adj. EBITDA</t>
  </si>
  <si>
    <t>(x) Exit EV / LTM Adj. EBITDA</t>
  </si>
  <si>
    <t>Implied EV / Revenue</t>
  </si>
  <si>
    <t>Upside</t>
  </si>
  <si>
    <t>Revenue FY36E</t>
  </si>
  <si>
    <t>Closing RMR FY31E</t>
  </si>
  <si>
    <t>Attrition FY31E</t>
  </si>
  <si>
    <t>Adj. EBITDA FY36E</t>
  </si>
  <si>
    <t>Debt Paydown FY27–31</t>
  </si>
  <si>
    <t>Net Debt / EBITDA FY31E</t>
  </si>
  <si>
    <t>Exit EV FY31E</t>
  </si>
  <si>
    <t>Equity to Investors FY31E</t>
  </si>
  <si>
    <t>Equity to Investors FY36E</t>
  </si>
  <si>
    <t>10-Year IRR</t>
  </si>
  <si>
    <t>10-Year MOIC</t>
  </si>
  <si>
    <t>5-Year IRR: Exit Multiple vs. Offer Price</t>
  </si>
  <si>
    <t>Exit EV / EBITDA</t>
  </si>
  <si>
    <t>5-Year MOIC: Exit Multiple vs. Offer Price</t>
  </si>
  <si>
    <t>5-Year IRR: Total Leverage vs. Offer Price</t>
  </si>
  <si>
    <t>Leverage (x)</t>
  </si>
  <si>
    <t>5-Year MOIC: Total Leverage vs. Offer Price</t>
  </si>
  <si>
    <t>5-Year IRR: Attrition Change vs. Exit Multiple</t>
  </si>
  <si>
    <t>Attrition Δ (pp)</t>
  </si>
  <si>
    <t>5-Year MOIC: Attrition Change vs. Exit Multiple</t>
  </si>
  <si>
    <t>ADT LBO Output</t>
  </si>
  <si>
    <t>($ in millions; close 31-Dec-26; exits FY31 and FY36)</t>
  </si>
  <si>
    <t>Total Debt / LTM EBITDA</t>
  </si>
  <si>
    <t>Equity to Investors (FY31)</t>
  </si>
  <si>
    <t>(-) Interest Expense, Net</t>
  </si>
  <si>
    <t>(-) Amort. of Financing Fees</t>
  </si>
  <si>
    <t>CF Available for Sweep</t>
  </si>
  <si>
    <t>Debt (Paydown) / Drawdown</t>
  </si>
  <si>
    <t>Adj. EBITDA Bridge (LTM Q2'26 to FY31E)</t>
  </si>
  <si>
    <t>M&amp;S Revenue Growth</t>
  </si>
  <si>
    <t>M&amp;S Cost Efficiency</t>
  </si>
  <si>
    <t>Installation Contribution</t>
  </si>
  <si>
    <t>Adj. SG&amp;A on Growth</t>
  </si>
  <si>
    <t>Adj. SG&amp;A Leverage</t>
  </si>
  <si>
    <t>Operating Summary (Live Case)</t>
  </si>
  <si>
    <t>Walk-away Offer / Share</t>
  </si>
  <si>
    <t>Walk-away Equity Value</t>
  </si>
  <si>
    <t>Walk-away TEV / LTM EBITDA</t>
  </si>
  <si>
    <t>($ in millions; local currency; prices 28-Oct-26; LTM to latest quarter)</t>
  </si>
  <si>
    <t>Ticker</t>
  </si>
  <si>
    <t>Price</t>
  </si>
  <si>
    <t>Shares (mm)</t>
  </si>
  <si>
    <t>Mkt Cap</t>
  </si>
  <si>
    <t>EV</t>
  </si>
  <si>
    <t>Rev. Growth</t>
  </si>
  <si>
    <t>EBITDA Margin</t>
  </si>
  <si>
    <t>EV / Revenue</t>
  </si>
  <si>
    <t>EV / EBITDA</t>
  </si>
  <si>
    <t>Monitoring &amp; security services</t>
  </si>
  <si>
    <t>Verisure</t>
  </si>
  <si>
    <t>VSURE</t>
  </si>
  <si>
    <t>EUR; company metrics LTM Q2'26; BS per statements</t>
  </si>
  <si>
    <t>Brink's</t>
  </si>
  <si>
    <t>BCO</t>
  </si>
  <si>
    <t>Company metrics LTM; shares and BS per statements</t>
  </si>
  <si>
    <t>Security technology &amp; devices</t>
  </si>
  <si>
    <t>Alarm.com</t>
  </si>
  <si>
    <t>ALRM</t>
  </si>
  <si>
    <t>Napco Security</t>
  </si>
  <si>
    <t>NSSC</t>
  </si>
  <si>
    <t>Resideo</t>
  </si>
  <si>
    <t>REZI</t>
  </si>
  <si>
    <t>Arlo</t>
  </si>
  <si>
    <t>ARLO</t>
  </si>
  <si>
    <t>Allegion</t>
  </si>
  <si>
    <t>ALLE</t>
  </si>
  <si>
    <t>Johnson Controls</t>
  </si>
  <si>
    <t>JCI</t>
  </si>
  <si>
    <t>Route-based home services</t>
  </si>
  <si>
    <t>Rollins</t>
  </si>
  <si>
    <t>ROL</t>
  </si>
  <si>
    <t>Frontdoor</t>
  </si>
  <si>
    <t>FTDR</t>
  </si>
  <si>
    <t>Overall median</t>
  </si>
  <si>
    <t>ADT @ unaffected</t>
  </si>
  <si>
    <t>ADT</t>
  </si>
  <si>
    <t>Close 27-Oct-26; FD shares implied from release; FY25 growth; Adj. EBITDA</t>
  </si>
  <si>
    <t>ADT @ offer</t>
  </si>
  <si>
    <t>$10.00 offer; Adj. EBITDA</t>
  </si>
  <si>
    <t>Net debt build</t>
  </si>
  <si>
    <t>LT Debt</t>
  </si>
  <si>
    <t>Current LTD</t>
  </si>
  <si>
    <t>ST Debt</t>
  </si>
  <si>
    <t>Cash</t>
  </si>
  <si>
    <t>Period</t>
  </si>
  <si>
    <t>Standardized balance sheet</t>
  </si>
  <si>
    <t>Q2 2026</t>
  </si>
  <si>
    <t>Q4 2026</t>
  </si>
  <si>
    <t>Q3 2026</t>
  </si>
  <si>
    <t>Total Leverage (x)</t>
  </si>
  <si>
    <t>x EBITDA</t>
  </si>
  <si>
    <t>Exit x</t>
  </si>
  <si>
    <t>Lev. x</t>
  </si>
  <si>
    <t>Attr. Δ</t>
  </si>
  <si>
    <t>SOFR Curve (3M fwd, 28-Oct-26)</t>
  </si>
  <si>
    <t>Oct-30</t>
  </si>
  <si>
    <t>Mar-32</t>
  </si>
  <si>
    <t>3.375%</t>
  </si>
  <si>
    <t>Aug-27</t>
  </si>
  <si>
    <t>4.125%</t>
  </si>
  <si>
    <t>Aug-29</t>
  </si>
  <si>
    <t>5.875%</t>
  </si>
  <si>
    <t>Oct-33</t>
  </si>
  <si>
    <t>4.875%</t>
  </si>
  <si>
    <t>Jul-32</t>
  </si>
  <si>
    <t>Jul-42</t>
  </si>
  <si>
    <t>Feb-31</t>
  </si>
  <si>
    <t>Chart feed</t>
  </si>
  <si>
    <t>Charts</t>
  </si>
  <si>
    <t>Value Creation Bridge (FY31E Exit)</t>
  </si>
  <si>
    <t>(-) Transaction &amp; Financing Fees</t>
  </si>
  <si>
    <t>EBITDA Growth at Entry Multiple</t>
  </si>
  <si>
    <t>Multiple Change</t>
  </si>
  <si>
    <t>Net Debt Paydown</t>
  </si>
  <si>
    <t>Equity to Investors (FY31E)</t>
  </si>
  <si>
    <t>Model Equity to Investors</t>
  </si>
  <si>
    <t>($ in millions; sponsor IRR and MOIC at the FY31 exit, read from the Model tab; yellow cells are inputs)</t>
  </si>
  <si>
    <t>Hurdle IRR (sponsor)</t>
  </si>
  <si>
    <t>Model's own hurdle (Model tab)</t>
  </si>
  <si>
    <t>Input</t>
  </si>
  <si>
    <t>Value</t>
  </si>
  <si>
    <t>Basis</t>
  </si>
  <si>
    <t>Probability</t>
  </si>
  <si>
    <t>Operating</t>
  </si>
  <si>
    <t>Model Downside: 13.4% FY27 rising to 14.0%</t>
  </si>
  <si>
    <t>Model Upside: 12.4% FY27 to 10.8% FY31</t>
  </si>
  <si>
    <t>Model Downside: 28.8% FY26, then flat 29.0%</t>
  </si>
  <si>
    <t>Model Upside: 26.5% FY27 to 22.5% FY31</t>
  </si>
  <si>
    <t>Model Downside: flat at FY25A 14.7%</t>
  </si>
  <si>
    <t>Model Upside: 13.5% FY27 to 10.5% FY31</t>
  </si>
  <si>
    <t>Exit</t>
  </si>
  <si>
    <t>Market today: TEV at $6.87 unaffected / LTM EBITDA (our call)</t>
  </si>
  <si>
    <t>Exit EV / LTM Adj. EBITDA (FY31)</t>
  </si>
  <si>
    <t>Attrition</t>
  </si>
  <si>
    <t>Adj. SG&amp;A</t>
  </si>
  <si>
    <t>M&amp;S cost</t>
  </si>
  <si>
    <t>Exit multiple</t>
  </si>
  <si>
    <t>Offer price</t>
  </si>
  <si>
    <t>Sponsor IRR: Attrition vs. Adj. SG&amp;A</t>
  </si>
  <si>
    <t>Adj. SG&amp;A, % of revenue (avg FY27–31)</t>
  </si>
  <si>
    <t>Gross revenue attrition (avg FY27–31)</t>
  </si>
  <si>
    <t>Sponsor IRR: Attrition vs. M&amp;S cost</t>
  </si>
  <si>
    <t>M&amp;S cost, % of M&amp;S rev. (avg FY27–31)</t>
  </si>
  <si>
    <t>Sponsor IRR: Attrition vs. Exit multiple</t>
  </si>
  <si>
    <t>Sponsor IRR: Attrition vs. Offer price</t>
  </si>
  <si>
    <t>Offer price per share</t>
  </si>
  <si>
    <t>Sponsor IRR: Adj. SG&amp;A vs. Exit multiple</t>
  </si>
  <si>
    <t>Sponsor IRR: Adj. SG&amp;A vs. Offer price</t>
  </si>
  <si>
    <t>Sponsor IRR: M&amp;S cost vs. Exit multiple</t>
  </si>
  <si>
    <t>Sponsor IRR: M&amp;S cost vs. Offer price</t>
  </si>
  <si>
    <t>Sponsor IRR: Exit multiple vs. Offer price</t>
  </si>
  <si>
    <t>Format</t>
  </si>
  <si>
    <t>0.0"x"</t>
  </si>
  <si>
    <t>0.0%</t>
  </si>
  <si>
    <t>Driver cells (keep at 0; the data tables flex these)</t>
  </si>
  <si>
    <t>Grid</t>
  </si>
  <si>
    <t>Step</t>
  </si>
  <si>
    <t>Gross RMR adds, % of opening RMR (avg FY27–31)</t>
  </si>
  <si>
    <t>Model Downside: 12.9% FY27 falling to 12.3%</t>
  </si>
  <si>
    <t>Model Base: 13.4% FY27 rising to 14.0%</t>
  </si>
  <si>
    <t>Model Upside: 13.7% FY27 rising to 14.7%</t>
  </si>
  <si>
    <t>Model Base: 12.8% FY27 to 11.5% FY31</t>
  </si>
  <si>
    <t>Installation revenue / gross RMR adds (avg FY27–31)</t>
  </si>
  <si>
    <t>Model Downside: flat 17.0x</t>
  </si>
  <si>
    <t>Model Base: 18.5x FY27 rising to 20.5x</t>
  </si>
  <si>
    <t>Model Upside: 19.5x FY27 rising to 22.5x</t>
  </si>
  <si>
    <t>M&amp;S cost, % of M&amp;S revenue (avg FY27–31)</t>
  </si>
  <si>
    <t>Model Base: 14.0% FY27 to 12.0% FY31</t>
  </si>
  <si>
    <t>Model Base: 27.5% FY27 to 24.2% FY31</t>
  </si>
  <si>
    <t>Net SAC / gross RMR adds (avg FY27–31)</t>
  </si>
  <si>
    <t>Model Downside: 25.0x FY27 rising to 26.5x</t>
  </si>
  <si>
    <t>Model Base: 23.5x FY27 to 22.2x FY31</t>
  </si>
  <si>
    <t>Model Upside: 22.5x FY27 to 20.5x FY31</t>
  </si>
  <si>
    <t>Signed offer (8-K, 29-Oct-26)</t>
  </si>
  <si>
    <t>The signed price can only rise</t>
  </si>
  <si>
    <t>Per-year values fed to the model (sensitivity case)</t>
  </si>
  <si>
    <t>Driver</t>
  </si>
  <si>
    <t>t (blend)</t>
  </si>
  <si>
    <t>Value override</t>
  </si>
  <si>
    <t>t from value</t>
  </si>
  <si>
    <t>t from subset</t>
  </si>
  <si>
    <t>Effective t</t>
  </si>
  <si>
    <t>Gross RMR adds</t>
  </si>
  <si>
    <t>Install rev. / add</t>
  </si>
  <si>
    <t>Net SAC / add</t>
  </si>
  <si>
    <t>Case-bridge subset code (1–64 Downside, 65–128 Upside)</t>
  </si>
  <si>
    <t>Sponsor IRR (Model!M140)</t>
  </si>
  <si>
    <t>MOIC (Model!M141)</t>
  </si>
  <si>
    <t>Sensitivity tables refresh with F9.</t>
  </si>
  <si>
    <t>ADT Take-Private by Thrive Holdings: Sensitivity</t>
  </si>
  <si>
    <t>Inputs</t>
  </si>
  <si>
    <t>No re-rating above the model's exit</t>
  </si>
  <si>
    <t>Offer plus ~5%, e.g. a go-shop topping bid (our call)</t>
  </si>
  <si>
    <t>Every level links to the model's own case rows on Driver Assumptions except the two marked 'our call'. Grid steps and headroom moves blend the whole per-year path towards its Downside (or Upside) path, so the shape is kept.</t>
  </si>
  <si>
    <t>Case bridge: every subset of the six drivers at Downside (codes 1–64) and at Upside (65–128)</t>
  </si>
  <si>
    <t>Code</t>
  </si>
  <si>
    <t>Subset k</t>
  </si>
  <si>
    <t>Half</t>
  </si>
  <si>
    <t>Drivers moved</t>
  </si>
  <si>
    <t>Marginal: Gross RMR adds</t>
  </si>
  <si>
    <t>Marginal: Attrition</t>
  </si>
  <si>
    <t>Marginal: Install rev. / add</t>
  </si>
  <si>
    <t>Marginal: M&amp;S cost</t>
  </si>
  <si>
    <t>Marginal: Adj. SG&amp;A</t>
  </si>
  <si>
    <t>Marginal: Net SAC / add</t>
  </si>
  <si>
    <t>Case bridge contributions (Shapley: average over every order)</t>
  </si>
  <si>
    <t>Downside → Base</t>
  </si>
  <si>
    <t>Base → Upside</t>
  </si>
  <si>
    <t>Headroom: each input blended alone (t = share of the move to its Downside)</t>
  </si>
  <si>
    <t>Row (hurdle)</t>
  </si>
  <si>
    <t>t at hurdle</t>
  </si>
  <si>
    <t>Level at hurdle</t>
  </si>
  <si>
    <t>Row (MOIC 1.0x)</t>
  </si>
  <si>
    <t>t at 1.0x</t>
  </si>
  <si>
    <t>Level at 1.0x</t>
  </si>
  <si>
    <t>Sort key</t>
  </si>
  <si>
    <t>Cushion unit</t>
  </si>
  <si>
    <t>Model Downside</t>
  </si>
  <si>
    <t>pp</t>
  </si>
  <si>
    <t>x</t>
  </si>
  <si>
    <t>"$"0.00</t>
  </si>
  <si>
    <t>$</t>
  </si>
  <si>
    <t>IRR with the exit multiple set to the entry multiple (data table on the exit value override)</t>
  </si>
  <si>
    <t>Headroom data tables: t from 0 to 6 in steps of 0.02 (t = 1 is the model's Downside level)</t>
  </si>
  <si>
    <t>Gross RMR adds: t</t>
  </si>
  <si>
    <t>Attrition: t</t>
  </si>
  <si>
    <t>Install rev. / add: t</t>
  </si>
  <si>
    <t>M&amp;S cost: t</t>
  </si>
  <si>
    <t>Adj. SG&amp;A: t</t>
  </si>
  <si>
    <t>Net SAC / add: t</t>
  </si>
  <si>
    <t>Exit multiple: t</t>
  </si>
  <si>
    <t>Offer price: t</t>
  </si>
  <si>
    <t>Grid data tables (rows x columns), sponsor IRR</t>
  </si>
  <si>
    <t>Grid 9: Attrition (rows) x M&amp;S cost (columns)</t>
  </si>
  <si>
    <t>Sponsor IRR: M&amp;S cost vs. Adj. SG&amp;A</t>
  </si>
  <si>
    <t>1. 2x2 Grids: Sponsor IRR (FY31 exit; every other input at Base)</t>
  </si>
  <si>
    <t>Five steps per axis, Base in the centre (light blue, ties to the Model); each step blends the whole per-year path. Step sizes are in the Inputs table.</t>
  </si>
  <si>
    <t>2. Value-Creation Bridge (Base, FY31 exit; $ in millions)</t>
  </si>
  <si>
    <t>Equity invested to equity at exit</t>
  </si>
  <si>
    <t>Equity invested</t>
  </si>
  <si>
    <t>(+) EBITDA growth: (exit − entry EBITDA) × entry multiple</t>
  </si>
  <si>
    <t>(+) Multiple expansion: (exit − entry multiple) × exit EBITDA</t>
  </si>
  <si>
    <t>(+) Net debt paydown: entry − exit net debt</t>
  </si>
  <si>
    <t>(−) Transaction and financing fees at entry</t>
  </si>
  <si>
    <t>(−) Management incentive plan at exit</t>
  </si>
  <si>
    <t>Equity at exit (bridge)</t>
  </si>
  <si>
    <t>Model equity at exit (Model!M138)</t>
  </si>
  <si>
    <t>Check: bridge − model</t>
  </si>
  <si>
    <t>$m</t>
  </si>
  <si>
    <t>3. Case Bridge: Model Downside → Base → Upside, one driver at a time</t>
  </si>
  <si>
    <t>Model Downside IRR</t>
  </si>
  <si>
    <t>(+) Gross RMR adds: Downside → Base</t>
  </si>
  <si>
    <t>(+) Attrition: Downside → Base</t>
  </si>
  <si>
    <t>(+) Install rev. / add: Downside → Base</t>
  </si>
  <si>
    <t>(+) M&amp;S cost: Downside → Base</t>
  </si>
  <si>
    <t>(+) Adj. SG&amp;A: Downside → Base</t>
  </si>
  <si>
    <t>(+) Net SAC / add: Downside → Base</t>
  </si>
  <si>
    <t>Model Base IRR</t>
  </si>
  <si>
    <t>(+) Gross RMR adds: Base → Upside</t>
  </si>
  <si>
    <t>(+) Attrition: Base → Upside</t>
  </si>
  <si>
    <t>(+) Install rev. / add: Base → Upside</t>
  </si>
  <si>
    <t>(+) M&amp;S cost: Base → Upside</t>
  </si>
  <si>
    <t>(+) Adj. SG&amp;A: Base → Upside</t>
  </si>
  <si>
    <t>(+) Net SAC / add: Base → Upside</t>
  </si>
  <si>
    <t>Model Upside IRR</t>
  </si>
  <si>
    <t>IRR / change</t>
  </si>
  <si>
    <t>Each bar is the driver's average contribution over every order in which the six drivers could be switched (computed from the 64 stored subsets per half), so the bars sum exactly to the gaps between the model's case IRRs and the order does not matter. Price and exit multiple do not change between the model's cases.</t>
  </si>
  <si>
    <t>4. Headroom: each input moved on its own, everything else at Base</t>
  </si>
  <si>
    <t>Cushion</t>
  </si>
  <si>
    <t>Loses money at</t>
  </si>
  <si>
    <t>Engine: driver cells, feeds, stored data tables and checks (expand)</t>
  </si>
  <si>
    <t>Value-creation bridge chart</t>
  </si>
  <si>
    <t>Base (hidden)</t>
  </si>
  <si>
    <t>Increase</t>
  </si>
  <si>
    <t>Decrease</t>
  </si>
  <si>
    <t>EBITDA growth</t>
  </si>
  <si>
    <t>Multiple expansion</t>
  </si>
  <si>
    <t>Net debt paydown</t>
  </si>
  <si>
    <t>Fees at entry</t>
  </si>
  <si>
    <t>MIP at exit</t>
  </si>
  <si>
    <t>Equity at exit</t>
  </si>
  <si>
    <t>Case bridge chart</t>
  </si>
  <si>
    <t>Checks</t>
  </si>
  <si>
    <t>Pass</t>
  </si>
  <si>
    <t>Sensitivity case at idle vs Model Base IRR (Driver Assumptions)</t>
  </si>
  <si>
    <t>Grid centres vs Base IRR (max gap)</t>
  </si>
  <si>
    <t>Value-creation bridge vs model equity at exit</t>
  </si>
  <si>
    <t>Case bridge totals vs model case IRRs (max gap)</t>
  </si>
  <si>
    <t>Case bridge bars vs case gaps (max gap)</t>
  </si>
  <si>
    <t>Grid 1: Exit multiple (rows) x Offer price (columns)</t>
  </si>
  <si>
    <t>Grid 2: Adj. SG&amp;A (rows) x Offer price (columns)</t>
  </si>
  <si>
    <t>Grid 3: Attrition (rows) x Offer price (columns)</t>
  </si>
  <si>
    <t>Grid 4: M&amp;S cost (rows) x Offer price (columns)</t>
  </si>
  <si>
    <t>Grid 5: Adj. SG&amp;A (rows) x Exit multiple (columns)</t>
  </si>
  <si>
    <t>Grid 6: Attrition (rows) x Exit multiple (columns)</t>
  </si>
  <si>
    <t>Grid 7: M&amp;S cost (rows) x Exit multiple (columns)</t>
  </si>
  <si>
    <t>Grid 8: Attrition (rows) x Adj. SG&amp;A (columns)</t>
  </si>
  <si>
    <t>Grid 10: M&amp;S cost (rows) x Adj. SG&amp;A (columns)</t>
  </si>
  <si>
    <t>Misses the hurdle at</t>
  </si>
  <si>
    <t>Decision-tree leaves (data table over the leaf number in C165)</t>
  </si>
  <si>
    <t>Leaf</t>
  </si>
  <si>
    <t>Route #</t>
  </si>
  <si>
    <t>Case (1 D, 2 B, 3 U)</t>
  </si>
  <si>
    <t>Subset code</t>
  </si>
  <si>
    <t>Exit year</t>
  </si>
  <si>
    <t>Year index</t>
  </si>
  <si>
    <t>t for exit multiple</t>
  </si>
  <si>
    <t>Effective code</t>
  </si>
  <si>
    <t>Decision-tree leaf (1–9; keep at 0)</t>
  </si>
  <si>
    <t>5. Decision Tree: Exit Routes × Model Cases (sponsor IRR and MOIC at each route's exit year)</t>
  </si>
  <si>
    <t>Exit route</t>
  </si>
  <si>
    <t>Strategic sale (Brinks Home, a large security or telco buyer)</t>
  </si>
  <si>
    <t>Our call. A strategic can pay for synergies: priced between the 5.7x paid and Brink's 7.5x trading multiple (Peer Benchmark), below the 8.8x monitoring peer median. Sold a year early (FY30), once leverage is under 3x.</t>
  </si>
  <si>
    <t>Sponsor-to-sponsor sale (the model's route)</t>
  </si>
  <si>
    <t>Model's own exit: FY31 at its stipulated 6.0x.</t>
  </si>
  <si>
    <t>IPO with a sell-down</t>
  </si>
  <si>
    <t>Our call. IPO priced at ADT's own public multiple at the $6.87 unaffected price (4.9x, an IPO discount to the 6.0x private value); listed FY31, sold down by FY32 and treated as one exit at FY32.</t>
  </si>
  <si>
    <t>Decision</t>
  </si>
  <si>
    <t>Chance: model case</t>
  </si>
  <si>
    <t>Route</t>
  </si>
  <si>
    <t>Case</t>
  </si>
  <si>
    <t>Equity at exit ($m)</t>
  </si>
  <si>
    <t>Base IRR</t>
  </si>
  <si>
    <t/>
  </si>
  <si>
    <t>Strategic</t>
  </si>
  <si>
    <t>Sponsor</t>
  </si>
  <si>
    <t>IPO</t>
  </si>
  <si>
    <t/>
  </si>
  <si>
    <t>Weighted IRR</t>
  </si>
  <si>
    <t>Weighted MOIC</t>
  </si>
  <si>
    <t>Decision tree: model route + Base leaf vs Base IRR</t>
  </si>
  <si>
    <t>Entry</t>
  </si>
  <si>
    <t/>
  </si>
  <si>
    <t>Label</t>
  </si>
  <si>
    <t>Label gap (hidden stack)</t>
  </si>
  <si>
    <t>Gap</t>
  </si>
  <si>
    <t>Route probability</t>
  </si>
  <si>
    <t>Whole tree</t>
  </si>
  <si>
    <t>Probabilities (yellow) are our call and can be overwritten: one per exit route (summing to 100%) and Downside / Base / Upside within each route (each summing to 100%). Weighted figures sit beside the Base, never in place of it. Returns are the model's own point-to-point IRR and MOIC at the route's exit year; the IPO route is one exit at FY32 and ignores earlier IPO proceeds.</t>
  </si>
  <si>
    <t>Strategic 20% (our call): a thin buyer universe for a ~$20bn US alarm-monitoring platform. ADT is the largest US provider, so a security consolidator faces antitrust limits, and telco/cable buyers have mostly stepped back from monitoring. Cases 15 / 55 / 30: a strategic pays up when the RMR base is performing, so the route skews to the Base and Upside.</t>
  </si>
  <si>
    <t>Sponsor-to-sponsor 55% (our call): the deepest buyer pool for a deleveraged, cash-generative RMR asset, and the model's own route. Cases 25 / 55 / 20: the model's Downside is drawn wide (attrition up to 14.0%, SG&amp;A flat at 29%) and attrition was 13.1% at Q2'26, up from 12.8% a year earlier, so the Downside is weighted above the Upside.</t>
  </si>
  <si>
    <t>IPO with sell-down 25% (our call): the fallback when no buyer pays 6x. Levered security names trade at low multiples (ADT at 4.9x unaffected), and an IPO needs a receptive window to sell down by FY32. Cases 35 / 50 / 15: an IPO is most likely when a sale fails, i.e. when performance has disappointed.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</si>
</sst>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8">
    <numFmt numFmtId="5" formatCode="&quot;$&quot;#,##0_);\(&quot;$&quot;#,##0\)"/>
    <numFmt numFmtId="44" formatCode="_(&quot;$&quot;* #,##0.00_);_(&quot;$&quot;* \(#,##0.00\);_(&quot;$&quot;* &quot;-&quot;??_);_(@_)"/>
    <numFmt numFmtId="181" formatCode=";;;"/>
    <numFmt numFmtId="183" formatCode="0.0\x"/>
    <numFmt numFmtId="184" formatCode="0.0%"/>
    <numFmt numFmtId="190" formatCode="0.0%_);\(0.0%\)"/>
    <numFmt numFmtId="200" formatCode="#,##0.0_);\(#,##0.0\);&quot;–&quot;_)"/>
    <numFmt numFmtId="202" formatCode="0.0%_);\(0.0%\);&quot;–&quot;_)"/>
    <numFmt numFmtId="203" formatCode="&quot;FY&quot;yy&quot;A&quot;"/>
    <numFmt numFmtId="204" formatCode="&quot;FY&quot;yy&quot;E&quot;"/>
    <numFmt numFmtId="205" formatCode="&quot;Yes&quot;;&quot;Yes&quot;;&quot;No&quot;"/>
    <numFmt numFmtId="206" formatCode="&quot;$&quot;#,##0.0"/>
    <numFmt numFmtId="207" formatCode="0.00\x"/>
    <numFmt numFmtId="208" formatCode="\+0.0%;\-0.0%;0.0%"/>
    <numFmt numFmtId="209" formatCode="&quot;$&quot;#,##0"/>
    <numFmt numFmtId="210" formatCode="#,##0.0_);\(#,##0.0\)"/>
    <numFmt numFmtId="211" formatCode="0.000%"/>
    <numFmt numFmtId="212" formatCode="#,##0_);\(#,##0\);&quot;–&quot;_)"/>
    <numFmt numFmtId="213" formatCode="0.00\x;\(0.00\x\);&quot;–&quot;"/>
    <numFmt numFmtId="214" formatCode="&quot;S + &quot;0"/>
    <numFmt numFmtId="215" formatCode="0.00%;\(0.00%\);&quot;–&quot;"/>
    <numFmt numFmtId="216" formatCode="0.0%;\(0.0%\);&quot;–&quot;"/>
    <numFmt numFmtId="217" formatCode="0\ &quot;yrs&quot;;;&quot;–&quot;"/>
    <numFmt numFmtId="218" formatCode="0.0%;;&quot;–&quot;"/>
    <numFmt numFmtId="219" formatCode="&quot;$&quot;#,##0.0_);\(&quot;$&quot;#,##0.0\);&quot;–&quot;_)"/>
    <numFmt numFmtId="220" formatCode="0.0\x_);\(0.0\x\);&quot;–&quot;_)"/>
    <numFmt numFmtId="222" formatCode="0.0&quot;x&quot;_);\(0.0&quot;x&quot;\)"/>
    <numFmt numFmtId="223" formatCode="0.0_);\(0.0\)"/>
    <numFmt numFmtId="225" formatCode="0.00&quot;x&quot;_)"/>
    <numFmt numFmtId="226" formatCode="0.0&quot;x&quot;_)"/>
    <numFmt numFmtId="227" formatCode="&quot;$&quot;0.00"/>
    <numFmt numFmtId="228" formatCode="#,##0.0"/>
    <numFmt numFmtId="230" formatCode="0.0&quot;x&quot;"/>
    <numFmt numFmtId="231" formatCode="0.0%;\(0.0%\)"/>
    <numFmt numFmtId="232" formatCode="0.00&quot;x&quot;"/>
    <numFmt numFmtId="233" formatCode="\+0.0%;\-0.0%"/>
    <numFmt numFmtId="234" formatCode="#,##0;\(#,##0\)"/>
    <numFmt numFmtId="238" formatCode="&quot;FY&quot;0"/>
  </numFmts>
  <fonts count="29">
    <font>
      <sz val="10"/>
      <color rgb="FF000000"/>
      <name val="Arial"/>
      <family val="2"/>
    </font>
    <font>
      <b/>
      <sz val="9"/>
      <color theme="1"/>
      <name val="Arial"/>
      <family val="2"/>
    </font>
    <font>
      <sz val="9"/>
      <color rgb="FF0000FF"/>
      <name val="Arial"/>
      <family val="2"/>
    </font>
    <font>
      <sz val="9"/>
      <color theme="1"/>
      <name val="Arial"/>
      <family val="2"/>
    </font>
    <font>
      <b/>
      <sz val="9"/>
      <color rgb="FF000000"/>
      <name val="Arial"/>
      <family val="2"/>
    </font>
    <font>
      <sz val="9"/>
      <color rgb="FF000000"/>
      <name val="Arial"/>
      <family val="2"/>
    </font>
    <font>
      <i/>
      <sz val="9"/>
      <color theme="1"/>
      <name val="Arial"/>
      <family val="2"/>
    </font>
    <font>
      <i/>
      <sz val="9"/>
      <color rgb="FF000000"/>
      <name val="Arial"/>
      <family val="2"/>
    </font>
    <font>
      <sz val="9"/>
      <color rgb="FF008000"/>
      <name val="Arial"/>
      <family val="2"/>
    </font>
    <font>
      <b/>
      <i/>
      <sz val="9"/>
      <color rgb="FF000000"/>
      <name val="Arial"/>
      <family val="2"/>
    </font>
    <font>
      <i/>
      <sz val="9"/>
      <color rgb="FF008000"/>
      <name val="Arial"/>
      <family val="2"/>
    </font>
    <font>
      <b/>
      <u/>
      <sz val="9"/>
      <color theme="1"/>
      <name val="Arial"/>
      <family val="2"/>
    </font>
    <font>
      <i/>
      <sz val="9"/>
      <name val="Arial"/>
      <family val="2"/>
    </font>
    <font>
      <b/>
      <sz val="9"/>
      <name val="Arial"/>
      <family val="2"/>
    </font>
    <font>
      <sz val="9"/>
      <name val="Arial"/>
      <family val="2"/>
    </font>
    <font>
      <b/>
      <sz val="9"/>
      <color rgb="FFFFFFFF"/>
      <name val="Arial"/>
      <family val="2"/>
    </font>
    <font>
      <b/>
      <sz val="9"/>
      <color rgb="FF0000FF"/>
      <name val="Arial"/>
      <family val="2"/>
    </font>
    <font>
      <b/>
      <sz val="9"/>
      <color rgb="FF008000"/>
      <name val="Arial"/>
      <family val="2"/>
    </font>
    <font>
      <sz val="8"/>
      <color rgb="FF000000"/>
      <name val="Arial"/>
      <family val="2"/>
    </font>
    <font>
      <sz val="8"/>
      <name val="Arial"/>
      <family val="2"/>
    </font>
    <font>
      <i/>
      <sz val="9"/>
      <color rgb="FF595959"/>
      <name val="Arial"/>
      <family val="2"/>
    </font>
    <font>
      <b/>
      <i/>
      <sz val="9"/>
      <color rgb="FF595959"/>
      <name val="Arial"/>
      <family val="2"/>
    </font>
    <font>
      <b/>
      <i/>
      <sz val="9"/>
      <color rgb="FFFFFFFF"/>
      <name val="Arial"/>
      <family val="2"/>
    </font>
    <font>
      <b/>
      <i/>
      <sz val="9"/>
      <color theme="1"/>
      <name val="Arial"/>
      <family val="2"/>
    </font>
    <font>
      <sz val="9"/>
      <color rgb="FF808080"/>
      <name val="Arial"/>
      <family val="2"/>
    </font>
    <font>
      <b/>
      <sz val="11"/>
      <color theme="1"/>
      <name val="Arial"/>
      <family val="2"/>
    </font>
    <font>
      <b/>
      <sz val="11"/>
      <color rgb="FF000000"/>
      <name val="Arial"/>
      <family val="2"/>
    </font>
    <font>
      <b/>
      <u val="singleAccounting"/>
      <sz val="9"/>
      <color rgb="FF000000"/>
      <name val="Arial"/>
      <family val="2"/>
    </font>
    <font>
      <sz val="9"/>
      <color rgb="FF00B050"/>
      <name val="Arial"/>
      <family val="2"/>
    </font>
  </fonts>
  <fills count="12">
    <fill>
      <patternFill patternType="none"/>
    </fill>
    <fill>
      <patternFill patternType="gray125"/>
    </fill>
    <fill>
      <patternFill patternType="solid">
        <fgColor rgb="FFFFFFCC"/>
        <bgColor indexed="64"/>
      </patternFill>
    </fill>
    <fill>
      <patternFill patternType="solid">
        <fgColor rgb="FF003366"/>
        <bgColor indexed="64"/>
      </patternFill>
    </fill>
    <fill>
      <patternFill patternType="solid">
        <fgColor rgb="FFF2F2F2"/>
        <bgColor indexed="64"/>
      </patternFill>
    </fill>
    <fill>
      <patternFill patternType="solid">
        <fgColor rgb="FF203864"/>
        <bgColor indexed="64"/>
      </patternFill>
    </fill>
    <fill>
      <patternFill patternType="solid">
        <fgColor rgb="FFEDEDED"/>
        <bgColor indexed="64"/>
      </patternFill>
    </fill>
    <fill>
      <patternFill patternType="solid">
        <fgColor rgb="FFD9D9D9"/>
        <bgColor indexed="64"/>
      </patternFill>
    </fill>
    <fill>
      <patternFill patternType="solid">
        <fgColor rgb="FFFFFFE0"/>
        <bgColor indexed="64"/>
      </patternFill>
    </fill>
    <fill>
      <patternFill patternType="solid">
        <fgColor rgb="FFE7EEF8"/>
        <bgColor indexed="64"/>
      </patternFill>
    </fill>
    <fill>
      <patternFill patternType="solid">
        <fgColor rgb="FFDDEBF7"/>
        <bgColor indexed="64"/>
      </patternFill>
    </fill>
    <fill>
      <patternFill patternType="solid">
        <fgColor theme="4" tint="0.7999816888943144"/>
        <bgColor indexed="64"/>
      </patternFill>
    </fill>
  </fills>
  <borders count="17">
    <border>
      <left/>
      <right/>
      <top/>
      <bottom/>
      <diagonal/>
    </border>
    <border>
      <left/>
      <right/>
      <top/>
      <bottom style="thin">
        <color rgb="FF000000"/>
      </bottom>
      <diagonal/>
    </border>
    <border>
      <left/>
      <right/>
      <top style="thin">
        <color rgb="FF000000"/>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style="medium">
        <color rgb="FF000000"/>
      </left>
      <right style="medium">
        <color rgb="FF000000"/>
      </right>
      <top style="medium">
        <color rgb="FF000000"/>
      </top>
      <bottom style="medium">
        <color rgb="FF000000"/>
      </bottom>
      <diagonal/>
    </border>
    <border>
      <left/>
      <right/>
      <top/>
      <bottom/>
      <diagonal/>
    </border>
    <border>
      <left/>
      <right/>
      <top/>
      <bottom/>
      <diagonal/>
    </border>
    <border>
      <left/>
      <right/>
      <top style="thin">
        <color rgb="FF000000"/>
      </top>
      <bottom/>
      <diagonal/>
    </border>
    <border>
      <left/>
      <right/>
      <top/>
      <bottom style="thin">
        <color rgb="FFD9D9D9"/>
      </bottom>
      <diagonal/>
    </border>
    <border>
      <left/>
      <right/>
      <top/>
      <bottom style="thin">
        <color rgb="FF808080"/>
      </bottom>
      <diagonal/>
    </border>
    <border>
      <left/>
      <right/>
      <top style="thin"/>
      <bottom/>
      <diagonal/>
    </border>
  </borders>
  <cellStyleXfs count="1">
    <xf borderId="0" fillId="0" fontId="0" numFmtId="0" applyAlignment="1" applyFont="1" applyFill="1"/>
  </cellStyleXfs>
  <cellXfs count="388">
    <xf xfId="0" borderId="0" fillId="0" fontId="0" numFmtId="0"/>
    <xf xfId="0" borderId="0" fillId="0" fontId="1" numFmtId="0" applyAlignment="1" applyFont="1">
      <alignment vertical="center"/>
    </xf>
    <xf xfId="0" borderId="0" fillId="0" fontId="3" numFmtId="0" applyAlignment="1" applyFont="1">
      <alignment horizontal="center"/>
    </xf>
    <xf xfId="0" borderId="0" fillId="0" fontId="3" numFmtId="0" applyFont="1"/>
    <xf xfId="0" borderId="0" fillId="0" fontId="5" numFmtId="0" applyFont="1"/>
    <xf xfId="0" borderId="0" fillId="0" fontId="6" numFmtId="0" applyAlignment="1" applyFont="1">
      <alignment vertical="center"/>
    </xf>
    <xf xfId="0" borderId="0" fillId="0" fontId="3" numFmtId="0" applyAlignment="1" applyFont="1">
      <alignment vertical="center"/>
    </xf>
    <xf xfId="0" borderId="0" fillId="0" fontId="4" numFmtId="0" applyAlignment="1" applyFont="1">
      <alignment horizontal="center" vertical="center"/>
    </xf>
    <xf xfId="0" borderId="0" fillId="0" fontId="4" numFmtId="0" applyAlignment="1" applyFont="1">
      <alignment vertical="center"/>
    </xf>
    <xf xfId="0" borderId="0" fillId="0" fontId="4" numFmtId="0" applyAlignment="1" applyFont="1">
      <alignment horizontal="right" vertical="center"/>
    </xf>
    <xf xfId="0" borderId="0" fillId="0" fontId="6" numFmtId="0" applyFont="1"/>
    <xf xfId="0" borderId="0" fillId="0" fontId="3" numFmtId="0" applyAlignment="1" applyFont="1">
      <alignment horizontal="right"/>
    </xf>
    <xf xfId="0" borderId="0" fillId="0" fontId="1" numFmtId="0" applyFont="1"/>
    <xf xfId="0" borderId="0" fillId="0" fontId="11" numFmtId="0" applyFont="1"/>
    <xf xfId="0" borderId="0" fillId="0" fontId="7" numFmtId="0" applyFont="1"/>
    <xf xfId="0" borderId="0" fillId="0" fontId="5" numFmtId="0" applyAlignment="1" applyFont="1">
      <alignment vertical="center"/>
    </xf>
    <xf xfId="0" borderId="0" fillId="0" fontId="4" numFmtId="0" applyFont="1"/>
    <xf xfId="0" borderId="0" fillId="0" fontId="19" numFmtId="0" applyFont="1"/>
    <xf xfId="0" borderId="0" fillId="0" fontId="14" numFmtId="0" applyFont="1"/>
    <xf xfId="0" borderId="0" fillId="3" fontId="15" numFmtId="0" applyFont="1" applyFill="1"/>
    <xf xfId="0" borderId="0" fillId="0" fontId="12" numFmtId="0" applyFont="1"/>
    <xf xfId="0" borderId="0" fillId="0" fontId="2" numFmtId="200" applyFont="1"/>
    <xf xfId="0" borderId="4" fillId="0" fontId="4" numFmtId="200" applyFont="1"/>
    <xf xfId="0" borderId="0" fillId="0" fontId="5" numFmtId="200" applyFont="1"/>
    <xf xfId="0" borderId="0" fillId="0" fontId="20" numFmtId="0" applyFont="1"/>
    <xf xfId="0" borderId="7" fillId="2" fontId="2" numFmtId="0" applyAlignment="1" applyFont="1" applyFill="1">
      <alignment horizontal="center"/>
    </xf>
    <xf xfId="0" borderId="0" fillId="5" fontId="15" numFmtId="0" applyFont="1" applyFill="1"/>
    <xf xfId="0" borderId="0" fillId="5" fontId="15" numFmtId="204" applyAlignment="1" applyFont="1" applyFill="1">
      <alignment horizontal="right"/>
    </xf>
    <xf xfId="0" borderId="4" fillId="0" fontId="1" numFmtId="0" applyFont="1"/>
    <xf xfId="0" borderId="5" fillId="0" fontId="1" numFmtId="0" applyFont="1"/>
    <xf xfId="0" borderId="6" fillId="0" fontId="1" numFmtId="0" applyFont="1"/>
    <xf xfId="0" borderId="0" fillId="0" fontId="5" numFmtId="0" applyAlignment="1" applyFont="1">
      <alignment indent="1"/>
    </xf>
    <xf xfId="0" borderId="0" fillId="0" fontId="3" numFmtId="0" applyAlignment="1" applyFont="1">
      <alignment indent="1"/>
    </xf>
    <xf xfId="0" borderId="0" fillId="0" fontId="8" numFmtId="0" applyFont="1"/>
    <xf xfId="0" borderId="5" fillId="0" fontId="17" numFmtId="202" applyAlignment="1" applyFont="1">
      <alignment horizontal="right"/>
    </xf>
    <xf xfId="0" borderId="0" fillId="0" fontId="5" numFmtId="202" applyAlignment="1" applyFont="1">
      <alignment horizontal="right"/>
    </xf>
    <xf xfId="0" borderId="0" fillId="0" fontId="3" numFmtId="202" applyAlignment="1" applyFont="1">
      <alignment horizontal="right"/>
    </xf>
    <xf xfId="0" borderId="5" fillId="2" fontId="16" numFmtId="202" applyAlignment="1" applyFont="1" applyFill="1">
      <alignment horizontal="right"/>
    </xf>
    <xf xfId="0" borderId="0" fillId="0" fontId="3" numFmtId="200" applyAlignment="1" applyFont="1">
      <alignment vertical="center"/>
    </xf>
    <xf xfId="0" borderId="0" fillId="0" fontId="3" numFmtId="212" applyAlignment="1" applyFont="1">
      <alignment vertical="center"/>
    </xf>
    <xf xfId="0" borderId="0" fillId="0" fontId="3" numFmtId="212" applyFont="1"/>
    <xf xfId="0" borderId="0" fillId="0" fontId="3" numFmtId="200" applyFont="1"/>
    <xf xfId="0" borderId="0" fillId="0" fontId="6" numFmtId="202" applyAlignment="1" applyFont="1">
      <alignment vertical="center"/>
    </xf>
    <xf xfId="0" borderId="0" fillId="5" fontId="15" numFmtId="0" applyAlignment="1" applyFont="1" applyFill="1">
      <alignment vertical="center"/>
    </xf>
    <xf xfId="0" borderId="0" fillId="5" fontId="22" numFmtId="0" applyFont="1" applyFill="1"/>
    <xf xfId="0" borderId="0" fillId="2" fontId="2" numFmtId="15" applyAlignment="1" applyFont="1" applyFill="1">
      <alignment horizontal="right" vertical="center"/>
    </xf>
    <xf xfId="0" borderId="0" fillId="2" fontId="2" numFmtId="183" applyAlignment="1" applyFont="1" applyFill="1">
      <alignment horizontal="right" vertical="center"/>
    </xf>
    <xf xfId="0" borderId="0" fillId="2" fontId="2" numFmtId="184" applyAlignment="1" applyFont="1" applyFill="1">
      <alignment horizontal="right" vertical="center"/>
    </xf>
    <xf xfId="0" borderId="0" fillId="2" fontId="2" numFmtId="205" applyAlignment="1" applyFont="1" applyFill="1">
      <alignment horizontal="right" vertical="center"/>
    </xf>
    <xf xfId="0" borderId="0" fillId="2" fontId="2" numFmtId="206" applyAlignment="1" applyFont="1" applyFill="1">
      <alignment horizontal="right" vertical="center"/>
    </xf>
    <xf xfId="0" borderId="0" fillId="2" fontId="2" numFmtId="207" applyAlignment="1" applyFont="1" applyFill="1">
      <alignment horizontal="right" vertical="center"/>
    </xf>
    <xf xfId="0" borderId="0" fillId="2" fontId="2" numFmtId="208" applyAlignment="1" applyFont="1" applyFill="1">
      <alignment horizontal="right" vertical="center"/>
    </xf>
    <xf xfId="0" borderId="0" fillId="0" fontId="1" numFmtId="0" applyAlignment="1" applyFont="1">
      <alignment horizontal="center" vertical="center"/>
    </xf>
    <xf xfId="0" borderId="3" fillId="0" fontId="1" numFmtId="0" applyAlignment="1" applyFont="1">
      <alignment horizontal="center" vertical="center"/>
    </xf>
    <xf xfId="0" borderId="0" fillId="2" fontId="16" numFmtId="211" applyAlignment="1" applyFont="1" applyFill="1">
      <alignment horizontal="center" vertical="center"/>
    </xf>
    <xf xfId="0" borderId="0" fillId="2" fontId="16" numFmtId="212" applyAlignment="1" applyFont="1" applyFill="1">
      <alignment horizontal="center" vertical="center"/>
    </xf>
    <xf xfId="0" borderId="0" fillId="0" fontId="1" numFmtId="212" applyAlignment="1" applyFont="1">
      <alignment horizontal="center" vertical="center"/>
    </xf>
    <xf xfId="0" borderId="0" fillId="0" fontId="1" numFmtId="213" applyAlignment="1" applyFont="1">
      <alignment horizontal="center" vertical="center"/>
    </xf>
    <xf xfId="0" borderId="0" fillId="2" fontId="16" numFmtId="214" applyAlignment="1" applyFont="1" applyFill="1">
      <alignment horizontal="center" vertical="center"/>
    </xf>
    <xf xfId="0" borderId="0" fillId="2" fontId="16" numFmtId="215" applyAlignment="1" applyFont="1" applyFill="1">
      <alignment horizontal="center" vertical="center"/>
    </xf>
    <xf xfId="0" borderId="0" fillId="2" fontId="16" numFmtId="216" applyAlignment="1" applyFont="1" applyFill="1">
      <alignment horizontal="center" vertical="center"/>
    </xf>
    <xf xfId="0" borderId="0" fillId="2" fontId="16" numFmtId="217" applyAlignment="1" applyFont="1" applyFill="1">
      <alignment horizontal="center" vertical="center"/>
    </xf>
    <xf xfId="0" borderId="0" fillId="2" fontId="16" numFmtId="218" applyAlignment="1" applyFont="1" applyFill="1">
      <alignment horizontal="center" vertical="center"/>
    </xf>
    <xf xfId="0" borderId="0" fillId="0" fontId="1" numFmtId="200" applyAlignment="1" applyFont="1">
      <alignment horizontal="center" vertical="center"/>
    </xf>
    <xf xfId="0" borderId="0" fillId="2" fontId="16" numFmtId="213" applyAlignment="1" applyFont="1" applyFill="1">
      <alignment horizontal="center" vertical="center"/>
    </xf>
    <xf xfId="0" borderId="0" fillId="2" fontId="16" numFmtId="184" applyAlignment="1" applyFont="1" applyFill="1">
      <alignment horizontal="center" vertical="center"/>
    </xf>
    <xf xfId="0" borderId="4" fillId="6" fontId="1" numFmtId="0" applyAlignment="1" applyFont="1" applyFill="1">
      <alignment vertical="center"/>
    </xf>
    <xf xfId="0" borderId="4" fillId="6" fontId="1" numFmtId="0" applyAlignment="1" applyFont="1" applyFill="1">
      <alignment horizontal="center" vertical="center"/>
    </xf>
    <xf xfId="0" borderId="4" fillId="6" fontId="1" numFmtId="212" applyAlignment="1" applyFont="1" applyFill="1">
      <alignment horizontal="center" vertical="center"/>
    </xf>
    <xf xfId="0" borderId="4" fillId="6" fontId="1" numFmtId="213" applyAlignment="1" applyFont="1" applyFill="1">
      <alignment horizontal="center" vertical="center"/>
    </xf>
    <xf xfId="0" borderId="4" fillId="6" fontId="1" numFmtId="200" applyAlignment="1" applyFont="1" applyFill="1">
      <alignment horizontal="center" vertical="center"/>
    </xf>
    <xf xfId="0" borderId="4" fillId="6" fontId="1" numFmtId="5" applyAlignment="1" applyFont="1" applyFill="1">
      <alignment vertical="center"/>
    </xf>
    <xf xfId="0" borderId="0" fillId="0" fontId="23" numFmtId="0" applyAlignment="1" applyFont="1">
      <alignment vertical="center"/>
    </xf>
    <xf xfId="0" borderId="0" fillId="0" fontId="8" numFmtId="200" applyAlignment="1" applyFont="1">
      <alignment vertical="center"/>
    </xf>
    <xf xfId="0" borderId="0" fillId="0" fontId="10" numFmtId="202" applyAlignment="1" applyFont="1">
      <alignment vertical="center"/>
    </xf>
    <xf xfId="0" borderId="3" fillId="0" fontId="1" numFmtId="203" applyAlignment="1" applyFont="1">
      <alignment horizontal="right" vertical="center"/>
    </xf>
    <xf xfId="0" borderId="3" fillId="0" fontId="1" numFmtId="204" applyAlignment="1" applyFont="1">
      <alignment horizontal="right" vertical="center"/>
    </xf>
    <xf xfId="0" borderId="0" fillId="5" fontId="22" numFmtId="204" applyAlignment="1" applyFont="1" applyFill="1">
      <alignment horizontal="right"/>
    </xf>
    <xf xfId="0" borderId="0" fillId="0" fontId="6" numFmtId="0" applyAlignment="1" applyFont="1">
      <alignment vertical="center" indent="1"/>
    </xf>
    <xf xfId="0" borderId="0" fillId="0" fontId="6" numFmtId="202" applyAlignment="1" applyFont="1">
      <alignment horizontal="right" vertical="center"/>
    </xf>
    <xf xfId="0" borderId="4" fillId="6" fontId="23" numFmtId="202" applyAlignment="1" applyFont="1" applyFill="1">
      <alignment horizontal="right" vertical="center"/>
    </xf>
    <xf xfId="0" borderId="4" fillId="6" fontId="1" numFmtId="219" applyAlignment="1" applyFont="1" applyFill="1">
      <alignment vertical="center"/>
    </xf>
    <xf xfId="0" borderId="0" fillId="5" fontId="22" numFmtId="200" applyFont="1" applyFill="1"/>
    <xf xfId="0" borderId="0" fillId="0" fontId="1" numFmtId="200" applyFont="1"/>
    <xf xfId="0" borderId="4" fillId="0" fontId="1" numFmtId="200" applyFont="1"/>
    <xf xfId="0" borderId="4" fillId="6" fontId="1" numFmtId="0" applyFont="1" applyFill="1"/>
    <xf xfId="0" borderId="4" fillId="6" fontId="1" numFmtId="200" applyFont="1" applyFill="1"/>
    <xf xfId="0" borderId="0" fillId="0" fontId="3" numFmtId="220" applyFont="1"/>
    <xf xfId="0" borderId="0" fillId="0" fontId="6" numFmtId="1" applyAlignment="1" applyFont="1">
      <alignment horizontal="right"/>
    </xf>
    <xf xfId="0" borderId="4" fillId="7" fontId="1" numFmtId="0" applyAlignment="1" applyFont="1" applyFill="1">
      <alignment vertical="center"/>
    </xf>
    <xf xfId="0" borderId="4" fillId="7" fontId="1" numFmtId="202" applyAlignment="1" applyFont="1" applyFill="1">
      <alignment vertical="center"/>
    </xf>
    <xf xfId="0" borderId="3" fillId="7" fontId="1" numFmtId="0" applyAlignment="1" applyFont="1" applyFill="1">
      <alignment vertical="center"/>
    </xf>
    <xf xfId="0" borderId="3" fillId="7" fontId="1" numFmtId="220" applyAlignment="1" applyFont="1" applyFill="1">
      <alignment vertical="center"/>
    </xf>
    <xf xfId="0" borderId="0" fillId="0" fontId="16" numFmtId="211" applyAlignment="1" applyFont="1">
      <alignment horizontal="center" vertical="center"/>
    </xf>
    <xf xfId="0" borderId="0" fillId="0" fontId="16" numFmtId="212" applyAlignment="1" applyFont="1">
      <alignment horizontal="center" vertical="center"/>
    </xf>
    <xf xfId="0" borderId="0" fillId="0" fontId="24" numFmtId="184" applyAlignment="1" applyFont="1">
      <alignment vertical="center"/>
    </xf>
    <xf xfId="0" borderId="0" fillId="5" fontId="15" numFmtId="0" applyAlignment="1" applyFont="1" applyFill="1">
      <alignment horizontal="right"/>
    </xf>
    <xf xfId="0" borderId="3" fillId="0" fontId="3" numFmtId="0" applyFont="1"/>
    <xf xfId="0" borderId="3" fillId="0" fontId="2" numFmtId="1" applyFont="1"/>
    <xf xfId="0" borderId="0" fillId="0" fontId="8" numFmtId="3" applyAlignment="1" applyFont="1">
      <alignment horizontal="right"/>
    </xf>
    <xf xfId="0" borderId="0" fillId="0" fontId="8" numFmtId="184" applyAlignment="1" applyFont="1">
      <alignment horizontal="right"/>
    </xf>
    <xf xfId="0" borderId="0" fillId="0" fontId="8" numFmtId="207" applyAlignment="1" applyFont="1">
      <alignment horizontal="right"/>
    </xf>
    <xf xfId="0" borderId="0" fillId="6" fontId="1" numFmtId="0" applyFont="1" applyFill="1"/>
    <xf xfId="0" borderId="4" fillId="0" fontId="3" numFmtId="0" applyFont="1"/>
    <xf xfId="0" borderId="0" fillId="0" fontId="25" numFmtId="0" applyFont="1"/>
    <xf xfId="0" borderId="0" fillId="0" fontId="3" numFmtId="213" applyFont="1"/>
    <xf xfId="0" borderId="0" fillId="5" fontId="15" numFmtId="213" applyAlignment="1" applyFont="1" applyFill="1">
      <alignment horizontal="right"/>
    </xf>
    <xf xfId="0" borderId="0" fillId="5" fontId="15" numFmtId="212" applyAlignment="1" applyFont="1" applyFill="1">
      <alignment horizontal="right"/>
    </xf>
    <xf xfId="0" borderId="0" fillId="0" fontId="3" numFmtId="216" applyFont="1"/>
    <xf xfId="0" borderId="0" fillId="5" fontId="15" numFmtId="216" applyAlignment="1" applyFont="1" applyFill="1">
      <alignment horizontal="right"/>
    </xf>
    <xf xfId="0" borderId="0" fillId="0" fontId="8" numFmtId="212" applyFont="1"/>
    <xf xfId="0" borderId="0" fillId="0" fontId="8" numFmtId="213" applyFont="1"/>
    <xf xfId="0" borderId="0" fillId="0" fontId="8" numFmtId="183" applyAlignment="1" applyFont="1">
      <alignment horizontal="right"/>
    </xf>
    <xf xfId="0" borderId="4" fillId="6" fontId="17" numFmtId="184" applyAlignment="1" applyFont="1" applyFill="1">
      <alignment horizontal="right"/>
    </xf>
    <xf xfId="0" borderId="0" fillId="7" fontId="1" numFmtId="0" applyAlignment="1" applyFont="1" applyFill="1">
      <alignment horizontal="centerContinuous"/>
    </xf>
    <xf xfId="0" borderId="3" fillId="0" fontId="23" numFmtId="0" applyFont="1"/>
    <xf xfId="0" borderId="3" fillId="0" fontId="1" numFmtId="0" applyFont="1"/>
    <xf xfId="0" borderId="4" fillId="6" fontId="4" numFmtId="0" applyFont="1" applyFill="1"/>
    <xf xfId="0" borderId="0" fillId="0" fontId="5" numFmtId="184" applyAlignment="1" applyFont="1">
      <alignment horizontal="right"/>
    </xf>
    <xf xfId="0" borderId="0" fillId="0" fontId="8" numFmtId="0" applyAlignment="1" applyFont="1">
      <alignment horizontal="right"/>
    </xf>
    <xf xfId="0" borderId="0" fillId="0" fontId="8" numFmtId="37" applyAlignment="1" applyFont="1">
      <alignment horizontal="right"/>
    </xf>
    <xf xfId="0" borderId="4" fillId="6" fontId="17" numFmtId="0" applyAlignment="1" applyFont="1" applyFill="1">
      <alignment horizontal="right"/>
    </xf>
    <xf xfId="0" borderId="4" fillId="6" fontId="17" numFmtId="212" applyAlignment="1" applyFont="1" applyFill="1">
      <alignment horizontal="right"/>
    </xf>
    <xf xfId="0" borderId="3" fillId="0" fontId="1" numFmtId="0" applyAlignment="1" applyFont="1">
      <alignment horizontal="right" vertical="center"/>
    </xf>
    <xf xfId="0" borderId="0" fillId="0" fontId="17" numFmtId="0" applyFont="1"/>
    <xf xfId="0" borderId="0" fillId="0" fontId="10" numFmtId="0" applyFont="1"/>
    <xf xfId="0" borderId="0" fillId="0" fontId="8" numFmtId="184" applyAlignment="1" applyFont="1">
      <alignment horizontal="center"/>
    </xf>
    <xf xfId="0" borderId="7" fillId="0" fontId="17" numFmtId="184" applyAlignment="1" applyFont="1">
      <alignment horizontal="center"/>
    </xf>
    <xf xfId="0" borderId="3" fillId="4" fontId="4" numFmtId="0" applyFont="1" applyFill="1"/>
    <xf xfId="0" borderId="3" fillId="4" fontId="4" numFmtId="0" applyAlignment="1" applyFont="1" applyFill="1">
      <alignment horizontal="right"/>
    </xf>
    <xf xfId="0" borderId="0" fillId="0" fontId="5" numFmtId="0" applyAlignment="1" applyFont="1">
      <alignment horizontal="right"/>
    </xf>
    <xf xfId="0" borderId="0" fillId="0" fontId="5" numFmtId="212" applyFont="1"/>
    <xf xfId="0" borderId="0" fillId="0" fontId="5" numFmtId="190" applyFont="1"/>
    <xf xfId="0" borderId="0" fillId="0" fontId="2" numFmtId="212" applyFont="1"/>
    <xf xfId="0" borderId="4" fillId="6" fontId="4" numFmtId="212" applyFont="1" applyFill="1"/>
    <xf xfId="0" borderId="4" fillId="6" fontId="4" numFmtId="190" applyFont="1" applyFill="1"/>
    <xf xfId="0" borderId="4" fillId="6" fontId="21" numFmtId="0" applyFont="1" applyFill="1"/>
    <xf xfId="0" borderId="4" fillId="6" fontId="4" numFmtId="212" applyAlignment="1" applyFont="1" applyFill="1">
      <alignment horizontal="right"/>
    </xf>
    <xf xfId="0" borderId="3" fillId="0" fontId="17" numFmtId="204" applyAlignment="1" applyFont="1">
      <alignment horizontal="right"/>
    </xf>
    <xf xfId="0" borderId="4" fillId="6" fontId="4" numFmtId="200" applyAlignment="1" applyFont="1" applyFill="1">
      <alignment horizontal="right"/>
    </xf>
    <xf xfId="0" borderId="0" fillId="0" fontId="5" numFmtId="3" applyAlignment="1" applyFont="1">
      <alignment horizontal="right"/>
    </xf>
    <xf xfId="0" borderId="1" fillId="4" fontId="13" numFmtId="0" applyAlignment="1" applyFont="1" applyFill="1">
      <alignment horizontal="left"/>
    </xf>
    <xf xfId="0" borderId="1" fillId="4" fontId="13" numFmtId="0" applyAlignment="1" applyFont="1" applyFill="1">
      <alignment horizontal="right"/>
    </xf>
    <xf xfId="0" borderId="0" fillId="0" fontId="14" numFmtId="200" applyFont="1"/>
    <xf xfId="0" borderId="2" fillId="0" fontId="13" numFmtId="0" applyFont="1"/>
    <xf xfId="0" borderId="2" fillId="0" fontId="13" numFmtId="200" applyFont="1"/>
    <xf xfId="0" borderId="0" fillId="0" fontId="12" numFmtId="202" applyFont="1"/>
    <xf xfId="0" borderId="0" fillId="0" fontId="14" numFmtId="202" applyFont="1"/>
    <xf xfId="0" borderId="0" fillId="0" fontId="14" numFmtId="223" applyFont="1"/>
    <xf xfId="0" borderId="1" fillId="4" fontId="13" numFmtId="0" applyFont="1" applyFill="1"/>
    <xf xfId="0" borderId="1" fillId="4" fontId="21" numFmtId="0" applyFont="1" applyFill="1"/>
    <xf xfId="0" borderId="0" fillId="0" fontId="12" numFmtId="200" applyFont="1"/>
    <xf xfId="0" borderId="0" fillId="0" fontId="6" numFmtId="225" applyAlignment="1" applyFont="1">
      <alignment vertical="center"/>
    </xf>
    <xf xfId="0" borderId="0" fillId="0" fontId="6" numFmtId="226" applyAlignment="1" applyFont="1">
      <alignment vertical="center"/>
    </xf>
    <xf xfId="0" borderId="0" fillId="0" fontId="10" numFmtId="226" applyAlignment="1" applyFont="1">
      <alignment vertical="center"/>
    </xf>
    <xf xfId="0" borderId="0" fillId="0" fontId="8" numFmtId="200" applyAlignment="1" applyFont="1">
      <alignment horizontal="right" vertical="center"/>
    </xf>
    <xf xfId="0" borderId="0" fillId="0" fontId="6" numFmtId="226" applyAlignment="1" applyFont="1">
      <alignment horizontal="right" vertical="center"/>
    </xf>
    <xf xfId="0" borderId="0" fillId="5" fontId="15" numFmtId="204" applyAlignment="1" applyFont="1" applyFill="1">
      <alignment horizontal="left"/>
    </xf>
    <xf xfId="0" borderId="0" fillId="8" fontId="2" numFmtId="202" applyAlignment="1" applyFont="1" applyFill="1">
      <alignment horizontal="right"/>
    </xf>
    <xf xfId="0" borderId="5" fillId="0" fontId="4" numFmtId="202" applyAlignment="1" applyFont="1">
      <alignment horizontal="right"/>
    </xf>
    <xf xfId="0" borderId="8" fillId="0" fontId="4" numFmtId="202" applyAlignment="1" applyFont="1">
      <alignment horizontal="right"/>
    </xf>
    <xf xfId="0" borderId="5" fillId="0" fontId="17" numFmtId="222" applyAlignment="1" applyFont="1">
      <alignment horizontal="right"/>
    </xf>
    <xf xfId="0" borderId="0" fillId="0" fontId="3" numFmtId="222" applyAlignment="1" applyFont="1">
      <alignment horizontal="right"/>
    </xf>
    <xf xfId="0" borderId="0" fillId="8" fontId="2" numFmtId="222" applyAlignment="1" applyFont="1" applyFill="1">
      <alignment horizontal="right"/>
    </xf>
    <xf xfId="0" borderId="5" fillId="0" fontId="4" numFmtId="222" applyAlignment="1" applyFont="1">
      <alignment horizontal="right"/>
    </xf>
    <xf xfId="0" borderId="8" fillId="0" fontId="4" numFmtId="222" applyAlignment="1" applyFont="1">
      <alignment horizontal="right"/>
    </xf>
    <xf xfId="0" borderId="0" fillId="0" fontId="5" numFmtId="200" applyAlignment="1" applyFont="1">
      <alignment vertical="center"/>
    </xf>
    <xf xfId="0" borderId="0" fillId="0" fontId="6" numFmtId="230" applyFont="1"/>
    <xf xfId="0" borderId="0" fillId="0" fontId="8" numFmtId="210" applyAlignment="1" applyFont="1">
      <alignment horizontal="right"/>
    </xf>
    <xf xfId="0" borderId="0" fillId="0" fontId="8" numFmtId="231" applyAlignment="1" applyFont="1">
      <alignment horizontal="right"/>
    </xf>
    <xf xfId="0" borderId="4" fillId="0" fontId="8" numFmtId="37" applyAlignment="1" applyFont="1">
      <alignment horizontal="right"/>
    </xf>
    <xf xfId="0" borderId="0" fillId="0" fontId="8" numFmtId="230" applyAlignment="1" applyFont="1">
      <alignment horizontal="right"/>
    </xf>
    <xf xfId="0" borderId="0" fillId="0" fontId="8" numFmtId="232" applyAlignment="1" applyFont="1">
      <alignment horizontal="right"/>
    </xf>
    <xf xfId="0" borderId="0" fillId="6" fontId="17" numFmtId="231" applyAlignment="1" applyFont="1" applyFill="1">
      <alignment horizontal="right"/>
    </xf>
    <xf xfId="0" borderId="0" fillId="6" fontId="17" numFmtId="232" applyAlignment="1" applyFont="1" applyFill="1">
      <alignment horizontal="right"/>
    </xf>
    <xf xfId="0" borderId="0" fillId="0" fontId="5" numFmtId="37" applyAlignment="1" applyFont="1">
      <alignment horizontal="right"/>
    </xf>
    <xf xfId="0" borderId="0" fillId="0" fontId="5" numFmtId="210" applyAlignment="1" applyFont="1">
      <alignment horizontal="right"/>
    </xf>
    <xf xfId="0" borderId="0" fillId="0" fontId="5" numFmtId="231" applyAlignment="1" applyFont="1">
      <alignment horizontal="right"/>
    </xf>
    <xf xfId="0" borderId="4" fillId="0" fontId="5" numFmtId="37" applyAlignment="1" applyFont="1">
      <alignment horizontal="right"/>
    </xf>
    <xf xfId="0" borderId="0" fillId="0" fontId="5" numFmtId="230" applyAlignment="1" applyFont="1">
      <alignment horizontal="right"/>
    </xf>
    <xf xfId="0" borderId="0" fillId="0" fontId="5" numFmtId="232" applyAlignment="1" applyFont="1">
      <alignment horizontal="right"/>
    </xf>
    <xf xfId="0" borderId="0" fillId="6" fontId="4" numFmtId="231" applyAlignment="1" applyFont="1" applyFill="1">
      <alignment horizontal="right"/>
    </xf>
    <xf xfId="0" borderId="0" fillId="6" fontId="4" numFmtId="232" applyAlignment="1" applyFont="1" applyFill="1">
      <alignment horizontal="right"/>
    </xf>
    <xf xfId="0" borderId="3" fillId="0" fontId="1" numFmtId="0" applyAlignment="1" applyFont="1">
      <alignment vertical="center"/>
    </xf>
    <xf xfId="0" borderId="3" fillId="0" fontId="3" numFmtId="0" applyAlignment="1" applyFont="1">
      <alignment vertical="center"/>
    </xf>
    <xf xfId="0" borderId="3" fillId="0" fontId="16" numFmtId="227" applyAlignment="1" applyFont="1">
      <alignment vertical="center"/>
    </xf>
    <xf xfId="0" borderId="9" fillId="0" fontId="16" numFmtId="230" applyAlignment="1" applyFont="1">
      <alignment vertical="center"/>
    </xf>
    <xf xfId="0" borderId="0" fillId="0" fontId="5" numFmtId="184" applyFont="1"/>
    <xf xfId="0" borderId="10" fillId="0" fontId="5" numFmtId="184" applyFont="1"/>
    <xf xfId="0" borderId="0" fillId="0" fontId="24" numFmtId="232" applyAlignment="1" applyFont="1">
      <alignment vertical="center"/>
    </xf>
    <xf xfId="0" borderId="0" fillId="0" fontId="5" numFmtId="232" applyFont="1"/>
    <xf xfId="0" borderId="10" fillId="0" fontId="5" numFmtId="232" applyFont="1"/>
    <xf xfId="0" borderId="9" fillId="0" fontId="16" numFmtId="232" applyAlignment="1" applyFont="1">
      <alignment vertical="center"/>
    </xf>
    <xf xfId="0" borderId="3" fillId="0" fontId="16" numFmtId="230" applyAlignment="1" applyFont="1">
      <alignment vertical="center"/>
    </xf>
    <xf xfId="0" borderId="9" fillId="0" fontId="16" numFmtId="208" applyAlignment="1" applyFont="1">
      <alignment vertical="center"/>
    </xf>
    <xf xfId="0" borderId="0" fillId="0" fontId="8" numFmtId="227" applyAlignment="1" applyFont="1">
      <alignment horizontal="right"/>
    </xf>
    <xf xfId="0" borderId="2" fillId="6" fontId="1" numFmtId="0" applyFont="1" applyFill="1"/>
    <xf xfId="0" borderId="2" fillId="6" fontId="17" numFmtId="212" applyAlignment="1" applyFont="1" applyFill="1">
      <alignment horizontal="right"/>
    </xf>
    <xf xfId="0" borderId="11" fillId="0" fontId="3" numFmtId="0" applyFont="1"/>
    <xf xfId="0" borderId="11" fillId="0" fontId="8" numFmtId="212" applyAlignment="1" applyFont="1">
      <alignment horizontal="right"/>
    </xf>
    <xf xfId="0" borderId="11" fillId="0" fontId="6" numFmtId="0" applyAlignment="1" applyFont="1">
      <alignment indent="1"/>
    </xf>
    <xf xfId="0" borderId="11" fillId="0" fontId="10" numFmtId="202" applyAlignment="1" applyFont="1">
      <alignment horizontal="right"/>
    </xf>
    <xf xfId="0" borderId="11" fillId="0" fontId="7" numFmtId="0" applyAlignment="1" applyFont="1">
      <alignment indent="1"/>
    </xf>
    <xf xfId="0" borderId="11" fillId="0" fontId="5" numFmtId="0" applyFont="1"/>
    <xf xfId="0" borderId="11" fillId="0" fontId="6" numFmtId="0" applyFont="1"/>
    <xf xfId="0" borderId="11" fillId="0" fontId="8" numFmtId="210" applyAlignment="1" applyFont="1">
      <alignment horizontal="right"/>
    </xf>
    <xf xfId="0" borderId="11" fillId="0" fontId="8" numFmtId="202" applyAlignment="1" applyFont="1">
      <alignment horizontal="right"/>
    </xf>
    <xf xfId="0" borderId="2" fillId="6" fontId="17" numFmtId="202" applyAlignment="1" applyFont="1" applyFill="1">
      <alignment horizontal="right"/>
    </xf>
    <xf xfId="0" borderId="11" fillId="0" fontId="8" numFmtId="0" applyAlignment="1" applyFont="1">
      <alignment horizontal="right"/>
    </xf>
    <xf xfId="0" borderId="0" fillId="0" fontId="8" numFmtId="232" applyAlignment="1" applyFont="1">
      <alignment horizontal="center"/>
    </xf>
    <xf xfId="0" borderId="7" fillId="0" fontId="17" numFmtId="232" applyAlignment="1" applyFont="1">
      <alignment horizontal="center"/>
    </xf>
    <xf xfId="0" borderId="3" fillId="0" fontId="17" numFmtId="227" applyFont="1"/>
    <xf xfId="0" borderId="9" fillId="0" fontId="17" numFmtId="230" applyFont="1"/>
    <xf xfId="0" borderId="9" fillId="0" fontId="17" numFmtId="232" applyFont="1"/>
    <xf xfId="0" borderId="3" fillId="0" fontId="17" numFmtId="230" applyFont="1"/>
    <xf xfId="0" borderId="9" fillId="0" fontId="17" numFmtId="208" applyFont="1"/>
    <xf xfId="0" borderId="0" fillId="0" fontId="8" numFmtId="233" applyAlignment="1" applyFont="1">
      <alignment horizontal="right"/>
    </xf>
    <xf xfId="0" borderId="1" fillId="4" fontId="4" numFmtId="0" applyFont="1" applyFill="1"/>
    <xf xfId="0" borderId="1" fillId="4" fontId="4" numFmtId="0" applyAlignment="1" applyFont="1" applyFill="1">
      <alignment horizontal="right"/>
    </xf>
    <xf xfId="0" borderId="0" fillId="0" fontId="9" numFmtId="0" applyFont="1"/>
    <xf xfId="0" borderId="0" fillId="0" fontId="5" numFmtId="2" applyFont="1"/>
    <xf xfId="0" borderId="0" fillId="0" fontId="5" numFmtId="230" applyFont="1"/>
    <xf xfId="0" borderId="4" fillId="6" fontId="4" numFmtId="2" applyFont="1" applyFill="1"/>
    <xf xfId="0" borderId="4" fillId="6" fontId="4" numFmtId="230" applyFont="1" applyFill="1"/>
    <xf xfId="0" borderId="4" fillId="6" fontId="4" numFmtId="230" applyAlignment="1" applyFont="1" applyFill="1">
      <alignment horizontal="right"/>
    </xf>
    <xf xfId="0" borderId="0" fillId="9" fontId="4" numFmtId="0" applyFont="1" applyFill="1"/>
    <xf xfId="0" borderId="0" fillId="9" fontId="4" numFmtId="212" applyFont="1" applyFill="1"/>
    <xf xfId="0" borderId="0" fillId="9" fontId="4" numFmtId="190" applyFont="1" applyFill="1"/>
    <xf xfId="0" borderId="0" fillId="9" fontId="4" numFmtId="230" applyFont="1" applyFill="1"/>
    <xf xfId="0" borderId="0" fillId="9" fontId="4" numFmtId="230" applyAlignment="1" applyFont="1" applyFill="1">
      <alignment horizontal="right"/>
    </xf>
    <xf xfId="0" borderId="0" fillId="9" fontId="21" numFmtId="0" applyFont="1" applyFill="1"/>
    <xf xfId="0" borderId="12" fillId="0" fontId="3" numFmtId="0" applyAlignment="1" applyFont="1">
      <alignment vertical="center"/>
    </xf>
    <xf xfId="0" borderId="12" fillId="0" fontId="8" numFmtId="209" applyAlignment="1" applyFont="1">
      <alignment vertical="center"/>
    </xf>
    <xf xfId="0" borderId="12" fillId="0" fontId="5" numFmtId="184" applyAlignment="1" applyFont="1">
      <alignment vertical="center"/>
    </xf>
    <xf xfId="0" borderId="12" fillId="0" fontId="5" numFmtId="228" applyAlignment="1" applyFont="1">
      <alignment vertical="center"/>
    </xf>
    <xf xfId="0" borderId="12" fillId="0" fontId="8" numFmtId="3" applyAlignment="1" applyFont="1">
      <alignment vertical="center"/>
    </xf>
    <xf xfId="0" borderId="12" fillId="0" fontId="5" numFmtId="230" applyAlignment="1" applyFont="1">
      <alignment vertical="center"/>
    </xf>
    <xf xfId="0" borderId="12" fillId="0" fontId="2" numFmtId="227" applyAlignment="1" applyFont="1">
      <alignment vertical="center"/>
    </xf>
    <xf xfId="0" borderId="12" fillId="0" fontId="2" numFmtId="209" applyAlignment="1" applyFont="1">
      <alignment vertical="center"/>
    </xf>
    <xf xfId="0" borderId="12" fillId="0" fontId="1" numFmtId="0" applyAlignment="1" applyFont="1">
      <alignment vertical="center"/>
    </xf>
    <xf xfId="0" borderId="13" fillId="0" fontId="1" numFmtId="0" applyAlignment="1" applyFont="1">
      <alignment vertical="center"/>
    </xf>
    <xf xfId="0" borderId="13" fillId="0" fontId="4" numFmtId="209" applyAlignment="1" applyFont="1">
      <alignment vertical="center"/>
    </xf>
    <xf xfId="0" borderId="12" fillId="0" fontId="4" numFmtId="3" applyAlignment="1" applyFont="1">
      <alignment vertical="center"/>
    </xf>
    <xf xfId="0" borderId="0" fillId="0" fontId="5" numFmtId="200" applyAlignment="1" applyFont="1">
      <alignment horizontal="right" vertical="center"/>
    </xf>
    <xf xfId="0" borderId="0" fillId="0" fontId="7" numFmtId="202" applyAlignment="1" applyFont="1">
      <alignment horizontal="right" vertical="center"/>
    </xf>
    <xf xfId="0" borderId="4" fillId="6" fontId="4" numFmtId="219" applyAlignment="1" applyFont="1" applyFill="1">
      <alignment horizontal="right" vertical="center"/>
    </xf>
    <xf xfId="0" borderId="0" fillId="0" fontId="7" numFmtId="225" applyAlignment="1" applyFont="1">
      <alignment horizontal="right" vertical="center"/>
    </xf>
    <xf xfId="0" borderId="0" fillId="0" fontId="7" numFmtId="226" applyAlignment="1" applyFont="1">
      <alignment horizontal="right" vertical="center"/>
    </xf>
    <xf xfId="0" borderId="0" fillId="0" fontId="10" numFmtId="202" applyAlignment="1" applyFont="1">
      <alignment horizontal="right" vertical="center"/>
    </xf>
    <xf xfId="0" borderId="4" fillId="6" fontId="17" numFmtId="219" applyAlignment="1" applyFont="1" applyFill="1">
      <alignment horizontal="right" vertical="center"/>
    </xf>
    <xf xfId="0" borderId="0" fillId="0" fontId="5" numFmtId="216" applyFont="1"/>
    <xf xfId="0" borderId="0" fillId="0" fontId="5" numFmtId="227" applyAlignment="1" applyFont="1">
      <alignment horizontal="right"/>
    </xf>
    <xf xfId="0" borderId="4" fillId="6" fontId="17" numFmtId="213" applyFont="1" applyFill="1"/>
    <xf xfId="0" borderId="4" fillId="6" fontId="4" numFmtId="216" applyFont="1" applyFill="1"/>
    <xf xfId="0" borderId="0" fillId="0" fontId="7" numFmtId="212" applyFont="1"/>
    <xf xfId="0" borderId="3" fillId="0" fontId="17" numFmtId="203" applyAlignment="1" applyFont="1">
      <alignment horizontal="right"/>
    </xf>
    <xf xfId="0" borderId="3" fillId="0" fontId="17" numFmtId="0" applyAlignment="1" applyFont="1">
      <alignment horizontal="right"/>
    </xf>
    <xf xfId="0" borderId="0" fillId="0" fontId="8" numFmtId="184" applyFont="1"/>
    <xf xfId="0" borderId="0" fillId="0" fontId="8" numFmtId="232" applyFont="1"/>
    <xf xfId="0" borderId="11" fillId="6" fontId="1" numFmtId="0" applyFont="1" applyFill="1"/>
    <xf xfId="0" borderId="11" fillId="6" fontId="17" numFmtId="232" applyAlignment="1" applyFont="1" applyFill="1">
      <alignment horizontal="right"/>
    </xf>
    <xf xfId="0" borderId="11" fillId="6" fontId="17" numFmtId="184" applyAlignment="1" applyFont="1" applyFill="1">
      <alignment horizontal="right"/>
    </xf>
    <xf xfId="0" borderId="2" fillId="6" fontId="1" numFmtId="0" applyAlignment="1" applyFont="1" applyFill="1">
      <alignment indent="1"/>
    </xf>
    <xf xfId="0" borderId="11" fillId="0" fontId="8" numFmtId="200" applyAlignment="1" applyFont="1">
      <alignment horizontal="right"/>
    </xf>
    <xf xfId="0" borderId="11" fillId="0" fontId="3" numFmtId="0" applyAlignment="1" applyFont="1">
      <alignment horizontal="right"/>
    </xf>
    <xf xfId="0" borderId="4" fillId="6" fontId="1" numFmtId="0" applyAlignment="1" applyFont="1" applyFill="1">
      <alignment horizontal="right"/>
    </xf>
    <xf xfId="0" borderId="11" fillId="0" fontId="10" numFmtId="200" applyAlignment="1" applyFont="1">
      <alignment horizontal="right"/>
    </xf>
    <xf xfId="0" borderId="11" fillId="0" fontId="6" numFmtId="0" applyAlignment="1" applyFont="1">
      <alignment horizontal="right"/>
    </xf>
    <xf xfId="0" borderId="11" fillId="0" fontId="7" numFmtId="200" applyAlignment="1" applyFont="1">
      <alignment horizontal="right"/>
    </xf>
    <xf xfId="0" borderId="11" fillId="0" fontId="7" numFmtId="0" applyFont="1"/>
    <xf xfId="0" borderId="11" fillId="0" fontId="7" numFmtId="202" applyAlignment="1" applyFont="1">
      <alignment horizontal="right"/>
    </xf>
    <xf xfId="0" borderId="4" fillId="6" fontId="17" numFmtId="219" applyAlignment="1" applyFont="1" applyFill="1">
      <alignment vertical="center"/>
    </xf>
    <xf xfId="0" borderId="0" fillId="0" fontId="2" numFmtId="202" applyFont="1"/>
    <xf xfId="0" borderId="0" fillId="0" fontId="2" numFmtId="227" applyAlignment="1" applyFont="1">
      <alignment horizontal="right" vertical="center"/>
    </xf>
    <xf xfId="0" borderId="0" fillId="0" fontId="14" numFmtId="49" applyAlignment="1" applyFont="1">
      <alignment horizontal="right"/>
    </xf>
    <xf xfId="0" borderId="2" fillId="0" fontId="16" numFmtId="200" applyFont="1"/>
    <xf xfId="0" borderId="0" fillId="0" fontId="2" numFmtId="223" applyFont="1"/>
    <xf xfId="0" borderId="0" fillId="0" fontId="2" numFmtId="2" applyFont="1"/>
    <xf xfId="0" borderId="0" fillId="0" fontId="2" numFmtId="190" applyFont="1"/>
    <xf xfId="0" borderId="0" fillId="9" fontId="17" numFmtId="2" applyFont="1" applyFill="1"/>
    <xf xfId="0" borderId="0" fillId="9" fontId="17" numFmtId="212" applyFont="1" applyFill="1"/>
    <xf xfId="0" borderId="0" fillId="9" fontId="17" numFmtId="190" applyFont="1" applyFill="1"/>
    <xf xfId="0" borderId="0" fillId="4" fontId="4" numFmtId="0" applyFont="1" applyFill="1"/>
    <xf xfId="0" borderId="12" fillId="0" fontId="8" numFmtId="234" applyAlignment="1" applyFont="1">
      <alignment vertical="center"/>
    </xf>
    <xf xfId="0" borderId="11" fillId="0" fontId="5" numFmtId="200" applyAlignment="1" applyFont="1">
      <alignment horizontal="right"/>
    </xf>
    <xf xfId="0" borderId="0" fillId="5" fontId="17" numFmtId="203" applyAlignment="1" applyFont="1" applyFill="1">
      <alignment horizontal="right"/>
    </xf>
    <xf xfId="0" borderId="0" fillId="0" fontId="5" numFmtId="202" applyFont="1"/>
    <xf xfId="0" borderId="0" fillId="0" fontId="5" numFmtId="183" applyFont="1"/>
    <xf xfId="0" borderId="0" fillId="0" fontId="5" numFmtId="204" applyFont="1"/>
    <xf xfId="0" borderId="0" fillId="8" fontId="5" numFmtId="0" applyFont="1" applyFill="1"/>
    <xf xfId="0" borderId="0" fillId="0" fontId="26" numFmtId="0" applyFont="1"/>
    <xf xfId="0" borderId="0" fillId="7" fontId="4" numFmtId="0" applyFont="1" applyFill="1"/>
    <xf xfId="0" borderId="3" fillId="7" fontId="4" numFmtId="0" applyAlignment="1" applyFont="1" applyFill="1">
      <alignment horizontal="center"/>
    </xf>
    <xf xfId="0" borderId="0" fillId="0" fontId="5" numFmtId="184" applyAlignment="1" applyFont="1">
      <alignment vertical="center"/>
    </xf>
    <xf xfId="0" borderId="0" fillId="0" fontId="5" numFmtId="0" applyAlignment="1" applyFont="1">
      <alignment horizontal="right" vertical="center"/>
    </xf>
    <xf xfId="0" borderId="3" fillId="0" fontId="5" numFmtId="0" applyAlignment="1" applyFont="1">
      <alignment horizontal="right"/>
    </xf>
    <xf xfId="0" borderId="3" fillId="0" fontId="5" numFmtId="0" applyFont="1"/>
    <xf xfId="0" borderId="0" fillId="7" fontId="4" numFmtId="0" applyAlignment="1" applyFont="1" applyFill="1">
      <alignment horizontal="center"/>
    </xf>
    <xf xfId="0" borderId="0" fillId="0" fontId="5" numFmtId="227" applyFont="1"/>
    <xf xfId="0" borderId="0" fillId="0" fontId="5" numFmtId="49" applyFont="1"/>
    <xf xfId="0" borderId="0" fillId="0" fontId="5" numFmtId="181" applyFont="1"/>
    <xf xfId="0" borderId="3" fillId="0" fontId="4" numFmtId="184" applyAlignment="1" applyFont="1">
      <alignment horizontal="right"/>
    </xf>
    <xf xfId="0" borderId="9" fillId="0" fontId="4" numFmtId="184" applyFont="1"/>
    <xf xfId="0" borderId="3" fillId="0" fontId="4" numFmtId="230" applyAlignment="1" applyFont="1">
      <alignment horizontal="right"/>
    </xf>
    <xf xfId="0" borderId="3" fillId="0" fontId="4" numFmtId="227" applyAlignment="1" applyFont="1">
      <alignment horizontal="right"/>
    </xf>
    <xf xfId="0" borderId="9" fillId="0" fontId="4" numFmtId="230" applyFont="1"/>
    <xf xfId="0" borderId="0" fillId="7" fontId="4" numFmtId="0" applyAlignment="1" applyFont="1" applyFill="1">
      <alignment wrapText="1"/>
    </xf>
    <xf xfId="0" borderId="0" fillId="0" fontId="5" numFmtId="222" applyFont="1"/>
    <xf xfId="0" borderId="14" fillId="8" fontId="5" numFmtId="230" applyAlignment="1" applyFont="1" applyFill="1">
      <alignment wrapText="1" horizontal="center" vertical="center"/>
    </xf>
    <xf xfId="0" borderId="0" fillId="10" fontId="4" numFmtId="184" applyFont="1" applyFill="1"/>
    <xf xfId="0" borderId="0" fillId="7" fontId="4" numFmtId="0" applyAlignment="1" applyFont="1" applyFill="1">
      <alignment horizontal="right"/>
    </xf>
    <xf xfId="0" borderId="4" fillId="0" fontId="4" numFmtId="0" applyFont="1"/>
    <xf xfId="0" borderId="0" fillId="0" fontId="7" numFmtId="200" applyFont="1"/>
    <xf xfId="0" borderId="0" fillId="0" fontId="5" numFmtId="233" applyFont="1"/>
    <xf xfId="0" borderId="4" fillId="0" fontId="4" numFmtId="184" applyFont="1"/>
    <xf xfId="0" borderId="0" fillId="7" fontId="4" numFmtId="0" applyAlignment="1" applyFont="1" applyFill="1">
      <alignment wrapText="1" horizontal="right"/>
    </xf>
    <xf xfId="0" borderId="0" fillId="0" fontId="5" numFmtId="211" applyFont="1"/>
    <xf xfId="0" borderId="0" fillId="0" fontId="5" numFmtId="228" applyFont="1"/>
    <xf xfId="0" borderId="14" fillId="0" fontId="5" numFmtId="1" applyAlignment="1" applyFont="1">
      <alignment wrapText="1" horizontal="center" vertical="center"/>
    </xf>
    <xf xfId="0" borderId="14" fillId="0" fontId="5" numFmtId="230" applyAlignment="1" applyFont="1">
      <alignment wrapText="1" horizontal="center" vertical="center"/>
    </xf>
    <xf xfId="0" borderId="14" fillId="8" fontId="5" numFmtId="1" applyAlignment="1" applyFont="1" applyFill="1">
      <alignment wrapText="1" horizontal="center" vertical="center"/>
    </xf>
    <xf xfId="0" borderId="0" fillId="7" fontId="4" numFmtId="0" applyAlignment="1" applyFont="1" applyFill="1">
      <alignment wrapText="1" horizontal="center"/>
    </xf>
    <xf xfId="0" borderId="0" fillId="0" fontId="5" numFmtId="0" applyAlignment="1" applyFont="1">
      <alignment horizontal="center" vertical="center"/>
    </xf>
    <xf xfId="0" borderId="0" fillId="0" fontId="5" numFmtId="232" applyAlignment="1" applyFont="1">
      <alignment vertical="center"/>
    </xf>
    <xf xfId="0" borderId="0" fillId="0" fontId="5" numFmtId="238" applyAlignment="1" applyFont="1">
      <alignment horizontal="right" vertical="center"/>
    </xf>
    <xf xfId="0" borderId="0" fillId="0" fontId="5" numFmtId="230" applyAlignment="1" applyFont="1">
      <alignment horizontal="right" vertical="center"/>
    </xf>
    <xf xfId="0" borderId="0" fillId="0" fontId="5" numFmtId="3" applyAlignment="1" applyFont="1">
      <alignment horizontal="right" vertical="center"/>
    </xf>
    <xf xfId="0" borderId="0" fillId="0" fontId="5" numFmtId="232" applyAlignment="1" applyFont="1">
      <alignment horizontal="right" vertical="center"/>
    </xf>
    <xf xfId="0" borderId="0" fillId="0" fontId="5" numFmtId="184" applyAlignment="1" applyFont="1">
      <alignment horizontal="right" vertical="center"/>
    </xf>
    <xf xfId="0" borderId="0" fillId="8" fontId="5" numFmtId="9" applyAlignment="1" applyFont="1" applyFill="1">
      <alignment horizontal="right" vertical="center"/>
    </xf>
    <xf xfId="0" borderId="15" fillId="0" fontId="5" numFmtId="0" applyAlignment="1" applyFont="1">
      <alignment vertical="center"/>
    </xf>
    <xf xfId="0" borderId="15" fillId="0" fontId="5" numFmtId="238" applyAlignment="1" applyFont="1">
      <alignment horizontal="right" vertical="center"/>
    </xf>
    <xf xfId="0" borderId="15" fillId="0" fontId="5" numFmtId="230" applyAlignment="1" applyFont="1">
      <alignment horizontal="right" vertical="center"/>
    </xf>
    <xf xfId="0" borderId="15" fillId="0" fontId="5" numFmtId="3" applyAlignment="1" applyFont="1">
      <alignment horizontal="right" vertical="center"/>
    </xf>
    <xf xfId="0" borderId="15" fillId="0" fontId="5" numFmtId="232" applyAlignment="1" applyFont="1">
      <alignment horizontal="right" vertical="center"/>
    </xf>
    <xf xfId="0" borderId="15" fillId="0" fontId="5" numFmtId="184" applyAlignment="1" applyFont="1">
      <alignment horizontal="right" vertical="center"/>
    </xf>
    <xf xfId="0" borderId="15" fillId="0" fontId="5" numFmtId="0" applyAlignment="1" applyFont="1">
      <alignment horizontal="right" vertical="center"/>
    </xf>
    <xf xfId="0" borderId="15" fillId="0" fontId="5" numFmtId="0" applyAlignment="1" applyFont="1">
      <alignment horizontal="center" vertical="center"/>
    </xf>
    <xf xfId="0" borderId="15" fillId="8" fontId="5" numFmtId="9" applyAlignment="1" applyFont="1" applyFill="1">
      <alignment horizontal="right" vertical="center"/>
    </xf>
    <xf xfId="0" borderId="0" fillId="0" fontId="4" numFmtId="238" applyAlignment="1" applyFont="1">
      <alignment horizontal="right" vertical="center"/>
    </xf>
    <xf xfId="0" borderId="0" fillId="0" fontId="4" numFmtId="230" applyAlignment="1" applyFont="1">
      <alignment horizontal="right" vertical="center"/>
    </xf>
    <xf xfId="0" borderId="0" fillId="0" fontId="4" numFmtId="3" applyAlignment="1" applyFont="1">
      <alignment horizontal="right" vertical="center"/>
    </xf>
    <xf xfId="0" borderId="0" fillId="0" fontId="4" numFmtId="232" applyAlignment="1" applyFont="1">
      <alignment horizontal="right" vertical="center"/>
    </xf>
    <xf xfId="0" borderId="0" fillId="0" fontId="4" numFmtId="184" applyAlignment="1" applyFont="1">
      <alignment horizontal="right" vertical="center"/>
    </xf>
    <xf xfId="0" borderId="0" fillId="8" fontId="4" numFmtId="9" applyAlignment="1" applyFont="1" applyFill="1">
      <alignment horizontal="right" vertical="center"/>
    </xf>
    <xf xfId="0" borderId="0" fillId="0" fontId="5" numFmtId="3" applyFont="1"/>
    <xf xfId="0" borderId="3" fillId="7" fontId="4" numFmtId="0" applyAlignment="1" applyFont="1" applyFill="1">
      <alignment horizontal="left"/>
    </xf>
    <xf xfId="0" borderId="3" fillId="7" fontId="4" numFmtId="0" applyAlignment="1" applyFont="1" applyFill="1">
      <alignment horizontal="center"/>
    </xf>
    <xf xfId="0" borderId="14" fillId="0" fontId="5" numFmtId="0" applyAlignment="1" applyFont="1">
      <alignment wrapText="1" vertical="center"/>
    </xf>
    <xf xfId="0" borderId="14" fillId="0" fontId="18" numFmtId="0" applyAlignment="1" applyFont="1">
      <alignment wrapText="1" vertical="center"/>
    </xf>
    <xf xfId="0" borderId="0" fillId="0" fontId="7" numFmtId="0" applyAlignment="1" applyFont="1">
      <alignment wrapText="1" vertical="top"/>
    </xf>
    <xf xfId="0" borderId="0" fillId="0" fontId="5" numFmtId="0" applyFont="1"/>
    <xf xfId="0" borderId="0" fillId="0" fontId="7" numFmtId="0" applyFont="1"/>
    <xf xfId="0" borderId="6" fillId="0" fontId="4" numFmtId="0" applyAlignment="1" applyFont="1">
      <alignment horizontal="center"/>
    </xf>
    <xf xfId="0" borderId="5" fillId="0" fontId="4" numFmtId="0" applyAlignment="1" applyFont="1">
      <alignment horizontal="center"/>
    </xf>
    <xf xfId="0" borderId="8" fillId="0" fontId="4" numFmtId="0" applyAlignment="1" applyFont="1">
      <alignment horizontal="center"/>
    </xf>
    <xf xfId="0" borderId="0" fillId="0" fontId="7" numFmtId="0" applyAlignment="1" applyFont="1">
      <alignment horizontal="center"/>
    </xf>
    <xf xfId="0" borderId="0" fillId="0" fontId="7" numFmtId="0" applyAlignment="1" applyFont="1">
      <alignment wrapText="1" vertical="center"/>
    </xf>
    <xf xfId="0" borderId="0" fillId="0" fontId="5" numFmtId="0" applyAlignment="1" applyFont="1">
      <alignment horizontal="center" vertical="center"/>
    </xf>
    <xf xfId="0" borderId="0" fillId="0" fontId="5" numFmtId="0" applyAlignment="1" applyFont="1">
      <alignment vertical="center"/>
    </xf>
    <xf xfId="0" borderId="0" fillId="7" fontId="4" numFmtId="0" applyFont="1" applyFill="1"/>
    <xf xfId="0" borderId="0" fillId="7" fontId="4" numFmtId="0" applyAlignment="1" applyFont="1" applyFill="1">
      <alignment wrapText="1" horizontal="center"/>
    </xf>
    <xf xfId="0" borderId="0" fillId="0" fontId="4" numFmtId="0" applyAlignment="1" applyFont="1">
      <alignment horizontal="center" vertical="center"/>
    </xf>
    <xf xfId="0" borderId="0" fillId="0" fontId="18" numFmtId="0" applyAlignment="1" applyFont="1">
      <alignment wrapText="1" horizontal="center" vertical="center"/>
    </xf>
    <xf xfId="0" borderId="0" fillId="7" fontId="4" numFmtId="0" applyAlignment="1" applyFont="1" applyFill="1">
      <alignment wrapText="1"/>
    </xf>
    <xf xfId="0" borderId="0" fillId="0" fontId="5" numFmtId="0" applyAlignment="1" applyFont="1">
      <alignment wrapText="1" vertical="center"/>
    </xf>
    <xf xfId="0" borderId="14" fillId="8" fontId="2" numFmtId="10" applyAlignment="1" applyFont="1" applyFill="1">
      <alignment wrapText="1" horizontal="center" vertical="center"/>
    </xf>
    <xf xfId="0" borderId="14" fillId="8" fontId="2" numFmtId="230" applyAlignment="1" applyFont="1" applyFill="1">
      <alignment wrapText="1" horizontal="center" vertical="center"/>
    </xf>
    <xf xfId="0" borderId="14" fillId="8" fontId="2" numFmtId="227" applyAlignment="1" applyFont="1" applyFill="1">
      <alignment wrapText="1" horizontal="center" vertical="center"/>
    </xf>
    <xf xfId="0" borderId="0" fillId="7" fontId="27" numFmtId="44" applyAlignment="1" applyFont="1" applyFill="1">
      <alignment horizontal="center"/>
    </xf>
    <xf xfId="0" borderId="0" fillId="11" fontId="5" numFmtId="0" applyFont="1" applyFill="1"/>
    <xf xfId="0" borderId="0" fillId="11" fontId="4" numFmtId="0" applyFont="1" applyFill="1"/>
    <xf xfId="0" borderId="14" fillId="0" fontId="5" numFmtId="227" applyAlignment="1" applyFont="1">
      <alignment wrapText="1" horizontal="center" vertical="center"/>
    </xf>
    <xf xfId="0" borderId="14" fillId="0" fontId="28" numFmtId="184" applyAlignment="1" applyFont="1">
      <alignment wrapText="1" horizontal="center" vertical="center"/>
    </xf>
    <xf xfId="0" borderId="14" fillId="0" fontId="28" numFmtId="230" applyAlignment="1" applyFont="1">
      <alignment wrapText="1" horizontal="center" vertical="center"/>
    </xf>
    <xf xfId="0" borderId="14" fillId="0" fontId="2" numFmtId="230" applyAlignment="1" applyFont="1">
      <alignment wrapText="1" horizontal="center" vertical="center"/>
    </xf>
    <xf xfId="0" borderId="0" fillId="8" fontId="5" numFmtId="184" applyFont="1" applyFill="1"/>
    <xf xfId="0" borderId="16" fillId="0" fontId="4" numFmtId="0" applyAlignment="1" applyFont="1">
      <alignment vertical="center"/>
    </xf>
    <xf xfId="0" borderId="16" fillId="0" fontId="4" numFmtId="9" applyAlignment="1" applyFont="1">
      <alignment vertical="center"/>
    </xf>
    <xf xfId="0" borderId="16" fillId="0" fontId="4" numFmtId="184" applyAlignment="1" applyFont="1">
      <alignment vertical="center"/>
    </xf>
    <xf xfId="0" borderId="16" fillId="0" fontId="4" numFmtId="232" applyAlignment="1" applyFont="1">
      <alignment vertical="center"/>
    </xf>
    <xf xfId="0" borderId="16" fillId="0" fontId="4" numFmtId="0" applyAlignment="1" applyFont="1">
      <alignment wrapText="1" vertical="center"/>
    </xf>
    <xf xfId="0" borderId="0" fillId="0" fontId="18" numFmtId="0" applyAlignment="1" applyFont="1">
      <alignment horizontal="center" vertical="center"/>
    </xf>
    <xf xfId="0" borderId="14" fillId="8" fontId="2" numFmtId="1" applyAlignment="1" applyFont="1" applyFill="1">
      <alignment wrapText="1" horizontal="center" vertical="center"/>
    </xf>
    <xf xfId="0" borderId="14" fillId="8" fontId="2" numFmtId="230" applyAlignment="1" applyFont="1" applyFill="1">
      <alignment wrapText="1" horizontal="center" vertical="center"/>
    </xf>
    <xf xfId="0" borderId="0" fillId="8" fontId="2" numFmtId="9" applyAlignment="1" applyFont="1" applyFill="1">
      <alignment horizontal="right" vertical="center"/>
    </xf>
    <xf xfId="0" borderId="15" fillId="8" fontId="2" numFmtId="9" applyAlignment="1" applyFont="1" applyFill="1">
      <alignment horizontal="right" vertical="center"/>
    </xf>
    <xf xfId="0" borderId="0" fillId="8" fontId="16" numFmtId="9" applyAlignment="1" applyFont="1" applyFill="1">
      <alignment horizontal="right" vertical="center"/>
    </xf>
  </cellXfs>
  <cellStyles count="1">
    <cellStyle xfId="0" name="Normal"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styles" Target="styles.xml"/><Relationship Id="rId11" Type="http://schemas.openxmlformats.org/officeDocument/2006/relationships/sharedStrings" Target="sharedStrings.xml"/><Relationship Id="rId12" Type="http://schemas.openxmlformats.org/officeDocument/2006/relationships/theme" Target="theme/theme1.xml"/><Relationship Id="rId13" Type="http://schemas.openxmlformats.org/officeDocument/2006/relationships/sheetMetadata" Target="metadata.xml"/></Relationships>
</file>

<file path=xl/charts/_rels/chart7.xml.rels><?xml version="1.0" encoding="UTF-8" standalone="yes"?>
<Relationships xmlns="http://schemas.openxmlformats.org/package/2006/relationships"><Relationship Id="rId1" Type="http://schemas.microsoft.com/office/2011/relationships/chartStyle" Target="style7.xml"/><Relationship Id="rId2" Type="http://schemas.microsoft.com/office/2011/relationships/chartColorStyle" Target="colors7.xml"/></Relationships>
</file>

<file path=xl/charts/_rels/chart8.xml.rels><?xml version="1.0" encoding="UTF-8" standalone="yes"?>
<Relationships xmlns="http://schemas.openxmlformats.org/package/2006/relationships"><Relationship Id="rId1" Type="http://schemas.microsoft.com/office/2011/relationships/chartStyle" Target="style8.xml"/><Relationship Id="rId2" Type="http://schemas.microsoft.com/office/2011/relationships/chartColorStyle" Target="colors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Adj. EBITDA</c:v>
          </c:tx>
          <c:spPr>
            <a:solidFill>
              <a:srgbClr val="7F7F7F"/>
            </a:solidFill>
            <a:ln>
              <a:noFill/>
            </a:ln>
          </c:spPr>
          <c:invertIfNegative val="0"/>
          <c:dLbls>
            <c:numFmt formatCode="#,##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Model!$E$28:$G$28</c:f>
              <c:numCache>
                <c:formatCode>"FY"yy"A"</c:formatCode>
                <c:ptCount val="3"/>
                <c:pt idx="0">
                  <c:v>45291</c:v>
                </c:pt>
                <c:pt idx="1">
                  <c:v>45657</c:v>
                </c:pt>
                <c:pt idx="2">
                  <c:v>46022</c:v>
                </c:pt>
              </c:numCache>
            </c:numRef>
          </c:cat>
          <c:val>
            <c:numRef>
              <c:f>Model!$E$53:$G$53</c:f>
              <c:numCache>
                <c:formatCode>"$"#,##0.0_);\("$"#,##0.0\);"–"_)</c:formatCode>
                <c:ptCount val="3"/>
                <c:pt idx="0">
                  <c:v>2481</c:v>
                </c:pt>
                <c:pt idx="1">
                  <c:v>2578</c:v>
                </c:pt>
                <c:pt idx="2">
                  <c:v>2680</c:v>
                </c:pt>
              </c:numCache>
            </c:numRef>
          </c:val>
          <c:extLst>
            <c:ext xmlns:c16="http://schemas.microsoft.com/office/drawing/2014/chart" uri="{C3380CC4-5D6E-409C-BE32-E72D297353CC}">
              <c16:uniqueId val="{00000000-C5B2-4477-BAFD-894E884CAAA9}"/>
            </c:ext>
          </c:extLst>
        </c:ser>
        <c:ser>
          <c:idx val="1"/>
          <c:order val="1"/>
          <c:tx>
            <c:v>Adj. EBITDA less SAC &amp; CapEx</c:v>
          </c:tx>
          <c:spPr>
            <a:solidFill>
              <a:srgbClr val="4472C4"/>
            </a:solidFill>
            <a:ln>
              <a:noFill/>
            </a:ln>
          </c:spPr>
          <c:invertIfNegative val="0"/>
          <c:dLbls>
            <c:numFmt formatCode="#,##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Model!$E$28:$G$28</c:f>
              <c:numCache>
                <c:formatCode>"FY"yy"A"</c:formatCode>
                <c:ptCount val="3"/>
                <c:pt idx="0">
                  <c:v>45291</c:v>
                </c:pt>
                <c:pt idx="1">
                  <c:v>45657</c:v>
                </c:pt>
                <c:pt idx="2">
                  <c:v>46022</c:v>
                </c:pt>
              </c:numCache>
            </c:numRef>
          </c:cat>
          <c:val>
            <c:numRef>
              <c:f>Model!$E$69:$G$69</c:f>
              <c:numCache>
                <c:formatCode>"$"#,##0.0_);\("$"#,##0.0\);"–"_)</c:formatCode>
                <c:ptCount val="3"/>
                <c:pt idx="0">
                  <c:v>988</c:v>
                </c:pt>
                <c:pt idx="1">
                  <c:v>1191</c:v>
                </c:pt>
                <c:pt idx="2">
                  <c:v>1356</c:v>
                </c:pt>
              </c:numCache>
            </c:numRef>
          </c:val>
          <c:extLst>
            <c:ext xmlns:c16="http://schemas.microsoft.com/office/drawing/2014/chart" uri="{C3380CC4-5D6E-409C-BE32-E72D297353CC}">
              <c16:uniqueId val="{00000001-C5B2-4477-BAFD-894E884CAAA9}"/>
            </c:ext>
          </c:extLst>
        </c:ser>
        <c:dLbls>
          <c:showLegendKey val="0"/>
          <c:showVal val="0"/>
          <c:showCatName val="0"/>
          <c:showSerName val="0"/>
          <c:showPercent val="0"/>
          <c:showBubbleSize val="0"/>
        </c:dLbls>
        <c:gapWidth val="60"/>
        <c:axId val="111111111"/>
        <c:axId val="222222222"/>
      </c:barChart>
      <c:dateAx>
        <c:axId val="111111111"/>
        <c:scaling>
          <c:orientation val="minMax"/>
        </c:scaling>
        <c:delete val="0"/>
        <c:axPos val="b"/>
        <c:numFmt formatCode="&quot;FY&quot;yy&quot;A&quot;" sourceLinked="0"/>
        <c:majorTickMark val="none"/>
        <c:minorTickMark val="none"/>
        <c:tickLblPos val="nextTo"/>
        <c:crossAx val="222222222"/>
        <c:crosses val="autoZero"/>
        <c:auto val="1"/>
        <c:lblOffset val="100"/>
        <c:baseTimeUnit val="years"/>
      </c:dateAx>
      <c:valAx>
        <c:axId val="222222222"/>
        <c:scaling>
          <c:orientation val="minMax"/>
        </c:scaling>
        <c:delete val="1"/>
        <c:axPos val="l"/>
        <c:numFmt formatCode="&quot;$&quot;#,##0.0_);\(&quot;$&quot;#,##0.0\);&quot;–&quot;_)" sourceLinked="1"/>
        <c:majorTickMark val="cross"/>
        <c:minorTickMark val="cross"/>
        <c:tickLblPos val="nextTo"/>
        <c:crossAx val="111111111"/>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Adj. EBITDA</c:v>
          </c:tx>
          <c:spPr>
            <a:solidFill>
              <a:srgbClr val="4472C4"/>
            </a:solidFill>
            <a:ln>
              <a:noFill/>
            </a:ln>
          </c:spPr>
          <c:invertIfNegative val="0"/>
          <c:dLbls>
            <c:numFmt formatCode="#,##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Model!$H$28:$M$28</c:f>
              <c:numCache>
                <c:formatCode>"FY"yy"E"</c:formatCode>
                <c:ptCount val="6"/>
                <c:pt idx="0">
                  <c:v>46387</c:v>
                </c:pt>
                <c:pt idx="1">
                  <c:v>46752</c:v>
                </c:pt>
                <c:pt idx="2">
                  <c:v>47118</c:v>
                </c:pt>
                <c:pt idx="3">
                  <c:v>47483</c:v>
                </c:pt>
                <c:pt idx="4">
                  <c:v>47848</c:v>
                </c:pt>
                <c:pt idx="5">
                  <c:v>48213</c:v>
                </c:pt>
              </c:numCache>
            </c:numRef>
          </c:cat>
          <c:val>
            <c:numRef>
              <c:f>Model!$H$53:$M$53</c:f>
              <c:numCache>
                <c:formatCode>"$"#,##0.0_);\("$"#,##0.0\);"–"_)</c:formatCode>
                <c:ptCount val="6"/>
                <c:pt idx="0">
                  <c:v>2709.0616500000006</c:v>
                </c:pt>
                <c:pt idx="1">
                  <c:v>2802.2700155449993</c:v>
                </c:pt>
                <c:pt idx="2">
                  <c:v>2912.7209092581602</c:v>
                </c:pt>
                <c:pt idx="3">
                  <c:v>3043.8179671816324</c:v>
                </c:pt>
                <c:pt idx="4">
                  <c:v>3175.9886965224232</c:v>
                </c:pt>
                <c:pt idx="5">
                  <c:v>3318.516920132357</c:v>
                </c:pt>
              </c:numCache>
            </c:numRef>
          </c:val>
          <c:extLst>
            <c:ext xmlns:c16="http://schemas.microsoft.com/office/drawing/2014/chart" uri="{C3380CC4-5D6E-409C-BE32-E72D297353CC}">
              <c16:uniqueId val="{00000000-21A7-4ACE-98B5-3BED46B4675F}"/>
            </c:ext>
          </c:extLst>
        </c:ser>
        <c:dLbls>
          <c:showLegendKey val="0"/>
          <c:showVal val="0"/>
          <c:showCatName val="0"/>
          <c:showSerName val="0"/>
          <c:showPercent val="0"/>
          <c:showBubbleSize val="0"/>
        </c:dLbls>
        <c:gapWidth val="60"/>
        <c:axId val="111111111"/>
        <c:axId val="222222222"/>
      </c:barChart>
      <c:dateAx>
        <c:axId val="111111111"/>
        <c:scaling>
          <c:orientation val="minMax"/>
        </c:scaling>
        <c:delete val="0"/>
        <c:axPos val="b"/>
        <c:numFmt formatCode="&quot;FY&quot;yy&quot;E&quot;" sourceLinked="0"/>
        <c:majorTickMark val="none"/>
        <c:minorTickMark val="none"/>
        <c:tickLblPos val="nextTo"/>
        <c:crossAx val="222222222"/>
        <c:crosses val="autoZero"/>
        <c:auto val="1"/>
        <c:lblOffset val="100"/>
        <c:baseTimeUnit val="years"/>
      </c:dateAx>
      <c:valAx>
        <c:axId val="222222222"/>
        <c:scaling>
          <c:orientation val="minMax"/>
        </c:scaling>
        <c:delete val="1"/>
        <c:axPos val="l"/>
        <c:numFmt formatCode="&quot;$&quot;#,##0.0_);\(&quot;$&quot;#,##0.0\);&quot;–&quot;_)" sourceLinked="1"/>
        <c:majorTickMark val="cross"/>
        <c:minorTickMark val="cross"/>
        <c:tickLblPos val="nextTo"/>
        <c:crossAx val="111111111"/>
        <c:crosses val="autoZero"/>
        <c:crossBetween val="between"/>
      </c:valAx>
    </c:plotArea>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Total debt</c:v>
          </c:tx>
          <c:spPr>
            <a:solidFill>
              <a:srgbClr val="4472C4"/>
            </a:solidFill>
            <a:ln>
              <a:noFill/>
            </a:ln>
          </c:spPr>
          <c:invertIfNegative val="0"/>
          <c:dLbls>
            <c:numFmt formatCode="#,##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Model!$H$28:$R$28</c:f>
              <c:numCache>
                <c:formatCode>"FY"yy"E"</c:formatCode>
                <c:ptCount val="11"/>
                <c:pt idx="0">
                  <c:v>46387</c:v>
                </c:pt>
                <c:pt idx="1">
                  <c:v>46752</c:v>
                </c:pt>
                <c:pt idx="2">
                  <c:v>47118</c:v>
                </c:pt>
                <c:pt idx="3">
                  <c:v>47483</c:v>
                </c:pt>
                <c:pt idx="4">
                  <c:v>47848</c:v>
                </c:pt>
                <c:pt idx="5">
                  <c:v>48213</c:v>
                </c:pt>
                <c:pt idx="6">
                  <c:v>48579</c:v>
                </c:pt>
                <c:pt idx="7">
                  <c:v>48944</c:v>
                </c:pt>
                <c:pt idx="8">
                  <c:v>49309</c:v>
                </c:pt>
                <c:pt idx="9">
                  <c:v>49674</c:v>
                </c:pt>
                <c:pt idx="10">
                  <c:v>50040</c:v>
                </c:pt>
              </c:numCache>
            </c:numRef>
          </c:cat>
          <c:val>
            <c:numRef>
              <c:f>Model!$H$120:$R$120</c:f>
              <c:numCache>
                <c:formatCode>#,##0.0_);\(#,##0.0\);"–"_)</c:formatCode>
                <c:ptCount val="11"/>
                <c:pt idx="0">
                  <c:v>11431.8285</c:v>
                </c:pt>
                <c:pt idx="1">
                  <c:v>10972.565722639927</c:v>
                </c:pt>
                <c:pt idx="2">
                  <c:v>10390.11298543237</c:v>
                </c:pt>
                <c:pt idx="3">
                  <c:v>9686.443938056875</c:v>
                </c:pt>
                <c:pt idx="4">
                  <c:v>8845.014512275775</c:v>
                </c:pt>
                <c:pt idx="5">
                  <c:v>7858.5839125918565</c:v>
                </c:pt>
                <c:pt idx="6">
                  <c:v>6776.9554214293585</c:v>
                </c:pt>
                <c:pt idx="7">
                  <c:v>5591.474621947</c:v>
                </c:pt>
                <c:pt idx="8">
                  <c:v>4304.264387684263</c:v>
                </c:pt>
                <c:pt idx="9">
                  <c:v>2898.089567259888</c:v>
                </c:pt>
                <c:pt idx="10">
                  <c:v>1356.8603582965634</c:v>
                </c:pt>
              </c:numCache>
            </c:numRef>
          </c:val>
          <c:extLst>
            <c:ext xmlns:c16="http://schemas.microsoft.com/office/drawing/2014/chart" uri="{C3380CC4-5D6E-409C-BE32-E72D297353CC}">
              <c16:uniqueId val="{00000000-8D53-49CD-877E-F8C71531E007}"/>
            </c:ext>
          </c:extLst>
        </c:ser>
        <c:dLbls>
          <c:showLegendKey val="0"/>
          <c:showVal val="0"/>
          <c:showCatName val="0"/>
          <c:showSerName val="0"/>
          <c:showPercent val="0"/>
          <c:showBubbleSize val="0"/>
        </c:dLbls>
        <c:gapWidth val="60"/>
        <c:axId val="111111111"/>
        <c:axId val="222222222"/>
      </c:barChart>
      <c:dateAx>
        <c:axId val="111111111"/>
        <c:scaling>
          <c:orientation val="minMax"/>
        </c:scaling>
        <c:delete val="0"/>
        <c:axPos val="b"/>
        <c:numFmt formatCode="&quot;FY&quot;yy&quot;E&quot;" sourceLinked="0"/>
        <c:majorTickMark val="none"/>
        <c:minorTickMark val="none"/>
        <c:tickLblPos val="nextTo"/>
        <c:crossAx val="222222222"/>
        <c:crosses val="autoZero"/>
        <c:auto val="1"/>
        <c:lblOffset val="100"/>
        <c:baseTimeUnit val="years"/>
      </c:dateAx>
      <c:valAx>
        <c:axId val="222222222"/>
        <c:scaling>
          <c:orientation val="minMax"/>
        </c:scaling>
        <c:delete val="1"/>
        <c:axPos val="l"/>
        <c:numFmt formatCode="#,##0.0_);\(#,##0.0\);&quot;–&quot;_)" sourceLinked="1"/>
        <c:majorTickMark val="cross"/>
        <c:minorTickMark val="cross"/>
        <c:tickLblPos val="nextTo"/>
        <c:crossAx val="111111111"/>
        <c:crosses val="autoZero"/>
        <c:crossBetween val="between"/>
      </c:valAx>
    </c:plotArea>
    <c:plotVisOnly val="1"/>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IRR</c:v>
          </c:tx>
          <c:spPr>
            <a:ln>
              <a:solidFill>
                <a:srgbClr val="4472C4"/>
              </a:solidFill>
            </a:ln>
          </c:spPr>
          <c:marker>
            <c:symbol val="circle"/>
            <c:size val="5"/>
            <c:spPr>
              <a:solidFill>
                <a:schemeClr val="accent1"/>
              </a:solidFill>
              <a:ln>
                <a:solidFill>
                  <a:schemeClr val="accent1"/>
                </a:solidFill>
              </a:ln>
            </c:spPr>
          </c:marker>
          <c:dLbls>
            <c:numFmt formatCode="0.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Model!$I$28:$R$28</c:f>
              <c:numCache>
                <c:formatCode>"FY"yy"E"</c:formatCode>
                <c:ptCount val="10"/>
                <c:pt idx="0">
                  <c:v>46752</c:v>
                </c:pt>
                <c:pt idx="1">
                  <c:v>47118</c:v>
                </c:pt>
                <c:pt idx="2">
                  <c:v>47483</c:v>
                </c:pt>
                <c:pt idx="3">
                  <c:v>47848</c:v>
                </c:pt>
                <c:pt idx="4">
                  <c:v>48213</c:v>
                </c:pt>
                <c:pt idx="5">
                  <c:v>48579</c:v>
                </c:pt>
                <c:pt idx="6">
                  <c:v>48944</c:v>
                </c:pt>
                <c:pt idx="7">
                  <c:v>49309</c:v>
                </c:pt>
                <c:pt idx="8">
                  <c:v>49674</c:v>
                </c:pt>
                <c:pt idx="9">
                  <c:v>50040</c:v>
                </c:pt>
              </c:numCache>
            </c:numRef>
          </c:cat>
          <c:val>
            <c:numRef>
              <c:f>Model!$I$140:$R$140</c:f>
              <c:numCache>
                <c:formatCode>0.0%_);\(0.0%\);"–"_)</c:formatCode>
                <c:ptCount val="10"/>
                <c:pt idx="0">
                  <c:v>0.30269011229823395</c:v>
                </c:pt>
                <c:pt idx="1">
                  <c:v>0.2510937764266119</c:v>
                </c:pt>
                <c:pt idx="2">
                  <c:v>0.23408294826494513</c:v>
                </c:pt>
                <c:pt idx="3">
                  <c:v>0.22120358502909432</c:v>
                </c:pt>
                <c:pt idx="4">
                  <c:v>0.211735490955125</c:v>
                </c:pt>
                <c:pt idx="5">
                  <c:v>0.1972675012892826</c:v>
                </c:pt>
                <c:pt idx="6">
                  <c:v>0.18612133332410363</c:v>
                </c:pt>
                <c:pt idx="7">
                  <c:v>0.17706242392282578</c:v>
                </c:pt>
                <c:pt idx="8">
                  <c:v>0.1695490959690218</c:v>
                </c:pt>
                <c:pt idx="9">
                  <c:v>0.16320891709384555</c:v>
                </c:pt>
              </c:numCache>
            </c:numRef>
          </c:val>
          <c:smooth val="1"/>
          <c:extLst>
            <c:ext xmlns:c16="http://schemas.microsoft.com/office/drawing/2014/chart" uri="{C3380CC4-5D6E-409C-BE32-E72D297353CC}">
              <c16:uniqueId val="{00000000-AAB4-4CA9-AA07-CFA41393CB45}"/>
            </c:ext>
          </c:extLst>
        </c:ser>
        <c:dLbls>
          <c:showLegendKey val="0"/>
          <c:showVal val="0"/>
          <c:showCatName val="0"/>
          <c:showSerName val="0"/>
          <c:showPercent val="0"/>
          <c:showBubbleSize val="0"/>
        </c:dLbls>
        <c:marker val="1"/>
        <c:smooth val="0"/>
        <c:axId val="111111111"/>
        <c:axId val="222222222"/>
      </c:lineChart>
      <c:dateAx>
        <c:axId val="111111111"/>
        <c:scaling>
          <c:orientation val="minMax"/>
        </c:scaling>
        <c:delete val="0"/>
        <c:axPos val="b"/>
        <c:numFmt formatCode="&quot;FY&quot;yy&quot;E&quot;" sourceLinked="0"/>
        <c:majorTickMark val="none"/>
        <c:minorTickMark val="none"/>
        <c:tickLblPos val="nextTo"/>
        <c:crossAx val="222222222"/>
        <c:crosses val="autoZero"/>
        <c:auto val="1"/>
        <c:lblOffset val="100"/>
        <c:baseTimeUnit val="years"/>
      </c:dateAx>
      <c:valAx>
        <c:axId val="222222222"/>
        <c:scaling>
          <c:orientation val="minMax"/>
        </c:scaling>
        <c:delete val="1"/>
        <c:axPos val="l"/>
        <c:numFmt formatCode="0.0%_);\(0.0%\);&quot;–&quot;_)" sourceLinked="1"/>
        <c:majorTickMark val="cross"/>
        <c:minorTickMark val="cross"/>
        <c:tickLblPos val="nextTo"/>
        <c:crossAx val="111111111"/>
        <c:crosses val="autoZero"/>
        <c:crossBetween val="between"/>
      </c:valAx>
    </c:plotArea>
    <c:plotVisOnly val="1"/>
    <c:dispBlanksAs val="gap"/>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MOIC</c:v>
          </c:tx>
          <c:spPr>
            <a:solidFill>
              <a:srgbClr val="4472C4"/>
            </a:solidFill>
            <a:ln>
              <a:noFill/>
            </a:ln>
          </c:spPr>
          <c:invertIfNegative val="0"/>
          <c:dLbls>
            <c:numFmt formatCode="0.0&quot;x&quot;"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Model!$I$28:$R$28</c:f>
              <c:numCache>
                <c:formatCode>"FY"yy"E"</c:formatCode>
                <c:ptCount val="10"/>
                <c:pt idx="0">
                  <c:v>46752</c:v>
                </c:pt>
                <c:pt idx="1">
                  <c:v>47118</c:v>
                </c:pt>
                <c:pt idx="2">
                  <c:v>47483</c:v>
                </c:pt>
                <c:pt idx="3">
                  <c:v>47848</c:v>
                </c:pt>
                <c:pt idx="4">
                  <c:v>48213</c:v>
                </c:pt>
                <c:pt idx="5">
                  <c:v>48579</c:v>
                </c:pt>
                <c:pt idx="6">
                  <c:v>48944</c:v>
                </c:pt>
                <c:pt idx="7">
                  <c:v>49309</c:v>
                </c:pt>
                <c:pt idx="8">
                  <c:v>49674</c:v>
                </c:pt>
                <c:pt idx="9">
                  <c:v>50040</c:v>
                </c:pt>
              </c:numCache>
            </c:numRef>
          </c:cat>
          <c:val>
            <c:numRef>
              <c:f>Model!$I$141:$R$141</c:f>
              <c:numCache>
                <c:formatCode>0.0\x_);\(0.0\x\);"–"_)</c:formatCode>
                <c:ptCount val="10"/>
                <c:pt idx="0">
                  <c:v>1.302690112298234</c:v>
                </c:pt>
                <c:pt idx="1">
                  <c:v>1.5652356374134013</c:v>
                </c:pt>
                <c:pt idx="2">
                  <c:v>1.87945985937627</c:v>
                </c:pt>
                <c:pt idx="3">
                  <c:v>2.224089615110748</c:v>
                </c:pt>
                <c:pt idx="4">
                  <c:v>2.6123967897992326</c:v>
                </c:pt>
                <c:pt idx="5">
                  <c:v>2.9454195484936836</c:v>
                </c:pt>
                <c:pt idx="6">
                  <c:v>3.302963844222347</c:v>
                </c:pt>
                <c:pt idx="7">
                  <c:v>3.6846476611129595</c:v>
                </c:pt>
                <c:pt idx="8">
                  <c:v>4.094172324067308</c:v>
                </c:pt>
                <c:pt idx="9">
                  <c:v>4.534999338493141</c:v>
                </c:pt>
              </c:numCache>
            </c:numRef>
          </c:val>
          <c:extLst>
            <c:ext xmlns:c16="http://schemas.microsoft.com/office/drawing/2014/chart" uri="{C3380CC4-5D6E-409C-BE32-E72D297353CC}">
              <c16:uniqueId val="{00000000-6379-4BB3-ACCC-69B2C4DD8095}"/>
            </c:ext>
          </c:extLst>
        </c:ser>
        <c:dLbls>
          <c:showLegendKey val="0"/>
          <c:showVal val="0"/>
          <c:showCatName val="0"/>
          <c:showSerName val="0"/>
          <c:showPercent val="0"/>
          <c:showBubbleSize val="0"/>
        </c:dLbls>
        <c:gapWidth val="60"/>
        <c:axId val="111111111"/>
        <c:axId val="222222222"/>
      </c:barChart>
      <c:dateAx>
        <c:axId val="111111111"/>
        <c:scaling>
          <c:orientation val="minMax"/>
        </c:scaling>
        <c:delete val="0"/>
        <c:axPos val="b"/>
        <c:numFmt formatCode="&quot;FY&quot;yy&quot;E&quot;" sourceLinked="0"/>
        <c:majorTickMark val="none"/>
        <c:minorTickMark val="none"/>
        <c:tickLblPos val="nextTo"/>
        <c:crossAx val="222222222"/>
        <c:crosses val="autoZero"/>
        <c:auto val="1"/>
        <c:lblOffset val="100"/>
        <c:baseTimeUnit val="years"/>
      </c:dateAx>
      <c:valAx>
        <c:axId val="222222222"/>
        <c:scaling>
          <c:orientation val="minMax"/>
        </c:scaling>
        <c:delete val="1"/>
        <c:axPos val="l"/>
        <c:numFmt formatCode="0.0\x_);\(0.0\x\);&quot;–&quot;_)" sourceLinked="1"/>
        <c:majorTickMark val="cross"/>
        <c:minorTickMark val="cross"/>
        <c:tickLblPos val="nextTo"/>
        <c:crossAx val="111111111"/>
        <c:crosses val="autoZero"/>
        <c:crossBetween val="between"/>
      </c:valAx>
    </c:plotArea>
    <c:plotVisOnly val="1"/>
    <c:dispBlanksAs val="gap"/>
    <c:showDLblsOverMax val="1"/>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EV / LTM EBITDA</c:v>
          </c:tx>
          <c:spPr>
            <a:solidFill>
              <a:srgbClr val="7F7F7F"/>
            </a:solidFill>
            <a:ln>
              <a:noFill/>
            </a:ln>
          </c:spPr>
          <c:invertIfNegative val="0"/>
          <c:dPt>
            <c:idx val="6"/>
            <c:invertIfNegative val="0"/>
            <c:bubble3D val="0"/>
            <c:spPr>
              <a:solidFill>
                <a:srgbClr val="4472C4"/>
              </a:solidFill>
            </c:spPr>
            <c:extLst>
              <c:ext xmlns:c16="http://schemas.microsoft.com/office/drawing/2014/chart" uri="{C3380CC4-5D6E-409C-BE32-E72D297353CC}">
                <c16:uniqueId val="{00000005-AEDA-4BB4-AFF2-E36C23BC1551}"/>
              </c:ext>
            </c:extLst>
          </c:dPt>
          <c:dPt>
            <c:idx val="9"/>
            <c:invertIfNegative val="0"/>
            <c:bubble3D val="0"/>
            <c:spPr>
              <a:solidFill>
                <a:srgbClr val="ED7D31"/>
              </a:solidFill>
            </c:spPr>
            <c:extLst>
              <c:ext xmlns:c16="http://schemas.microsoft.com/office/drawing/2014/chart" uri="{C3380CC4-5D6E-409C-BE32-E72D297353CC}">
                <c16:uniqueId val="{00000001-AEDA-4BB4-AFF2-E36C23BC1551}"/>
              </c:ext>
            </c:extLst>
          </c:dPt>
          <c:dPt>
            <c:idx val="10"/>
            <c:invertIfNegative val="0"/>
            <c:bubble3D val="0"/>
            <c:spPr>
              <a:solidFill>
                <a:srgbClr val="F4B183"/>
              </a:solidFill>
            </c:spPr>
            <c:extLst>
              <c:ext xmlns:c16="http://schemas.microsoft.com/office/drawing/2014/chart" uri="{C3380CC4-5D6E-409C-BE32-E72D297353CC}">
                <c16:uniqueId val="{00000003-AEDA-4BB4-AFF2-E36C23BC1551}"/>
              </c:ext>
            </c:extLst>
          </c:dPt>
          <c:dLbls>
            <c:numFmt formatCode="0.0&quot;x&quot;"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'Peer Benchmark'!$P$5:$P$15</c:f>
              <c:strCache>
                <c:ptCount val="11"/>
                <c:pt idx="0">
                  <c:v>Johnson Controls</c:v>
                </c:pt>
                <c:pt idx="1">
                  <c:v>Napco Security</c:v>
                </c:pt>
                <c:pt idx="2">
                  <c:v>Rollins</c:v>
                </c:pt>
                <c:pt idx="3">
                  <c:v>Alarm.com</c:v>
                </c:pt>
                <c:pt idx="4">
                  <c:v>Allegion</c:v>
                </c:pt>
                <c:pt idx="5">
                  <c:v>Frontdoor</c:v>
                </c:pt>
                <c:pt idx="6">
                  <c:v>Verisure</c:v>
                </c:pt>
                <c:pt idx="7">
                  <c:v>Resideo</c:v>
                </c:pt>
                <c:pt idx="8">
                  <c:v>Brink's</c:v>
                </c:pt>
                <c:pt idx="9">
                  <c:v>ADT @ offer</c:v>
                </c:pt>
                <c:pt idx="10">
                  <c:v>ADT @ unaffected</c:v>
                </c:pt>
              </c:strCache>
            </c:strRef>
          </c:cat>
          <c:val>
            <c:numRef>
              <c:f>'Peer Benchmark'!$Q$5:$Q$15</c:f>
              <c:numCache>
                <c:formatCode>0.0"x"</c:formatCode>
                <c:ptCount val="11"/>
                <c:pt idx="0">
                  <c:v>27.637518965975541</c:v>
                </c:pt>
                <c:pt idx="1">
                  <c:v>26.995587509927681</c:v>
                </c:pt>
                <c:pt idx="2">
                  <c:v>19.300870319895715</c:v>
                </c:pt>
                <c:pt idx="3">
                  <c:v>18.76968775856302</c:v>
                </c:pt>
                <c:pt idx="4">
                  <c:v>15.538235923402686</c:v>
                </c:pt>
                <c:pt idx="5">
                  <c:v>12.617112749003985</c:v>
                </c:pt>
                <c:pt idx="6">
                  <c:v>10.057585400701392</c:v>
                </c:pt>
                <c:pt idx="7">
                  <c:v>7.9660503026134792</c:v>
                </c:pt>
                <c:pt idx="8">
                  <c:v>7.497403753770528</c:v>
                </c:pt>
                <c:pt idx="9">
                  <c:v>5.7362837668532212</c:v>
                </c:pt>
                <c:pt idx="10">
                  <c:v>4.8519195551262868</c:v>
                </c:pt>
              </c:numCache>
            </c:numRef>
          </c:val>
          <c:extLst>
            <c:ext xmlns:c16="http://schemas.microsoft.com/office/drawing/2014/chart" uri="{C3380CC4-5D6E-409C-BE32-E72D297353CC}">
              <c16:uniqueId val="{00000006-AEDA-4BB4-AFF2-E36C23BC1551}"/>
            </c:ext>
          </c:extLst>
        </c:ser>
        <c:dLbls>
          <c:showLegendKey val="0"/>
          <c:showVal val="0"/>
          <c:showCatName val="0"/>
          <c:showSerName val="0"/>
          <c:showPercent val="0"/>
          <c:showBubbleSize val="0"/>
        </c:dLbls>
        <c:gapWidth val="60"/>
        <c:axId val="111111111"/>
        <c:axId val="222222222"/>
      </c:barChart>
      <c:catAx>
        <c:axId val="111111111"/>
        <c:scaling>
          <c:orientation val="maxMin"/>
        </c:scaling>
        <c:delete val="0"/>
        <c:axPos val="l"/>
        <c:numFmt formatCode="General" sourceLinked="0"/>
        <c:majorTickMark val="none"/>
        <c:minorTickMark val="none"/>
        <c:tickLblPos val="nextTo"/>
        <c:crossAx val="222222222"/>
        <c:crosses val="autoZero"/>
        <c:auto val="1"/>
        <c:lblAlgn val="ctr"/>
        <c:lblOffset val="100"/>
        <c:noMultiLvlLbl val="1"/>
      </c:catAx>
      <c:valAx>
        <c:axId val="222222222"/>
        <c:scaling>
          <c:orientation val="minMax"/>
        </c:scaling>
        <c:delete val="1"/>
        <c:axPos val="t"/>
        <c:numFmt formatCode="0.0&quot;x&quot;" sourceLinked="1"/>
        <c:majorTickMark val="cross"/>
        <c:minorTickMark val="cross"/>
        <c:tickLblPos val="nextTo"/>
        <c:crossAx val="111111111"/>
        <c:crosses val="autoZero"/>
        <c:crossBetween val="between"/>
      </c:valAx>
    </c:plotArea>
    <c:plotVisOnly val="1"/>
    <c:dispBlanksAs val="gap"/>
    <c:showDLblsOverMax val="1"/>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chart>
    <c:title>
      <c:tx>
        <c:rich>
          <a:bodyPr/>
          <a:lstStyle/>
          <a:p>
            <a:pPr>
              <a:defRPr sz="1000" b="1" i="0">
                <a:solidFill>
                  <a:schemeClr val="tx1">
                    <a:lumMod val="65000"/>
                    <a:lumOff val="35000"/>
                  </a:schemeClr>
                </a:solidFill>
              </a:defRPr>
            </a:pPr>
            <a:r>
              <a:rPr lang="en-US"/>
              <a:t>Value-creation bridge: equity invested to equity at exit ($m, Base)</a:t>
            </a:r>
          </a:p>
        </c:rich>
      </c:tx>
      <c:overlay val="0"/>
    </c:title>
    <c:plotArea>
      <c:barChart>
        <c:barDir val="col"/>
        <c:grouping val="stacked"/>
        <c:varyColors val="0"/>
        <c:ser>
          <c:idx val="0"/>
          <c:order val="0"/>
          <c:tx>
            <c:strRef>
              <c:f>Sensitivity!$C$871</c:f>
              <c:strCache>
                <c:ptCount val="1"/>
                <c:pt idx="0">
                  <c:v>Base (hidden)</c:v>
                </c:pt>
              </c:strCache>
            </c:strRef>
          </c:tx>
          <c:spPr>
            <a:noFill/>
            <a:ln>
              <a:noFill/>
            </a:ln>
          </c:spPr>
          <c:invertIfNegative val="0"/>
          <c:cat>
            <c:strRef>
              <c:f>Sensitivity!$B$872:$B$878</c:f>
              <c:strCache>
                <c:ptCount val="7"/>
                <c:pt idx="0">
                  <c:v>Equity invested</c:v>
                </c:pt>
                <c:pt idx="1">
                  <c:v>EBITDA growth</c:v>
                </c:pt>
                <c:pt idx="2">
                  <c:v>Multiple expansion</c:v>
                </c:pt>
                <c:pt idx="3">
                  <c:v>Net debt paydown</c:v>
                </c:pt>
                <c:pt idx="4">
                  <c:v>Fees at entry</c:v>
                </c:pt>
                <c:pt idx="5">
                  <c:v>MIP at exit</c:v>
                </c:pt>
                <c:pt idx="6">
                  <c:v>Equity at exit</c:v>
                </c:pt>
              </c:strCache>
            </c:strRef>
          </c:cat>
          <c:val>
            <c:numRef>
              <c:f>Sensitivity!$C$872:$C$878</c:f>
              <c:numCache>
                <c:formatCode>#,##0.0</c:formatCode>
                <c:ptCount val="7"/>
                <c:pt idx="1">
                  <c:v>4505.505070000001</c:v>
                </c:pt>
                <c:pt idx="2">
                  <c:v>8111.762808982988</c:v>
                </c:pt>
                <c:pt idx="3">
                  <c:v>8986.909590794143</c:v>
                </c:pt>
                <c:pt idx="4">
                  <c:v>12152.517608202286</c:v>
                </c:pt>
                <c:pt idx="5">
                  <c:v>11770.166981292172</c:v>
                </c:pt>
              </c:numCache>
            </c:numRef>
          </c:val>
        </c:ser>
        <c:ser>
          <c:idx val="1"/>
          <c:order val="1"/>
          <c:tx>
            <c:strRef>
              <c:f>Sensitivity!$D$871</c:f>
              <c:strCache>
                <c:ptCount val="1"/>
                <c:pt idx="0">
                  <c:v>Increase</c:v>
                </c:pt>
              </c:strCache>
            </c:strRef>
          </c:tx>
          <c:spPr>
            <a:solidFill>
              <a:srgbClr val="6A9955"/>
            </a:solidFill>
            <a:ln>
              <a:noFill/>
            </a:ln>
          </c:spPr>
          <c:invertIfNegative val="0"/>
          <c:dPt>
            <c:idx val="0"/>
            <c:invertIfNegative val="0"/>
            <c:bubble3D val="0"/>
            <c:spPr>
              <a:noFill/>
              <a:ln>
                <a:noFill/>
              </a:ln>
            </c:spPr>
          </c:dPt>
          <c:dPt>
            <c:idx val="4"/>
            <c:invertIfNegative val="0"/>
            <c:bubble3D val="0"/>
            <c:spPr>
              <a:noFill/>
              <a:ln>
                <a:noFill/>
              </a:ln>
            </c:spPr>
          </c:dPt>
          <c:dPt>
            <c:idx val="5"/>
            <c:invertIfNegative val="0"/>
            <c:bubble3D val="0"/>
            <c:spPr>
              <a:noFill/>
              <a:ln>
                <a:noFill/>
              </a:ln>
            </c:spPr>
          </c:dPt>
          <c:dPt>
            <c:idx val="6"/>
            <c:invertIfNegative val="0"/>
            <c:bubble3D val="0"/>
            <c:spPr>
              <a:noFill/>
              <a:ln>
                <a:noFill/>
              </a:ln>
            </c:spPr>
          </c:dPt>
          <c:cat>
            <c:strRef>
              <c:f>Sensitivity!$B$872:$B$878</c:f>
              <c:strCache>
                <c:ptCount val="7"/>
                <c:pt idx="0">
                  <c:v>Equity invested</c:v>
                </c:pt>
                <c:pt idx="1">
                  <c:v>EBITDA growth</c:v>
                </c:pt>
                <c:pt idx="2">
                  <c:v>Multiple expansion</c:v>
                </c:pt>
                <c:pt idx="3">
                  <c:v>Net debt paydown</c:v>
                </c:pt>
                <c:pt idx="4">
                  <c:v>Fees at entry</c:v>
                </c:pt>
                <c:pt idx="5">
                  <c:v>MIP at exit</c:v>
                </c:pt>
                <c:pt idx="6">
                  <c:v>Equity at exit</c:v>
                </c:pt>
              </c:strCache>
            </c:strRef>
          </c:cat>
          <c:val>
            <c:numRef>
              <c:f>Sensitivity!$D$872:$D$878</c:f>
              <c:numCache>
                <c:formatCode>#,##0.0</c:formatCode>
                <c:ptCount val="7"/>
                <c:pt idx="1">
                  <c:v>3606.2577389829867</c:v>
                </c:pt>
                <c:pt idx="2">
                  <c:v>875.146781811155</c:v>
                </c:pt>
                <c:pt idx="3">
                  <c:v>3573.244587408143</c:v>
                </c:pt>
                <c:pt idx="4">
                  <c:v>0</c:v>
                </c:pt>
                <c:pt idx="5">
                  <c:v>0</c:v>
                </c:pt>
              </c:numCache>
            </c:numRef>
          </c:val>
        </c:ser>
        <c:ser>
          <c:idx val="2"/>
          <c:order val="2"/>
          <c:tx>
            <c:strRef>
              <c:f>Sensitivity!$E$871</c:f>
              <c:strCache>
                <c:ptCount val="1"/>
                <c:pt idx="0">
                  <c:v>Decrease</c:v>
                </c:pt>
              </c:strCache>
            </c:strRef>
          </c:tx>
          <c:spPr>
            <a:solidFill>
              <a:srgbClr val="C0504D"/>
            </a:solidFill>
            <a:ln>
              <a:noFill/>
            </a:ln>
          </c:spPr>
          <c:invertIfNegative val="0"/>
          <c:dPt>
            <c:idx val="0"/>
            <c:invertIfNegative val="0"/>
            <c:bubble3D val="0"/>
            <c:spPr>
              <a:noFill/>
              <a:ln>
                <a:noFill/>
              </a:ln>
            </c:spPr>
          </c:dPt>
          <c:dPt>
            <c:idx val="1"/>
            <c:invertIfNegative val="0"/>
            <c:bubble3D val="0"/>
            <c:spPr>
              <a:noFill/>
              <a:ln>
                <a:noFill/>
              </a:ln>
            </c:spPr>
          </c:dPt>
          <c:dPt>
            <c:idx val="2"/>
            <c:invertIfNegative val="0"/>
            <c:bubble3D val="0"/>
            <c:spPr>
              <a:noFill/>
              <a:ln>
                <a:noFill/>
              </a:ln>
            </c:spPr>
          </c:dPt>
          <c:dPt>
            <c:idx val="3"/>
            <c:invertIfNegative val="0"/>
            <c:bubble3D val="0"/>
            <c:spPr>
              <a:noFill/>
              <a:ln>
                <a:noFill/>
              </a:ln>
            </c:spPr>
          </c:dPt>
          <c:dPt>
            <c:idx val="6"/>
            <c:invertIfNegative val="0"/>
            <c:bubble3D val="0"/>
            <c:spPr>
              <a:noFill/>
              <a:ln>
                <a:noFill/>
              </a:ln>
            </c:spPr>
          </c:dPt>
          <c:cat>
            <c:strRef>
              <c:f>Sensitivity!$B$872:$B$878</c:f>
              <c:strCache>
                <c:ptCount val="7"/>
                <c:pt idx="0">
                  <c:v>Equity invested</c:v>
                </c:pt>
                <c:pt idx="1">
                  <c:v>EBITDA growth</c:v>
                </c:pt>
                <c:pt idx="2">
                  <c:v>Multiple expansion</c:v>
                </c:pt>
                <c:pt idx="3">
                  <c:v>Net debt paydown</c:v>
                </c:pt>
                <c:pt idx="4">
                  <c:v>Fees at entry</c:v>
                </c:pt>
                <c:pt idx="5">
                  <c:v>MIP at exit</c:v>
                </c:pt>
                <c:pt idx="6">
                  <c:v>Equity at exit</c:v>
                </c:pt>
              </c:strCache>
            </c:strRef>
          </c:cat>
          <c:val>
            <c:numRef>
              <c:f>Sensitivity!$E$872:$E$878</c:f>
              <c:numCache>
                <c:formatCode>#,##0.0</c:formatCode>
                <c:ptCount val="7"/>
                <c:pt idx="1">
                  <c:v>0</c:v>
                </c:pt>
                <c:pt idx="2">
                  <c:v>0</c:v>
                </c:pt>
                <c:pt idx="3">
                  <c:v>0</c:v>
                </c:pt>
                <c:pt idx="4">
                  <c:v>407.63657</c:v>
                </c:pt>
                <c:pt idx="5">
                  <c:v>382.3506269101142</c:v>
                </c:pt>
              </c:numCache>
            </c:numRef>
          </c:val>
        </c:ser>
        <c:ser>
          <c:idx val="3"/>
          <c:order val="3"/>
          <c:tx>
            <c:strRef>
              <c:f>Sensitivity!$F$871</c:f>
              <c:strCache>
                <c:ptCount val="1"/>
                <c:pt idx="0">
                  <c:v>Total</c:v>
                </c:pt>
              </c:strCache>
            </c:strRef>
          </c:tx>
          <c:spPr>
            <a:solidFill>
              <a:srgbClr val="203864"/>
            </a:solidFill>
            <a:ln>
              <a:noFill/>
            </a:ln>
          </c:spPr>
          <c:invertIfNegative val="0"/>
          <c:dPt>
            <c:idx val="1"/>
            <c:invertIfNegative val="0"/>
            <c:bubble3D val="0"/>
            <c:spPr>
              <a:noFill/>
              <a:ln>
                <a:noFill/>
              </a:ln>
            </c:spPr>
          </c:dPt>
          <c:dPt>
            <c:idx val="2"/>
            <c:invertIfNegative val="0"/>
            <c:bubble3D val="0"/>
            <c:spPr>
              <a:noFill/>
              <a:ln>
                <a:noFill/>
              </a:ln>
            </c:spPr>
          </c:dPt>
          <c:dPt>
            <c:idx val="3"/>
            <c:invertIfNegative val="0"/>
            <c:bubble3D val="0"/>
            <c:spPr>
              <a:noFill/>
              <a:ln>
                <a:noFill/>
              </a:ln>
            </c:spPr>
          </c:dPt>
          <c:dPt>
            <c:idx val="4"/>
            <c:invertIfNegative val="0"/>
            <c:bubble3D val="0"/>
            <c:spPr>
              <a:noFill/>
              <a:ln>
                <a:noFill/>
              </a:ln>
            </c:spPr>
          </c:dPt>
          <c:dPt>
            <c:idx val="5"/>
            <c:invertIfNegative val="0"/>
            <c:bubble3D val="0"/>
            <c:spPr>
              <a:noFill/>
              <a:ln>
                <a:noFill/>
              </a:ln>
            </c:spPr>
          </c:dPt>
          <c:cat>
            <c:strRef>
              <c:f>Sensitivity!$B$872:$B$878</c:f>
              <c:strCache>
                <c:ptCount val="7"/>
                <c:pt idx="0">
                  <c:v>Equity invested</c:v>
                </c:pt>
                <c:pt idx="1">
                  <c:v>EBITDA growth</c:v>
                </c:pt>
                <c:pt idx="2">
                  <c:v>Multiple expansion</c:v>
                </c:pt>
                <c:pt idx="3">
                  <c:v>Net debt paydown</c:v>
                </c:pt>
                <c:pt idx="4">
                  <c:v>Fees at entry</c:v>
                </c:pt>
                <c:pt idx="5">
                  <c:v>MIP at exit</c:v>
                </c:pt>
                <c:pt idx="6">
                  <c:v>Equity at exit</c:v>
                </c:pt>
              </c:strCache>
            </c:strRef>
          </c:cat>
          <c:val>
            <c:numRef>
              <c:f>Sensitivity!$F$872:$F$878</c:f>
              <c:numCache>
                <c:formatCode>#,##0.0</c:formatCode>
                <c:ptCount val="7"/>
                <c:pt idx="0">
                  <c:v>4505.505070000001</c:v>
                </c:pt>
                <c:pt idx="6">
                  <c:v>11770.166981292172</c:v>
                </c:pt>
              </c:numCache>
            </c:numRef>
          </c:val>
        </c:ser>
        <c:ser>
          <c:idx val="4"/>
          <c:order val="4"/>
          <c:tx>
            <c:v>Label</c:v>
          </c:tx>
          <c:spPr>
            <a:noFill/>
            <a:ln>
              <a:noFill/>
            </a:ln>
          </c:spPr>
          <c:invertIfNegative val="0"/>
          <c:dLbls>
            <c:dLbl>
              <c:idx val="0"/>
              <c:txPr>
                <a:bodyPr/>
                <a:lstStyle/>
                <a:p>
                  <a:pPr>
                    <a:defRPr sz="1000" b="1">
                      <a:solidFill>
                        <a:srgbClr val="000000"/>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
            <c:dLbl>
              <c:idx val="1"/>
              <c:txPr>
                <a:bodyPr/>
                <a:lstStyle/>
                <a:p>
                  <a:pPr>
                    <a:defRPr sz="1000" b="1">
                      <a:solidFill>
                        <a:srgbClr val="548235"/>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
            <c:dLbl>
              <c:idx val="2"/>
              <c:txPr>
                <a:bodyPr/>
                <a:lstStyle/>
                <a:p>
                  <a:pPr>
                    <a:defRPr sz="1000" b="1">
                      <a:solidFill>
                        <a:srgbClr val="548235"/>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
            <c:dLbl>
              <c:idx val="3"/>
              <c:txPr>
                <a:bodyPr/>
                <a:lstStyle/>
                <a:p>
                  <a:pPr>
                    <a:defRPr sz="1000" b="1">
                      <a:solidFill>
                        <a:srgbClr val="548235"/>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
            <c:dLbl>
              <c:idx val="4"/>
              <c:txPr>
                <a:bodyPr/>
                <a:lstStyle/>
                <a:p>
                  <a:pPr>
                    <a:defRPr sz="1000" b="1">
                      <a:solidFill>
                        <a:srgbClr val="C00000"/>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
            <c:dLbl>
              <c:idx val="5"/>
              <c:txPr>
                <a:bodyPr/>
                <a:lstStyle/>
                <a:p>
                  <a:pPr>
                    <a:defRPr sz="1000" b="1">
                      <a:solidFill>
                        <a:srgbClr val="C00000"/>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
            <c:dLbl>
              <c:idx val="6"/>
              <c:txPr>
                <a:bodyPr/>
                <a:lstStyle/>
                <a:p>
                  <a:pPr>
                    <a:defRPr sz="1000" b="1">
                      <a:solidFill>
                        <a:srgbClr val="000000"/>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
            <c:txPr>
              <a:bodyPr/>
              <a:lstStyle/>
              <a:p>
                <a:pPr>
                  <a:defRPr sz="1000" b="1" i="0">
                    <a:solidFill>
                      <a:schemeClr val="tx1">
                        <a:lumMod val="75000"/>
                        <a:lumOff val="25000"/>
                      </a:schemeClr>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s>
          <c:val>
            <c:numRef>
              <c:f>Sensitivity!$G$872:$G$878</c:f>
              <c:numCache>
                <c:formatCode>#,##0.0</c:formatCode>
                <c:ptCount val="7"/>
                <c:pt idx="0">
                  <c:v>700</c:v>
                </c:pt>
                <c:pt idx="1">
                  <c:v>700</c:v>
                </c:pt>
                <c:pt idx="2">
                  <c:v>700</c:v>
                </c:pt>
                <c:pt idx="3">
                  <c:v>700</c:v>
                </c:pt>
                <c:pt idx="4">
                  <c:v>700</c:v>
                </c:pt>
                <c:pt idx="5">
                  <c:v>700</c:v>
                </c:pt>
                <c:pt idx="6">
                  <c:v>700</c:v>
                </c:pt>
              </c:numCache>
            </c:numRef>
          </c:val>
          <c:extLst>
            <c:ext xmlns:c15="http://schemas.microsoft.com/office/drawing/2012/chart" uri="{02D57815-91ED-43cb-92C2-25804820EDAC}">
              <c15:datalabelsRange>
                <c15:f>'Sensitivity'!$H$872:$H$878</c15:f>
                <c15:dlblRangeCache>
                  <c:ptCount val="7"/>
                  <c:pt idx="0">
                    <c:v>4,505.5</c:v>
                  </c:pt>
                  <c:pt idx="1">
                    <c:v>3,606.3</c:v>
                  </c:pt>
                  <c:pt idx="2">
                    <c:v>875.1</c:v>
                  </c:pt>
                  <c:pt idx="3">
                    <c:v>3,573.2</c:v>
                  </c:pt>
                  <c:pt idx="4">
                    <c:v>(407.6)</c:v>
                  </c:pt>
                  <c:pt idx="5">
                    <c:v>(382.4)</c:v>
                  </c:pt>
                  <c:pt idx="6">
                    <c:v>11,770.2</c:v>
                  </c:pt>
                </c15:dlblRangeCache>
              </c15:datalabelsRange>
            </c:ext>
          </c:extLst>
        </c:ser>
        <c:gapWidth val="50"/>
        <c:overlap val="100"/>
        <c:axId val="111111111"/>
        <c:axId val="222222222"/>
      </c:barChart>
      <c:catAx>
        <c:axId val="111111111"/>
        <c:scaling>
          <c:orientation val="minMax"/>
        </c:scaling>
        <c:delete val="0"/>
        <c:axPos val="b"/>
        <c:majorTickMark val="none"/>
        <c:minorTickMark val="none"/>
        <c:txPr>
          <a:bodyPr/>
          <a:lstStyle/>
          <a:p>
            <a:pPr>
              <a:defRPr sz="900" b="0" i="0">
                <a:solidFill>
                  <a:schemeClr val="tx1">
                    <a:lumMod val="65000"/>
                    <a:lumOff val="35000"/>
                  </a:schemeClr>
                </a:solidFill>
              </a:defRPr>
            </a:pPr>
            <a:endParaRPr lang="en-US"/>
          </a:p>
        </c:txPr>
        <c:crossAx val="222222222"/>
        <c:crosses val="autoZero"/>
      </c:catAx>
      <c:valAx>
        <c:axId val="222222222"/>
        <c:scaling>
          <c:orientation val="minMax"/>
        </c:scaling>
        <c:delete val="0"/>
        <c:axPos val="l"/>
        <c:numFmt formatCode="#,##0" sourceLinked="0"/>
        <c:txPr>
          <a:bodyPr/>
          <a:lstStyle/>
          <a:p>
            <a:pPr>
              <a:defRPr sz="900" b="0" i="0">
                <a:solidFill>
                  <a:schemeClr val="tx1">
                    <a:lumMod val="65000"/>
                    <a:lumOff val="35000"/>
                  </a:schemeClr>
                </a:solidFill>
              </a:defRPr>
            </a:pPr>
            <a:endParaRPr lang="en-US"/>
          </a:p>
        </c:txPr>
        <c:crossAx val="111111111"/>
        <c:crosses val="autoZero"/>
      </c:valAx>
    </c:plotArea>
    <c:plotVisOnly val="0"/>
    <c:dispBlanksAs val="gap"/>
  </c:chart>
</c:chartSpace>
</file>

<file path=xl/charts/chart8.xml><?xml version="1.0" encoding="utf-8"?>
<c:chartSpace xmlns:c="http://schemas.openxmlformats.org/drawingml/2006/chart" xmlns:a="http://schemas.openxmlformats.org/drawingml/2006/main" xmlns:r="http://schemas.openxmlformats.org/officeDocument/2006/relationships">
  <c:chart>
    <c:title>
      <c:tx>
        <c:rich>
          <a:bodyPr/>
          <a:lstStyle/>
          <a:p>
            <a:pPr>
              <a:defRPr sz="1000" b="1" i="0">
                <a:solidFill>
                  <a:schemeClr val="tx1">
                    <a:lumMod val="65000"/>
                    <a:lumOff val="35000"/>
                  </a:schemeClr>
                </a:solidFill>
              </a:defRPr>
            </a:pPr>
            <a:r>
              <a:rPr lang="en-US"/>
              <a:t>Case bridge: sponsor IRR, model Downside → Base → Upside</a:t>
            </a:r>
          </a:p>
        </c:rich>
      </c:tx>
      <c:overlay val="0"/>
    </c:title>
    <c:plotArea>
      <c:barChart>
        <c:barDir val="col"/>
        <c:grouping val="stacked"/>
        <c:varyColors val="0"/>
        <c:ser>
          <c:idx val="0"/>
          <c:order val="0"/>
          <c:tx>
            <c:strRef>
              <c:f>Sensitivity!$C$880</c:f>
              <c:strCache>
                <c:ptCount val="1"/>
                <c:pt idx="0">
                  <c:v>Base (hidden)</c:v>
                </c:pt>
              </c:strCache>
            </c:strRef>
          </c:tx>
          <c:spPr>
            <a:noFill/>
            <a:ln>
              <a:noFill/>
            </a:ln>
          </c:spPr>
          <c:invertIfNegative val="0"/>
          <c:cat>
            <c:strRef>
              <c:f>Sensitivity!$B$881:$B$895</c:f>
              <c:strCache>
                <c:ptCount val="15"/>
                <c:pt idx="0">
                  <c:v>Downside</c:v>
                </c:pt>
                <c:pt idx="1">
                  <c:v>Gross RMR adds</c:v>
                </c:pt>
                <c:pt idx="2">
                  <c:v>Attrition</c:v>
                </c:pt>
                <c:pt idx="3">
                  <c:v>Install rev. / add</c:v>
                </c:pt>
                <c:pt idx="4">
                  <c:v>M&amp;S cost</c:v>
                </c:pt>
                <c:pt idx="5">
                  <c:v>Adj. SG&amp;A</c:v>
                </c:pt>
                <c:pt idx="6">
                  <c:v>Net SAC / add</c:v>
                </c:pt>
                <c:pt idx="7">
                  <c:v>Base</c:v>
                </c:pt>
                <c:pt idx="8">
                  <c:v>Gross RMR adds</c:v>
                </c:pt>
                <c:pt idx="9">
                  <c:v>Attrition</c:v>
                </c:pt>
                <c:pt idx="10">
                  <c:v>Install rev. / add</c:v>
                </c:pt>
                <c:pt idx="11">
                  <c:v>M&amp;S cost</c:v>
                </c:pt>
                <c:pt idx="12">
                  <c:v>Adj. SG&amp;A</c:v>
                </c:pt>
                <c:pt idx="13">
                  <c:v>Net SAC / add</c:v>
                </c:pt>
                <c:pt idx="14">
                  <c:v>Upside</c:v>
                </c:pt>
              </c:strCache>
            </c:strRef>
          </c:cat>
          <c:val>
            <c:numRef>
              <c:f>Sensitivity!$C$881:$C$895</c:f>
              <c:numCache>
                <c:formatCode>0.0%</c:formatCode>
                <c:ptCount val="15"/>
                <c:pt idx="1">
                  <c:v>0.03237015509973906</c:v>
                </c:pt>
                <c:pt idx="2">
                  <c:v>0.0526101142395405</c:v>
                </c:pt>
                <c:pt idx="3">
                  <c:v>0.0916750513875425</c:v>
                </c:pt>
                <c:pt idx="4">
                  <c:v>0.10336751565021032</c:v>
                </c:pt>
                <c:pt idx="5">
                  <c:v>0.13057564592793378</c:v>
                </c:pt>
                <c:pt idx="6">
                  <c:v>0.18970469971572168</c:v>
                </c:pt>
                <c:pt idx="8">
                  <c:v>0.211735490955125</c:v>
                </c:pt>
                <c:pt idx="9">
                  <c:v>0.22047317174402148</c:v>
                </c:pt>
                <c:pt idx="10">
                  <c:v>0.2331205383993421</c:v>
                </c:pt>
                <c:pt idx="11">
                  <c:v>0.2391541562150723</c:v>
                </c:pt>
                <c:pt idx="12">
                  <c:v>0.2508743649883519</c:v>
                </c:pt>
                <c:pt idx="13">
                  <c:v>0.2680351963985667</c:v>
                </c:pt>
              </c:numCache>
            </c:numRef>
          </c:val>
        </c:ser>
        <c:ser>
          <c:idx val="1"/>
          <c:order val="1"/>
          <c:tx>
            <c:strRef>
              <c:f>Sensitivity!$D$880</c:f>
              <c:strCache>
                <c:ptCount val="1"/>
                <c:pt idx="0">
                  <c:v>Increase</c:v>
                </c:pt>
              </c:strCache>
            </c:strRef>
          </c:tx>
          <c:spPr>
            <a:solidFill>
              <a:srgbClr val="6A9955"/>
            </a:solidFill>
            <a:ln>
              <a:noFill/>
            </a:ln>
          </c:spPr>
          <c:invertIfNegative val="0"/>
          <c:dPt>
            <c:idx val="0"/>
            <c:invertIfNegative val="0"/>
            <c:bubble3D val="0"/>
            <c:spPr>
              <a:noFill/>
              <a:ln>
                <a:noFill/>
              </a:ln>
            </c:spPr>
          </c:dPt>
          <c:dPt>
            <c:idx val="7"/>
            <c:invertIfNegative val="0"/>
            <c:bubble3D val="0"/>
            <c:spPr>
              <a:noFill/>
              <a:ln>
                <a:noFill/>
              </a:ln>
            </c:spPr>
          </c:dPt>
          <c:dPt>
            <c:idx val="14"/>
            <c:invertIfNegative val="0"/>
            <c:bubble3D val="0"/>
            <c:spPr>
              <a:noFill/>
              <a:ln>
                <a:noFill/>
              </a:ln>
            </c:spPr>
          </c:dPt>
          <c:cat>
            <c:strRef>
              <c:f>Sensitivity!$B$881:$B$895</c:f>
              <c:strCache>
                <c:ptCount val="15"/>
                <c:pt idx="0">
                  <c:v>Downside</c:v>
                </c:pt>
                <c:pt idx="1">
                  <c:v>Gross RMR adds</c:v>
                </c:pt>
                <c:pt idx="2">
                  <c:v>Attrition</c:v>
                </c:pt>
                <c:pt idx="3">
                  <c:v>Install rev. / add</c:v>
                </c:pt>
                <c:pt idx="4">
                  <c:v>M&amp;S cost</c:v>
                </c:pt>
                <c:pt idx="5">
                  <c:v>Adj. SG&amp;A</c:v>
                </c:pt>
                <c:pt idx="6">
                  <c:v>Net SAC / add</c:v>
                </c:pt>
                <c:pt idx="7">
                  <c:v>Base</c:v>
                </c:pt>
                <c:pt idx="8">
                  <c:v>Gross RMR adds</c:v>
                </c:pt>
                <c:pt idx="9">
                  <c:v>Attrition</c:v>
                </c:pt>
                <c:pt idx="10">
                  <c:v>Install rev. / add</c:v>
                </c:pt>
                <c:pt idx="11">
                  <c:v>M&amp;S cost</c:v>
                </c:pt>
                <c:pt idx="12">
                  <c:v>Adj. SG&amp;A</c:v>
                </c:pt>
                <c:pt idx="13">
                  <c:v>Net SAC / add</c:v>
                </c:pt>
                <c:pt idx="14">
                  <c:v>Upside</c:v>
                </c:pt>
              </c:strCache>
            </c:strRef>
          </c:cat>
          <c:val>
            <c:numRef>
              <c:f>Sensitivity!$D$881:$D$895</c:f>
              <c:numCache>
                <c:formatCode>0.0%</c:formatCode>
                <c:ptCount val="15"/>
                <c:pt idx="1">
                  <c:v>0.020239959139801433</c:v>
                </c:pt>
                <c:pt idx="2">
                  <c:v>0.039064937148002</c:v>
                </c:pt>
                <c:pt idx="3">
                  <c:v>0.011692464262667818</c:v>
                </c:pt>
                <c:pt idx="4">
                  <c:v>0.027208130277723452</c:v>
                </c:pt>
                <c:pt idx="5">
                  <c:v>0.05912905378778792</c:v>
                </c:pt>
                <c:pt idx="6">
                  <c:v>0.022030791239403314</c:v>
                </c:pt>
                <c:pt idx="8">
                  <c:v>0.00873768078889649</c:v>
                </c:pt>
                <c:pt idx="9">
                  <c:v>0.012647366655320624</c:v>
                </c:pt>
                <c:pt idx="10">
                  <c:v>0.006033617815730217</c:v>
                </c:pt>
                <c:pt idx="11">
                  <c:v>0.0117202087732796</c:v>
                </c:pt>
                <c:pt idx="12">
                  <c:v>0.017160831410214798</c:v>
                </c:pt>
                <c:pt idx="13">
                  <c:v>0.007585681542377853</c:v>
                </c:pt>
              </c:numCache>
            </c:numRef>
          </c:val>
        </c:ser>
        <c:ser>
          <c:idx val="2"/>
          <c:order val="2"/>
          <c:tx>
            <c:strRef>
              <c:f>Sensitivity!$E$880</c:f>
              <c:strCache>
                <c:ptCount val="1"/>
                <c:pt idx="0">
                  <c:v>Decrease</c:v>
                </c:pt>
              </c:strCache>
            </c:strRef>
          </c:tx>
          <c:spPr>
            <a:solidFill>
              <a:srgbClr val="C0504D"/>
            </a:solidFill>
            <a:ln>
              <a:noFill/>
            </a:ln>
          </c:spPr>
          <c:invertIfNegative val="0"/>
          <c:dPt>
            <c:idx val="0"/>
            <c:invertIfNegative val="0"/>
            <c:bubble3D val="0"/>
            <c:spPr>
              <a:noFill/>
              <a:ln>
                <a:noFill/>
              </a:ln>
            </c:spPr>
          </c:dPt>
          <c:dPt>
            <c:idx val="1"/>
            <c:invertIfNegative val="0"/>
            <c:bubble3D val="0"/>
            <c:spPr>
              <a:noFill/>
              <a:ln>
                <a:noFill/>
              </a:ln>
            </c:spPr>
          </c:dPt>
          <c:dPt>
            <c:idx val="2"/>
            <c:invertIfNegative val="0"/>
            <c:bubble3D val="0"/>
            <c:spPr>
              <a:noFill/>
              <a:ln>
                <a:noFill/>
              </a:ln>
            </c:spPr>
          </c:dPt>
          <c:dPt>
            <c:idx val="3"/>
            <c:invertIfNegative val="0"/>
            <c:bubble3D val="0"/>
            <c:spPr>
              <a:noFill/>
              <a:ln>
                <a:noFill/>
              </a:ln>
            </c:spPr>
          </c:dPt>
          <c:dPt>
            <c:idx val="4"/>
            <c:invertIfNegative val="0"/>
            <c:bubble3D val="0"/>
            <c:spPr>
              <a:noFill/>
              <a:ln>
                <a:noFill/>
              </a:ln>
            </c:spPr>
          </c:dPt>
          <c:dPt>
            <c:idx val="5"/>
            <c:invertIfNegative val="0"/>
            <c:bubble3D val="0"/>
            <c:spPr>
              <a:noFill/>
              <a:ln>
                <a:noFill/>
              </a:ln>
            </c:spPr>
          </c:dPt>
          <c:dPt>
            <c:idx val="6"/>
            <c:invertIfNegative val="0"/>
            <c:bubble3D val="0"/>
            <c:spPr>
              <a:noFill/>
              <a:ln>
                <a:noFill/>
              </a:ln>
            </c:spPr>
          </c:dPt>
          <c:dPt>
            <c:idx val="7"/>
            <c:invertIfNegative val="0"/>
            <c:bubble3D val="0"/>
            <c:spPr>
              <a:noFill/>
              <a:ln>
                <a:noFill/>
              </a:ln>
            </c:spPr>
          </c:dPt>
          <c:dPt>
            <c:idx val="8"/>
            <c:invertIfNegative val="0"/>
            <c:bubble3D val="0"/>
            <c:spPr>
              <a:noFill/>
              <a:ln>
                <a:noFill/>
              </a:ln>
            </c:spPr>
          </c:dPt>
          <c:dPt>
            <c:idx val="9"/>
            <c:invertIfNegative val="0"/>
            <c:bubble3D val="0"/>
            <c:spPr>
              <a:noFill/>
              <a:ln>
                <a:noFill/>
              </a:ln>
            </c:spPr>
          </c:dPt>
          <c:dPt>
            <c:idx val="10"/>
            <c:invertIfNegative val="0"/>
            <c:bubble3D val="0"/>
            <c:spPr>
              <a:noFill/>
              <a:ln>
                <a:noFill/>
              </a:ln>
            </c:spPr>
          </c:dPt>
          <c:dPt>
            <c:idx val="11"/>
            <c:invertIfNegative val="0"/>
            <c:bubble3D val="0"/>
            <c:spPr>
              <a:noFill/>
              <a:ln>
                <a:noFill/>
              </a:ln>
            </c:spPr>
          </c:dPt>
          <c:dPt>
            <c:idx val="12"/>
            <c:invertIfNegative val="0"/>
            <c:bubble3D val="0"/>
            <c:spPr>
              <a:noFill/>
              <a:ln>
                <a:noFill/>
              </a:ln>
            </c:spPr>
          </c:dPt>
          <c:dPt>
            <c:idx val="13"/>
            <c:invertIfNegative val="0"/>
            <c:bubble3D val="0"/>
            <c:spPr>
              <a:noFill/>
              <a:ln>
                <a:noFill/>
              </a:ln>
            </c:spPr>
          </c:dPt>
          <c:dPt>
            <c:idx val="14"/>
            <c:invertIfNegative val="0"/>
            <c:bubble3D val="0"/>
            <c:spPr>
              <a:noFill/>
              <a:ln>
                <a:noFill/>
              </a:ln>
            </c:spPr>
          </c:dPt>
          <c:cat>
            <c:strRef>
              <c:f>Sensitivity!$B$881:$B$895</c:f>
              <c:strCache>
                <c:ptCount val="15"/>
                <c:pt idx="0">
                  <c:v>Downside</c:v>
                </c:pt>
                <c:pt idx="1">
                  <c:v>Gross RMR adds</c:v>
                </c:pt>
                <c:pt idx="2">
                  <c:v>Attrition</c:v>
                </c:pt>
                <c:pt idx="3">
                  <c:v>Install rev. / add</c:v>
                </c:pt>
                <c:pt idx="4">
                  <c:v>M&amp;S cost</c:v>
                </c:pt>
                <c:pt idx="5">
                  <c:v>Adj. SG&amp;A</c:v>
                </c:pt>
                <c:pt idx="6">
                  <c:v>Net SAC / add</c:v>
                </c:pt>
                <c:pt idx="7">
                  <c:v>Base</c:v>
                </c:pt>
                <c:pt idx="8">
                  <c:v>Gross RMR adds</c:v>
                </c:pt>
                <c:pt idx="9">
                  <c:v>Attrition</c:v>
                </c:pt>
                <c:pt idx="10">
                  <c:v>Install rev. / add</c:v>
                </c:pt>
                <c:pt idx="11">
                  <c:v>M&amp;S cost</c:v>
                </c:pt>
                <c:pt idx="12">
                  <c:v>Adj. SG&amp;A</c:v>
                </c:pt>
                <c:pt idx="13">
                  <c:v>Net SAC / add</c:v>
                </c:pt>
                <c:pt idx="14">
                  <c:v>Upside</c:v>
                </c:pt>
              </c:strCache>
            </c:strRef>
          </c:cat>
          <c:val>
            <c:numRef>
              <c:f>Sensitivity!$E$881:$E$895</c:f>
              <c:numCache>
                <c:formatCode>0.0%</c:formatCode>
                <c:ptCount val="15"/>
                <c:pt idx="1">
                  <c:v>0</c:v>
                </c:pt>
                <c:pt idx="2">
                  <c:v>0</c:v>
                </c:pt>
                <c:pt idx="3">
                  <c:v>0</c:v>
                </c:pt>
                <c:pt idx="4">
                  <c:v>0</c:v>
                </c:pt>
                <c:pt idx="5">
                  <c:v>0</c:v>
                </c:pt>
                <c:pt idx="6">
                  <c:v>0</c:v>
                </c:pt>
                <c:pt idx="8">
                  <c:v>0</c:v>
                </c:pt>
                <c:pt idx="9">
                  <c:v>0</c:v>
                </c:pt>
                <c:pt idx="10">
                  <c:v>0</c:v>
                </c:pt>
                <c:pt idx="11">
                  <c:v>0</c:v>
                </c:pt>
                <c:pt idx="12">
                  <c:v>0</c:v>
                </c:pt>
                <c:pt idx="13">
                  <c:v>0</c:v>
                </c:pt>
              </c:numCache>
            </c:numRef>
          </c:val>
        </c:ser>
        <c:ser>
          <c:idx val="3"/>
          <c:order val="3"/>
          <c:tx>
            <c:strRef>
              <c:f>Sensitivity!$F$880</c:f>
              <c:strCache>
                <c:ptCount val="1"/>
                <c:pt idx="0">
                  <c:v>Total</c:v>
                </c:pt>
              </c:strCache>
            </c:strRef>
          </c:tx>
          <c:spPr>
            <a:solidFill>
              <a:srgbClr val="203864"/>
            </a:solidFill>
            <a:ln>
              <a:noFill/>
            </a:ln>
          </c:spPr>
          <c:invertIfNegative val="0"/>
          <c:dPt>
            <c:idx val="1"/>
            <c:invertIfNegative val="0"/>
            <c:bubble3D val="0"/>
            <c:spPr>
              <a:noFill/>
              <a:ln>
                <a:noFill/>
              </a:ln>
            </c:spPr>
          </c:dPt>
          <c:dPt>
            <c:idx val="2"/>
            <c:invertIfNegative val="0"/>
            <c:bubble3D val="0"/>
            <c:spPr>
              <a:noFill/>
              <a:ln>
                <a:noFill/>
              </a:ln>
            </c:spPr>
          </c:dPt>
          <c:dPt>
            <c:idx val="3"/>
            <c:invertIfNegative val="0"/>
            <c:bubble3D val="0"/>
            <c:spPr>
              <a:noFill/>
              <a:ln>
                <a:noFill/>
              </a:ln>
            </c:spPr>
          </c:dPt>
          <c:dPt>
            <c:idx val="4"/>
            <c:invertIfNegative val="0"/>
            <c:bubble3D val="0"/>
            <c:spPr>
              <a:noFill/>
              <a:ln>
                <a:noFill/>
              </a:ln>
            </c:spPr>
          </c:dPt>
          <c:dPt>
            <c:idx val="5"/>
            <c:invertIfNegative val="0"/>
            <c:bubble3D val="0"/>
            <c:spPr>
              <a:noFill/>
              <a:ln>
                <a:noFill/>
              </a:ln>
            </c:spPr>
          </c:dPt>
          <c:dPt>
            <c:idx val="6"/>
            <c:invertIfNegative val="0"/>
            <c:bubble3D val="0"/>
            <c:spPr>
              <a:noFill/>
              <a:ln>
                <a:noFill/>
              </a:ln>
            </c:spPr>
          </c:dPt>
          <c:dPt>
            <c:idx val="8"/>
            <c:invertIfNegative val="0"/>
            <c:bubble3D val="0"/>
            <c:spPr>
              <a:noFill/>
              <a:ln>
                <a:noFill/>
              </a:ln>
            </c:spPr>
          </c:dPt>
          <c:dPt>
            <c:idx val="9"/>
            <c:invertIfNegative val="0"/>
            <c:bubble3D val="0"/>
            <c:spPr>
              <a:noFill/>
              <a:ln>
                <a:noFill/>
              </a:ln>
            </c:spPr>
          </c:dPt>
          <c:dPt>
            <c:idx val="10"/>
            <c:invertIfNegative val="0"/>
            <c:bubble3D val="0"/>
            <c:spPr>
              <a:noFill/>
              <a:ln>
                <a:noFill/>
              </a:ln>
            </c:spPr>
          </c:dPt>
          <c:dPt>
            <c:idx val="11"/>
            <c:invertIfNegative val="0"/>
            <c:bubble3D val="0"/>
            <c:spPr>
              <a:noFill/>
              <a:ln>
                <a:noFill/>
              </a:ln>
            </c:spPr>
          </c:dPt>
          <c:dPt>
            <c:idx val="12"/>
            <c:invertIfNegative val="0"/>
            <c:bubble3D val="0"/>
            <c:spPr>
              <a:noFill/>
              <a:ln>
                <a:noFill/>
              </a:ln>
            </c:spPr>
          </c:dPt>
          <c:dPt>
            <c:idx val="13"/>
            <c:invertIfNegative val="0"/>
            <c:bubble3D val="0"/>
            <c:spPr>
              <a:noFill/>
              <a:ln>
                <a:noFill/>
              </a:ln>
            </c:spPr>
          </c:dPt>
          <c:cat>
            <c:strRef>
              <c:f>Sensitivity!$B$881:$B$895</c:f>
              <c:strCache>
                <c:ptCount val="15"/>
                <c:pt idx="0">
                  <c:v>Downside</c:v>
                </c:pt>
                <c:pt idx="1">
                  <c:v>Gross RMR adds</c:v>
                </c:pt>
                <c:pt idx="2">
                  <c:v>Attrition</c:v>
                </c:pt>
                <c:pt idx="3">
                  <c:v>Install rev. / add</c:v>
                </c:pt>
                <c:pt idx="4">
                  <c:v>M&amp;S cost</c:v>
                </c:pt>
                <c:pt idx="5">
                  <c:v>Adj. SG&amp;A</c:v>
                </c:pt>
                <c:pt idx="6">
                  <c:v>Net SAC / add</c:v>
                </c:pt>
                <c:pt idx="7">
                  <c:v>Base</c:v>
                </c:pt>
                <c:pt idx="8">
                  <c:v>Gross RMR adds</c:v>
                </c:pt>
                <c:pt idx="9">
                  <c:v>Attrition</c:v>
                </c:pt>
                <c:pt idx="10">
                  <c:v>Install rev. / add</c:v>
                </c:pt>
                <c:pt idx="11">
                  <c:v>M&amp;S cost</c:v>
                </c:pt>
                <c:pt idx="12">
                  <c:v>Adj. SG&amp;A</c:v>
                </c:pt>
                <c:pt idx="13">
                  <c:v>Net SAC / add</c:v>
                </c:pt>
                <c:pt idx="14">
                  <c:v>Upside</c:v>
                </c:pt>
              </c:strCache>
            </c:strRef>
          </c:cat>
          <c:val>
            <c:numRef>
              <c:f>Sensitivity!$F$881:$F$895</c:f>
              <c:numCache>
                <c:formatCode>0.0%</c:formatCode>
                <c:ptCount val="15"/>
                <c:pt idx="0">
                  <c:v>0.03237015509973906</c:v>
                </c:pt>
                <c:pt idx="7">
                  <c:v>0.211735490955125</c:v>
                </c:pt>
                <c:pt idx="14">
                  <c:v>0.2756208779409446</c:v>
                </c:pt>
              </c:numCache>
            </c:numRef>
          </c:val>
        </c:ser>
        <c:ser>
          <c:idx val="4"/>
          <c:order val="4"/>
          <c:tx>
            <c:v>Label</c:v>
          </c:tx>
          <c:spPr>
            <a:noFill/>
            <a:ln>
              <a:noFill/>
            </a:ln>
          </c:spPr>
          <c:invertIfNegative val="0"/>
          <c:dLbls>
            <c:dLbl>
              <c:idx val="0"/>
              <c:txPr>
                <a:bodyPr/>
                <a:lstStyle/>
                <a:p>
                  <a:pPr>
                    <a:defRPr sz="1000" b="1">
                      <a:solidFill>
                        <a:srgbClr val="000000"/>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
            <c:dLbl>
              <c:idx val="1"/>
              <c:txPr>
                <a:bodyPr/>
                <a:lstStyle/>
                <a:p>
                  <a:pPr>
                    <a:defRPr sz="1000" b="1">
                      <a:solidFill>
                        <a:srgbClr val="548235"/>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
            <c:dLbl>
              <c:idx val="2"/>
              <c:txPr>
                <a:bodyPr/>
                <a:lstStyle/>
                <a:p>
                  <a:pPr>
                    <a:defRPr sz="1000" b="1">
                      <a:solidFill>
                        <a:srgbClr val="548235"/>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
            <c:dLbl>
              <c:idx val="3"/>
              <c:txPr>
                <a:bodyPr/>
                <a:lstStyle/>
                <a:p>
                  <a:pPr>
                    <a:defRPr sz="1000" b="1">
                      <a:solidFill>
                        <a:srgbClr val="548235"/>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
            <c:dLbl>
              <c:idx val="4"/>
              <c:txPr>
                <a:bodyPr/>
                <a:lstStyle/>
                <a:p>
                  <a:pPr>
                    <a:defRPr sz="1000" b="1">
                      <a:solidFill>
                        <a:srgbClr val="548235"/>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
            <c:dLbl>
              <c:idx val="5"/>
              <c:txPr>
                <a:bodyPr/>
                <a:lstStyle/>
                <a:p>
                  <a:pPr>
                    <a:defRPr sz="1000" b="1">
                      <a:solidFill>
                        <a:srgbClr val="548235"/>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
            <c:dLbl>
              <c:idx val="6"/>
              <c:txPr>
                <a:bodyPr/>
                <a:lstStyle/>
                <a:p>
                  <a:pPr>
                    <a:defRPr sz="1000" b="1">
                      <a:solidFill>
                        <a:srgbClr val="548235"/>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
            <c:dLbl>
              <c:idx val="7"/>
              <c:txPr>
                <a:bodyPr/>
                <a:lstStyle/>
                <a:p>
                  <a:pPr>
                    <a:defRPr sz="1000" b="1">
                      <a:solidFill>
                        <a:srgbClr val="000000"/>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
            <c:dLbl>
              <c:idx val="8"/>
              <c:txPr>
                <a:bodyPr/>
                <a:lstStyle/>
                <a:p>
                  <a:pPr>
                    <a:defRPr sz="1000" b="1">
                      <a:solidFill>
                        <a:srgbClr val="548235"/>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
            <c:dLbl>
              <c:idx val="9"/>
              <c:txPr>
                <a:bodyPr/>
                <a:lstStyle/>
                <a:p>
                  <a:pPr>
                    <a:defRPr sz="1000" b="1">
                      <a:solidFill>
                        <a:srgbClr val="548235"/>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
            <c:dLbl>
              <c:idx val="10"/>
              <c:txPr>
                <a:bodyPr/>
                <a:lstStyle/>
                <a:p>
                  <a:pPr>
                    <a:defRPr sz="1000" b="1">
                      <a:solidFill>
                        <a:srgbClr val="548235"/>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
            <c:dLbl>
              <c:idx val="11"/>
              <c:txPr>
                <a:bodyPr/>
                <a:lstStyle/>
                <a:p>
                  <a:pPr>
                    <a:defRPr sz="1000" b="1">
                      <a:solidFill>
                        <a:srgbClr val="548235"/>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
            <c:dLbl>
              <c:idx val="12"/>
              <c:txPr>
                <a:bodyPr/>
                <a:lstStyle/>
                <a:p>
                  <a:pPr>
                    <a:defRPr sz="1000" b="1">
                      <a:solidFill>
                        <a:srgbClr val="548235"/>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
            <c:dLbl>
              <c:idx val="13"/>
              <c:txPr>
                <a:bodyPr/>
                <a:lstStyle/>
                <a:p>
                  <a:pPr>
                    <a:defRPr sz="1000" b="1">
                      <a:solidFill>
                        <a:srgbClr val="548235"/>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
            <c:dLbl>
              <c:idx val="14"/>
              <c:txPr>
                <a:bodyPr/>
                <a:lstStyle/>
                <a:p>
                  <a:pPr>
                    <a:defRPr sz="1000" b="1">
                      <a:solidFill>
                        <a:srgbClr val="000000"/>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
            <c:txPr>
              <a:bodyPr/>
              <a:lstStyle/>
              <a:p>
                <a:pPr>
                  <a:defRPr sz="1000" b="1" i="0">
                    <a:solidFill>
                      <a:schemeClr val="tx1">
                        <a:lumMod val="75000"/>
                        <a:lumOff val="25000"/>
                      </a:schemeClr>
                    </a:solidFill>
                  </a:defRPr>
                </a:pPr>
                <a:endParaRPr lang="en-US"/>
              </a:p>
            </c:txPr>
            <c:dLblPos val="inBase"/>
            <c:showLegendKey val="0"/>
            <c:showVal val="0"/>
            <c:showCatName val="0"/>
            <c:showSerName val="0"/>
            <c:showPercent val="0"/>
            <c:showBubbleSize val="0"/>
            <c:extLst>
              <c:ext xmlns:c15="http://schemas.microsoft.com/office/drawing/2012/chart" uri="{CE6537A1-D6FC-4f65-9D91-7224C49458BB}">
                <c15:showDataLabelsRange val="1"/>
              </c:ext>
            </c:extLst>
          </c:dLbls>
          <c:val>
            <c:numRef>
              <c:f>Sensitivity!$G$881:$G$895</c:f>
              <c:numCache>
                <c:formatCode>0.0%</c:formatCode>
                <c:ptCount val="15"/>
                <c:pt idx="0">
                  <c:v>0.016</c:v>
                </c:pt>
                <c:pt idx="1">
                  <c:v>0.016</c:v>
                </c:pt>
                <c:pt idx="2">
                  <c:v>0.016</c:v>
                </c:pt>
                <c:pt idx="3">
                  <c:v>0.016</c:v>
                </c:pt>
                <c:pt idx="4">
                  <c:v>0.016</c:v>
                </c:pt>
                <c:pt idx="5">
                  <c:v>0.016</c:v>
                </c:pt>
                <c:pt idx="6">
                  <c:v>0.016</c:v>
                </c:pt>
                <c:pt idx="7">
                  <c:v>0.016</c:v>
                </c:pt>
                <c:pt idx="8">
                  <c:v>0.016</c:v>
                </c:pt>
                <c:pt idx="9">
                  <c:v>0.016</c:v>
                </c:pt>
                <c:pt idx="10">
                  <c:v>0.016</c:v>
                </c:pt>
                <c:pt idx="11">
                  <c:v>0.016</c:v>
                </c:pt>
                <c:pt idx="12">
                  <c:v>0.016</c:v>
                </c:pt>
                <c:pt idx="13">
                  <c:v>0.016</c:v>
                </c:pt>
                <c:pt idx="14">
                  <c:v>0.016</c:v>
                </c:pt>
              </c:numCache>
            </c:numRef>
          </c:val>
          <c:extLst>
            <c:ext xmlns:c15="http://schemas.microsoft.com/office/drawing/2012/chart" uri="{02D57815-91ED-43cb-92C2-25804820EDAC}">
              <c15:datalabelsRange>
                <c15:f>'Sensitivity'!$H$881:$H$895</c15:f>
                <c15:dlblRangeCache>
                  <c:ptCount val="15"/>
                  <c:pt idx="0">
                    <c:v>3.2%</c:v>
                  </c:pt>
                  <c:pt idx="1">
                    <c:v>2.0%</c:v>
                  </c:pt>
                  <c:pt idx="2">
                    <c:v>3.9%</c:v>
                  </c:pt>
                  <c:pt idx="3">
                    <c:v>1.2%</c:v>
                  </c:pt>
                  <c:pt idx="4">
                    <c:v>2.7%</c:v>
                  </c:pt>
                  <c:pt idx="5">
                    <c:v>5.9%</c:v>
                  </c:pt>
                  <c:pt idx="6">
                    <c:v>2.2%</c:v>
                  </c:pt>
                  <c:pt idx="7">
                    <c:v>21.2%</c:v>
                  </c:pt>
                  <c:pt idx="8">
                    <c:v>0.9%</c:v>
                  </c:pt>
                  <c:pt idx="9">
                    <c:v>1.3%</c:v>
                  </c:pt>
                  <c:pt idx="10">
                    <c:v>0.6%</c:v>
                  </c:pt>
                  <c:pt idx="11">
                    <c:v>1.2%</c:v>
                  </c:pt>
                  <c:pt idx="12">
                    <c:v>1.7%</c:v>
                  </c:pt>
                  <c:pt idx="13">
                    <c:v>0.8%</c:v>
                  </c:pt>
                  <c:pt idx="14">
                    <c:v>27.6%</c:v>
                  </c:pt>
                </c15:dlblRangeCache>
              </c15:datalabelsRange>
            </c:ext>
          </c:extLst>
        </c:ser>
        <c:gapWidth val="50"/>
        <c:overlap val="100"/>
        <c:axId val="111111111"/>
        <c:axId val="222222222"/>
      </c:barChart>
      <c:catAx>
        <c:axId val="111111111"/>
        <c:scaling>
          <c:orientation val="minMax"/>
        </c:scaling>
        <c:delete val="0"/>
        <c:axPos val="b"/>
        <c:majorTickMark val="none"/>
        <c:minorTickMark val="none"/>
        <c:txPr>
          <a:bodyPr/>
          <a:lstStyle/>
          <a:p>
            <a:pPr>
              <a:defRPr sz="900" b="0" i="0">
                <a:solidFill>
                  <a:schemeClr val="tx1">
                    <a:lumMod val="65000"/>
                    <a:lumOff val="35000"/>
                  </a:schemeClr>
                </a:solidFill>
              </a:defRPr>
            </a:pPr>
            <a:endParaRPr lang="en-US"/>
          </a:p>
        </c:txPr>
        <c:crossAx val="222222222"/>
        <c:crosses val="autoZero"/>
      </c:catAx>
      <c:valAx>
        <c:axId val="222222222"/>
        <c:scaling>
          <c:orientation val="minMax"/>
        </c:scaling>
        <c:delete val="0"/>
        <c:axPos val="l"/>
        <c:numFmt formatCode="0.0%" sourceLinked="0"/>
        <c:txPr>
          <a:bodyPr/>
          <a:lstStyle/>
          <a:p>
            <a:pPr>
              <a:defRPr sz="900" b="0" i="0">
                <a:solidFill>
                  <a:schemeClr val="tx1">
                    <a:lumMod val="65000"/>
                    <a:lumOff val="35000"/>
                  </a:schemeClr>
                </a:solidFill>
              </a:defRPr>
            </a:pPr>
            <a:endParaRPr lang="en-US"/>
          </a:p>
        </c:txPr>
        <c:crossAx val="111111111"/>
        <c:crosses val="autoZero"/>
      </c:valAx>
    </c:plotArea>
    <c:plotVisOnly val="0"/>
    <c:dispBlanksAs val="gap"/>
  </c:chart>
</c:chartSpac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5"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 Id="rId2" Type="http://schemas.openxmlformats.org/officeDocument/2006/relationships/chart" Target="../charts/chart8.xml"/></Relationships>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0</xdr:colOff>
      <xdr:row>92</xdr:row>
      <xdr:rowOff>0</xdr:rowOff>
    </xdr:from>
    <xdr:to>
      <xdr:col>11</xdr:col>
      <xdr:colOff>0</xdr:colOff>
      <xdr:row>110</xdr:row>
      <xdr:rowOff>0</xdr:rowOff>
    </xdr:to>
    <xdr:graphicFrame macro="">
      <xdr:nvGraphicFramePr>
        <xdr:cNvPr id="1" name="Hist EBITDA vs FCF">
          <a:extLst>
            <a:ext uri="{FF2B5EF4-FFF2-40B4-BE49-F238E27FC236}">
              <a16:creationId xmlns:a16="http://schemas.microsoft.com/office/drawing/2014/main" id="{00000009-DB59-4C1D-8CA1-000000000001}"/>
            </a:ext>
          </a:extLst>
        </xdr:cNvPr>
        <xdr:cNvGraphicFramePr/>
      </xdr:nvGraphicFramePr>
      <xdr:xfrm>
        <a:off x="0" y="0"/>
        <a:ext cx="8077200" cy="2914650"/>
      </xdr:xfrm>
      <a:graphic>
        <a:graphicData uri="http://schemas.openxmlformats.org/drawingml/2006/chart">
          <c:chart xmlns:c="http://schemas.openxmlformats.org/drawingml/2006/chart" r:id="rId1"/>
        </a:graphicData>
      </a:graphic>
    </xdr:graphicFrame>
    <xdr:clientData/>
  </xdr:twoCellAnchor>
  <xdr:twoCellAnchor editAs="oneCell">
    <xdr:from>
      <xdr:col>12</xdr:col>
      <xdr:colOff>0</xdr:colOff>
      <xdr:row>92</xdr:row>
      <xdr:rowOff>0</xdr:rowOff>
    </xdr:from>
    <xdr:to>
      <xdr:col>20</xdr:col>
      <xdr:colOff>0</xdr:colOff>
      <xdr:row>110</xdr:row>
      <xdr:rowOff>0</xdr:rowOff>
    </xdr:to>
    <xdr:graphicFrame macro="">
      <xdr:nvGraphicFramePr>
        <xdr:cNvPr id="2" name="Base Adj EBITDA">
          <a:extLst>
            <a:ext uri="{FF2B5EF4-FFF2-40B4-BE49-F238E27FC236}">
              <a16:creationId xmlns:a16="http://schemas.microsoft.com/office/drawing/2014/main" id="{00000008-9B1D-4C1D-8CA1-000000000002}"/>
            </a:ext>
          </a:extLst>
        </xdr:cNvPr>
        <xdr:cNvGraphicFramePr/>
      </xdr:nvGraphicFramePr>
      <xdr:xfrm>
        <a:off x="0" y="0"/>
        <a:ext cx="5257800" cy="2914650"/>
      </xdr:xfrm>
      <a:graphic>
        <a:graphicData uri="http://schemas.openxmlformats.org/drawingml/2006/chart">
          <c:chart xmlns:c="http://schemas.openxmlformats.org/drawingml/2006/chart" r:id="rId2"/>
        </a:graphicData>
      </a:graphic>
    </xdr:graphicFrame>
    <xdr:clientData/>
  </xdr:twoCellAnchor>
  <xdr:twoCellAnchor editAs="oneCell">
    <xdr:from>
      <xdr:col>2</xdr:col>
      <xdr:colOff>0</xdr:colOff>
      <xdr:row>111</xdr:row>
      <xdr:rowOff>0</xdr:rowOff>
    </xdr:from>
    <xdr:to>
      <xdr:col>11</xdr:col>
      <xdr:colOff>0</xdr:colOff>
      <xdr:row>129</xdr:row>
      <xdr:rowOff>0</xdr:rowOff>
    </xdr:to>
    <xdr:graphicFrame macro="">
      <xdr:nvGraphicFramePr>
        <xdr:cNvPr id="3" name="Total Debt">
          <a:extLst>
            <a:ext uri="{FF2B5EF4-FFF2-40B4-BE49-F238E27FC236}">
              <a16:creationId xmlns:a16="http://schemas.microsoft.com/office/drawing/2014/main" id="{00000007-B934-4C1D-8CA1-000000000003}"/>
            </a:ext>
          </a:extLst>
        </xdr:cNvPr>
        <xdr:cNvGraphicFramePr/>
      </xdr:nvGraphicFramePr>
      <xdr:xfrm>
        <a:off x="0" y="0"/>
        <a:ext cx="8077200" cy="2914650"/>
      </xdr:xfrm>
      <a:graphic>
        <a:graphicData uri="http://schemas.openxmlformats.org/drawingml/2006/chart">
          <c:chart xmlns:c="http://schemas.openxmlformats.org/drawingml/2006/chart" r:id="rId3"/>
        </a:graphicData>
      </a:graphic>
    </xdr:graphicFrame>
    <xdr:clientData/>
  </xdr:twoCellAnchor>
  <xdr:twoCellAnchor editAs="oneCell">
    <xdr:from>
      <xdr:col>12</xdr:col>
      <xdr:colOff>0</xdr:colOff>
      <xdr:row>111</xdr:row>
      <xdr:rowOff>0</xdr:rowOff>
    </xdr:from>
    <xdr:to>
      <xdr:col>20</xdr:col>
      <xdr:colOff>0</xdr:colOff>
      <xdr:row>129</xdr:row>
      <xdr:rowOff>0</xdr:rowOff>
    </xdr:to>
    <xdr:graphicFrame macro="">
      <xdr:nvGraphicFramePr>
        <xdr:cNvPr id="4" name="IRR by Exit Year">
          <a:extLst>
            <a:ext uri="{FF2B5EF4-FFF2-40B4-BE49-F238E27FC236}">
              <a16:creationId xmlns:a16="http://schemas.microsoft.com/office/drawing/2014/main" id="{00000006-4E7F-4C1D-8CA1-000000000004}"/>
            </a:ext>
          </a:extLst>
        </xdr:cNvPr>
        <xdr:cNvGraphicFramePr/>
      </xdr:nvGraphicFramePr>
      <xdr:xfrm>
        <a:off x="0" y="0"/>
        <a:ext cx="5257800" cy="2914650"/>
      </xdr:xfrm>
      <a:graphic>
        <a:graphicData uri="http://schemas.openxmlformats.org/drawingml/2006/chart">
          <c:chart xmlns:c="http://schemas.openxmlformats.org/drawingml/2006/chart" r:id="rId4"/>
        </a:graphicData>
      </a:graphic>
    </xdr:graphicFrame>
    <xdr:clientData/>
  </xdr:twoCellAnchor>
  <xdr:twoCellAnchor editAs="oneCell">
    <xdr:from>
      <xdr:col>21</xdr:col>
      <xdr:colOff>0</xdr:colOff>
      <xdr:row>111</xdr:row>
      <xdr:rowOff>0</xdr:rowOff>
    </xdr:from>
    <xdr:to>
      <xdr:col>29</xdr:col>
      <xdr:colOff>0</xdr:colOff>
      <xdr:row>129</xdr:row>
      <xdr:rowOff>0</xdr:rowOff>
    </xdr:to>
    <xdr:graphicFrame macro="">
      <xdr:nvGraphicFramePr>
        <xdr:cNvPr id="5" name="MOIC by Exit Year">
          <a:extLst>
            <a:ext uri="{FF2B5EF4-FFF2-40B4-BE49-F238E27FC236}">
              <a16:creationId xmlns:a16="http://schemas.microsoft.com/office/drawing/2014/main" id="{00000005-9E00-4C1D-8CA1-000000000005}"/>
            </a:ext>
          </a:extLst>
        </xdr:cNvPr>
        <xdr:cNvGraphicFramePr/>
      </xdr:nvGraphicFramePr>
      <xdr:xfrm>
        <a:off x="0" y="0"/>
        <a:ext cx="4800600" cy="2914650"/>
      </xdr:xfrm>
      <a:graphic>
        <a:graphicData uri="http://schemas.openxmlformats.org/drawingml/2006/chart">
          <c:chart xmlns:c="http://schemas.openxmlformats.org/drawingml/2006/chart" r:id="rId5"/>
        </a:graphicData>
      </a:graphic>
    </xdr:graphicFrame>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15</xdr:col>
      <xdr:colOff>0</xdr:colOff>
      <xdr:row>17</xdr:row>
      <xdr:rowOff>0</xdr:rowOff>
    </xdr:from>
    <xdr:to>
      <xdr:col>23</xdr:col>
      <xdr:colOff>0</xdr:colOff>
      <xdr:row>40</xdr:row>
      <xdr:rowOff>0</xdr:rowOff>
    </xdr:to>
    <xdr:graphicFrame macro="">
      <xdr:nvGraphicFramePr>
        <xdr:cNvPr id="1" name="Comps EV EBITDA">
          <a:extLst>
            <a:ext uri="{FF2B5EF4-FFF2-40B4-BE49-F238E27FC236}">
              <a16:creationId xmlns:a16="http://schemas.microsoft.com/office/drawing/2014/main" id="{00000004-18E5-4C1D-8CA1-000000000006}"/>
            </a:ext>
          </a:extLst>
        </xdr:cNvPr>
        <xdr:cNvGraphicFramePr/>
      </xdr:nvGraphicFramePr>
      <xdr:xfrm>
        <a:off x="0" y="0"/>
        <a:ext cx="5934075" cy="3800475"/>
      </xdr:xfrm>
      <a:graphic>
        <a:graphicData uri="http://schemas.openxmlformats.org/drawingml/2006/chart">
          <c:chart xmlns:c="http://schemas.openxmlformats.org/drawingml/2006/chart" r:id="rId1"/>
        </a:graphicData>
      </a:graphic>
    </xdr:graphicFrame>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oneCell">
    <xdr:from>
      <xdr:col>9</xdr:col>
      <xdr:colOff>0</xdr:colOff>
      <xdr:row>66</xdr:row>
      <xdr:rowOff>0</xdr:rowOff>
    </xdr:from>
    <xdr:to>
      <xdr:col>23</xdr:col>
      <xdr:colOff>333375</xdr:colOff>
      <xdr:row>85</xdr:row>
      <xdr:rowOff>139701</xdr:rowOff>
    </xdr:to>
    <xdr:graphicFrame macro="">
      <xdr:nvGraphicFramePr>
        <xdr:cNvPr id="37" name="Chart 1">
          <a:extLst>
            <a:ext uri="{FF2B5EF4-FFF2-40B4-BE49-F238E27FC236}">
              <a16:creationId xmlns:a16="http://schemas.microsoft.com/office/drawing/2014/main" id="{00000001-1DB1-4C1D-8CA1-000000000009}"/>
            </a:ext>
          </a:extLst>
        </xdr:cNvPr>
        <xdr:cNvGraphicFramePr/>
      </xdr:nvGraphicFramePr>
      <xdr:xfrm>
        <a:off x="0" y="0"/>
        <a:ext cx="9382125" cy="3216276"/>
      </xdr:xfrm>
      <a:graphic>
        <a:graphicData uri="http://schemas.openxmlformats.org/drawingml/2006/chart">
          <c:chart xmlns:c="http://schemas.openxmlformats.org/drawingml/2006/chart" r:id="rId1"/>
        </a:graphicData>
      </a:graphic>
    </xdr:graphicFrame>
    <xdr:clientData/>
  </xdr:twoCellAnchor>
  <xdr:twoCellAnchor editAs="oneCell">
    <xdr:from>
      <xdr:col>9</xdr:col>
      <xdr:colOff>0</xdr:colOff>
      <xdr:row>87</xdr:row>
      <xdr:rowOff>0</xdr:rowOff>
    </xdr:from>
    <xdr:to>
      <xdr:col>23</xdr:col>
      <xdr:colOff>333375</xdr:colOff>
      <xdr:row>107</xdr:row>
      <xdr:rowOff>1</xdr:rowOff>
    </xdr:to>
    <xdr:graphicFrame macro="">
      <xdr:nvGraphicFramePr>
        <xdr:cNvPr id="38" name="Chart 2">
          <a:extLst>
            <a:ext uri="{FF2B5EF4-FFF2-40B4-BE49-F238E27FC236}">
              <a16:creationId xmlns:a16="http://schemas.microsoft.com/office/drawing/2014/main" id="{00000000-91F5-4C1D-8CA1-00000000000A}"/>
            </a:ext>
          </a:extLst>
        </xdr:cNvPr>
        <xdr:cNvGraphicFramePr/>
      </xdr:nvGraphicFramePr>
      <xdr:xfrm>
        <a:off x="0" y="0"/>
        <a:ext cx="9382125" cy="3238501"/>
      </xdr:xfrm>
      <a:graphic>
        <a:graphicData uri="http://schemas.openxmlformats.org/drawingml/2006/chart">
          <c:chart xmlns:c="http://schemas.openxmlformats.org/drawingml/2006/chart" r:id="rId2"/>
        </a:graphicData>
      </a:graphic>
    </xdr:graphicFrame>
    <xdr:clientData/>
  </xdr:twoCellAnchor>
  <xdr:oneCellAnchor>
    <xdr:from>
      <xdr:col>1</xdr:col>
      <xdr:colOff>765175</xdr:colOff>
      <xdr:row>134</xdr:row>
      <xdr:rowOff>133985</xdr:rowOff>
    </xdr:from>
    <xdr:ext cx="344488" cy="11430"/>
    <xdr:sp macro="" textlink="">
      <xdr:nvSpPr>
        <xdr:cNvPr id="2" name="rect 2">
          <a:extLst>
            <a:ext uri="{FF2B5EF4-FFF2-40B4-BE49-F238E27FC236}">
              <a16:creationId xmlns:a16="http://schemas.microsoft.com/office/drawing/2014/main" id="{00000000-0008-0000-0800-000002000000}"/>
            </a:ext>
          </a:extLst>
        </xdr:cNvPr>
        <xdr:cNvSpPr/>
      </xdr:nvSpPr>
      <xdr:spPr>
        <a:xfrm rot="0">
          <a:off x="0" y="0"/>
          <a:ext cx="344488" cy="11430"/>
        </a:xfrm>
        <a:prstGeom prst="rect">
          <a:avLst/>
        </a:prstGeom>
        <a:solidFill>
          <a:srgbClr val="8C99AD"/>
        </a:solidFill>
        <a:ln w="9525">
          <a:noFill/>
        </a:ln>
        <a:extLst>
          <a:ext uri="{91240B29-F687-4F45-9708-019B960494DF}">
            <a14:hiddenLine xmlns:a14="http://schemas.microsoft.com/office/drawing/2010/main" w="9525">
              <a:solidFill>
                <a:srgbClr val="000000"/>
              </a:solidFill>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2</xdr:col>
      <xdr:colOff>313373</xdr:colOff>
      <xdr:row>131</xdr:row>
      <xdr:rowOff>133985</xdr:rowOff>
    </xdr:from>
    <xdr:ext cx="11430" cy="1687830"/>
    <xdr:sp macro="" textlink="">
      <xdr:nvSpPr>
        <xdr:cNvPr id="3" name="rect 3">
          <a:extLst>
            <a:ext uri="{FF2B5EF4-FFF2-40B4-BE49-F238E27FC236}">
              <a16:creationId xmlns:a16="http://schemas.microsoft.com/office/drawing/2014/main" id="{00000000-0008-0000-0800-000003000000}"/>
            </a:ext>
          </a:extLst>
        </xdr:cNvPr>
        <xdr:cNvSpPr/>
      </xdr:nvSpPr>
      <xdr:spPr>
        <a:xfrm rot="0">
          <a:off x="0" y="0"/>
          <a:ext cx="11430" cy="1687830"/>
        </a:xfrm>
        <a:prstGeom prst="rect">
          <a:avLst/>
        </a:prstGeom>
        <a:solidFill>
          <a:srgbClr val="8C99AD"/>
        </a:solidFill>
        <a:ln w="9525">
          <a:noFill/>
        </a:ln>
        <a:extLst>
          <a:ext uri="{91240B29-F687-4F45-9708-019B960494DF}">
            <a14:hiddenLine xmlns:a14="http://schemas.microsoft.com/office/drawing/2010/main" w="9525">
              <a:solidFill>
                <a:srgbClr val="000000"/>
              </a:solidFill>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2</xdr:col>
      <xdr:colOff>319088</xdr:colOff>
      <xdr:row>131</xdr:row>
      <xdr:rowOff>133985</xdr:rowOff>
    </xdr:from>
    <xdr:ext cx="344488" cy="11430"/>
    <xdr:sp macro="" textlink="">
      <xdr:nvSpPr>
        <xdr:cNvPr id="4" name="rect 4">
          <a:extLst>
            <a:ext uri="{FF2B5EF4-FFF2-40B4-BE49-F238E27FC236}">
              <a16:creationId xmlns:a16="http://schemas.microsoft.com/office/drawing/2014/main" id="{00000000-0008-0000-0800-000004000000}"/>
            </a:ext>
          </a:extLst>
        </xdr:cNvPr>
        <xdr:cNvSpPr/>
      </xdr:nvSpPr>
      <xdr:spPr>
        <a:xfrm rot="0">
          <a:off x="0" y="0"/>
          <a:ext cx="344488" cy="11430"/>
        </a:xfrm>
        <a:prstGeom prst="rect">
          <a:avLst/>
        </a:prstGeom>
        <a:solidFill>
          <a:srgbClr val="8C99AD"/>
        </a:solidFill>
        <a:ln w="9525">
          <a:noFill/>
        </a:ln>
        <a:extLst>
          <a:ext uri="{91240B29-F687-4F45-9708-019B960494DF}">
            <a14:hiddenLine xmlns:a14="http://schemas.microsoft.com/office/drawing/2010/main" w="9525">
              <a:solidFill>
                <a:srgbClr val="000000"/>
              </a:solidFill>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2</xdr:col>
      <xdr:colOff>319088</xdr:colOff>
      <xdr:row>134</xdr:row>
      <xdr:rowOff>133985</xdr:rowOff>
    </xdr:from>
    <xdr:ext cx="344488" cy="11430"/>
    <xdr:sp macro="" textlink="">
      <xdr:nvSpPr>
        <xdr:cNvPr id="5" name="rect 5">
          <a:extLst>
            <a:ext uri="{FF2B5EF4-FFF2-40B4-BE49-F238E27FC236}">
              <a16:creationId xmlns:a16="http://schemas.microsoft.com/office/drawing/2014/main" id="{00000000-0008-0000-0800-000005000000}"/>
            </a:ext>
          </a:extLst>
        </xdr:cNvPr>
        <xdr:cNvSpPr/>
      </xdr:nvSpPr>
      <xdr:spPr>
        <a:xfrm rot="0">
          <a:off x="0" y="0"/>
          <a:ext cx="344488" cy="11430"/>
        </a:xfrm>
        <a:prstGeom prst="rect">
          <a:avLst/>
        </a:prstGeom>
        <a:solidFill>
          <a:srgbClr val="8C99AD"/>
        </a:solidFill>
        <a:ln w="9525">
          <a:noFill/>
        </a:ln>
        <a:extLst>
          <a:ext uri="{91240B29-F687-4F45-9708-019B960494DF}">
            <a14:hiddenLine xmlns:a14="http://schemas.microsoft.com/office/drawing/2010/main" w="9525">
              <a:solidFill>
                <a:srgbClr val="000000"/>
              </a:solidFill>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2</xdr:col>
      <xdr:colOff>319088</xdr:colOff>
      <xdr:row>137</xdr:row>
      <xdr:rowOff>133985</xdr:rowOff>
    </xdr:from>
    <xdr:ext cx="344488" cy="11430"/>
    <xdr:sp macro="" textlink="">
      <xdr:nvSpPr>
        <xdr:cNvPr id="6" name="rect 6">
          <a:extLst>
            <a:ext uri="{FF2B5EF4-FFF2-40B4-BE49-F238E27FC236}">
              <a16:creationId xmlns:a16="http://schemas.microsoft.com/office/drawing/2014/main" id="{00000000-0008-0000-0800-000006000000}"/>
            </a:ext>
          </a:extLst>
        </xdr:cNvPr>
        <xdr:cNvSpPr/>
      </xdr:nvSpPr>
      <xdr:spPr>
        <a:xfrm rot="0">
          <a:off x="0" y="0"/>
          <a:ext cx="344488" cy="11430"/>
        </a:xfrm>
        <a:prstGeom prst="rect">
          <a:avLst/>
        </a:prstGeom>
        <a:solidFill>
          <a:srgbClr val="8C99AD"/>
        </a:solidFill>
        <a:ln w="9525">
          <a:noFill/>
        </a:ln>
        <a:extLst>
          <a:ext uri="{91240B29-F687-4F45-9708-019B960494DF}">
            <a14:hiddenLine xmlns:a14="http://schemas.microsoft.com/office/drawing/2010/main" w="9525">
              <a:solidFill>
                <a:srgbClr val="000000"/>
              </a:solidFill>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4</xdr:col>
      <xdr:colOff>612775</xdr:colOff>
      <xdr:row>131</xdr:row>
      <xdr:rowOff>133985</xdr:rowOff>
    </xdr:from>
    <xdr:ext cx="344488" cy="11430"/>
    <xdr:sp macro="" textlink="">
      <xdr:nvSpPr>
        <xdr:cNvPr id="7" name="rect 7">
          <a:extLst>
            <a:ext uri="{FF2B5EF4-FFF2-40B4-BE49-F238E27FC236}">
              <a16:creationId xmlns:a16="http://schemas.microsoft.com/office/drawing/2014/main" id="{00000000-0008-0000-0800-000007000000}"/>
            </a:ext>
          </a:extLst>
        </xdr:cNvPr>
        <xdr:cNvSpPr/>
      </xdr:nvSpPr>
      <xdr:spPr>
        <a:xfrm rot="0">
          <a:off x="0" y="0"/>
          <a:ext cx="344488" cy="11430"/>
        </a:xfrm>
        <a:prstGeom prst="rect">
          <a:avLst/>
        </a:prstGeom>
        <a:solidFill>
          <a:srgbClr val="8C99AD"/>
        </a:solidFill>
        <a:ln w="9525">
          <a:noFill/>
        </a:ln>
        <a:extLst>
          <a:ext uri="{91240B29-F687-4F45-9708-019B960494DF}">
            <a14:hiddenLine xmlns:a14="http://schemas.microsoft.com/office/drawing/2010/main" w="9525">
              <a:solidFill>
                <a:srgbClr val="000000"/>
              </a:solidFill>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5</xdr:col>
      <xdr:colOff>313372</xdr:colOff>
      <xdr:row>130</xdr:row>
      <xdr:rowOff>133985</xdr:rowOff>
    </xdr:from>
    <xdr:ext cx="11430" cy="570230"/>
    <xdr:sp macro="" textlink="">
      <xdr:nvSpPr>
        <xdr:cNvPr id="8" name="rect 8">
          <a:extLst>
            <a:ext uri="{FF2B5EF4-FFF2-40B4-BE49-F238E27FC236}">
              <a16:creationId xmlns:a16="http://schemas.microsoft.com/office/drawing/2014/main" id="{00000000-0008-0000-0800-000008000000}"/>
            </a:ext>
          </a:extLst>
        </xdr:cNvPr>
        <xdr:cNvSpPr/>
      </xdr:nvSpPr>
      <xdr:spPr>
        <a:xfrm rot="0">
          <a:off x="0" y="0"/>
          <a:ext cx="11430" cy="570230"/>
        </a:xfrm>
        <a:prstGeom prst="rect">
          <a:avLst/>
        </a:prstGeom>
        <a:solidFill>
          <a:srgbClr val="8C99AD"/>
        </a:solidFill>
        <a:ln w="9525">
          <a:noFill/>
        </a:ln>
        <a:extLst>
          <a:ext uri="{91240B29-F687-4F45-9708-019B960494DF}">
            <a14:hiddenLine xmlns:a14="http://schemas.microsoft.com/office/drawing/2010/main" w="9525">
              <a:solidFill>
                <a:srgbClr val="000000"/>
              </a:solidFill>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5</xdr:col>
      <xdr:colOff>319088</xdr:colOff>
      <xdr:row>130</xdr:row>
      <xdr:rowOff>133985</xdr:rowOff>
    </xdr:from>
    <xdr:ext cx="344488" cy="11430"/>
    <xdr:sp macro="" textlink="">
      <xdr:nvSpPr>
        <xdr:cNvPr id="9" name="rect 9">
          <a:extLst>
            <a:ext uri="{FF2B5EF4-FFF2-40B4-BE49-F238E27FC236}">
              <a16:creationId xmlns:a16="http://schemas.microsoft.com/office/drawing/2014/main" id="{00000000-0008-0000-0800-000009000000}"/>
            </a:ext>
          </a:extLst>
        </xdr:cNvPr>
        <xdr:cNvSpPr/>
      </xdr:nvSpPr>
      <xdr:spPr>
        <a:xfrm rot="0">
          <a:off x="0" y="0"/>
          <a:ext cx="344488" cy="11430"/>
        </a:xfrm>
        <a:prstGeom prst="rect">
          <a:avLst/>
        </a:prstGeom>
        <a:solidFill>
          <a:srgbClr val="8C99AD"/>
        </a:solidFill>
        <a:ln w="9525">
          <a:noFill/>
        </a:ln>
        <a:extLst>
          <a:ext uri="{91240B29-F687-4F45-9708-019B960494DF}">
            <a14:hiddenLine xmlns:a14="http://schemas.microsoft.com/office/drawing/2010/main" w="9525">
              <a:solidFill>
                <a:srgbClr val="000000"/>
              </a:solidFill>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5</xdr:col>
      <xdr:colOff>319088</xdr:colOff>
      <xdr:row>131</xdr:row>
      <xdr:rowOff>133985</xdr:rowOff>
    </xdr:from>
    <xdr:ext cx="344488" cy="11430"/>
    <xdr:sp macro="" textlink="">
      <xdr:nvSpPr>
        <xdr:cNvPr id="10" name="rect 10">
          <a:extLst>
            <a:ext uri="{FF2B5EF4-FFF2-40B4-BE49-F238E27FC236}">
              <a16:creationId xmlns:a16="http://schemas.microsoft.com/office/drawing/2014/main" id="{00000000-0008-0000-0800-00000A000000}"/>
            </a:ext>
          </a:extLst>
        </xdr:cNvPr>
        <xdr:cNvSpPr/>
      </xdr:nvSpPr>
      <xdr:spPr>
        <a:xfrm rot="0">
          <a:off x="0" y="0"/>
          <a:ext cx="344488" cy="11430"/>
        </a:xfrm>
        <a:prstGeom prst="rect">
          <a:avLst/>
        </a:prstGeom>
        <a:solidFill>
          <a:srgbClr val="8C99AD"/>
        </a:solidFill>
        <a:ln w="9525">
          <a:noFill/>
        </a:ln>
        <a:extLst>
          <a:ext uri="{91240B29-F687-4F45-9708-019B960494DF}">
            <a14:hiddenLine xmlns:a14="http://schemas.microsoft.com/office/drawing/2010/main" w="9525">
              <a:solidFill>
                <a:srgbClr val="000000"/>
              </a:solidFill>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5</xdr:col>
      <xdr:colOff>319088</xdr:colOff>
      <xdr:row>132</xdr:row>
      <xdr:rowOff>133985</xdr:rowOff>
    </xdr:from>
    <xdr:ext cx="344488" cy="11430"/>
    <xdr:sp macro="" textlink="">
      <xdr:nvSpPr>
        <xdr:cNvPr id="11" name="rect 11">
          <a:extLst>
            <a:ext uri="{FF2B5EF4-FFF2-40B4-BE49-F238E27FC236}">
              <a16:creationId xmlns:a16="http://schemas.microsoft.com/office/drawing/2014/main" id="{00000000-0008-0000-0800-00000B000000}"/>
            </a:ext>
          </a:extLst>
        </xdr:cNvPr>
        <xdr:cNvSpPr/>
      </xdr:nvSpPr>
      <xdr:spPr>
        <a:xfrm rot="0">
          <a:off x="0" y="0"/>
          <a:ext cx="344488" cy="11430"/>
        </a:xfrm>
        <a:prstGeom prst="rect">
          <a:avLst/>
        </a:prstGeom>
        <a:solidFill>
          <a:srgbClr val="8C99AD"/>
        </a:solidFill>
        <a:ln w="9525">
          <a:noFill/>
        </a:ln>
        <a:extLst>
          <a:ext uri="{91240B29-F687-4F45-9708-019B960494DF}">
            <a14:hiddenLine xmlns:a14="http://schemas.microsoft.com/office/drawing/2010/main" w="9525">
              <a:solidFill>
                <a:srgbClr val="000000"/>
              </a:solidFill>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4</xdr:col>
      <xdr:colOff>612775</xdr:colOff>
      <xdr:row>134</xdr:row>
      <xdr:rowOff>133985</xdr:rowOff>
    </xdr:from>
    <xdr:ext cx="344488" cy="11430"/>
    <xdr:sp macro="" textlink="">
      <xdr:nvSpPr>
        <xdr:cNvPr id="12" name="rect 12">
          <a:extLst>
            <a:ext uri="{FF2B5EF4-FFF2-40B4-BE49-F238E27FC236}">
              <a16:creationId xmlns:a16="http://schemas.microsoft.com/office/drawing/2014/main" id="{00000000-0008-0000-0800-00000C000000}"/>
            </a:ext>
          </a:extLst>
        </xdr:cNvPr>
        <xdr:cNvSpPr/>
      </xdr:nvSpPr>
      <xdr:spPr>
        <a:xfrm rot="0">
          <a:off x="0" y="0"/>
          <a:ext cx="344488" cy="11430"/>
        </a:xfrm>
        <a:prstGeom prst="rect">
          <a:avLst/>
        </a:prstGeom>
        <a:solidFill>
          <a:srgbClr val="8C99AD"/>
        </a:solidFill>
        <a:ln w="9525">
          <a:noFill/>
        </a:ln>
        <a:extLst>
          <a:ext uri="{91240B29-F687-4F45-9708-019B960494DF}">
            <a14:hiddenLine xmlns:a14="http://schemas.microsoft.com/office/drawing/2010/main" w="9525">
              <a:solidFill>
                <a:srgbClr val="000000"/>
              </a:solidFill>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5</xdr:col>
      <xdr:colOff>313372</xdr:colOff>
      <xdr:row>133</xdr:row>
      <xdr:rowOff>133985</xdr:rowOff>
    </xdr:from>
    <xdr:ext cx="11430" cy="570230"/>
    <xdr:sp macro="" textlink="">
      <xdr:nvSpPr>
        <xdr:cNvPr id="13" name="rect 13">
          <a:extLst>
            <a:ext uri="{FF2B5EF4-FFF2-40B4-BE49-F238E27FC236}">
              <a16:creationId xmlns:a16="http://schemas.microsoft.com/office/drawing/2014/main" id="{00000000-0008-0000-0800-00000D000000}"/>
            </a:ext>
          </a:extLst>
        </xdr:cNvPr>
        <xdr:cNvSpPr/>
      </xdr:nvSpPr>
      <xdr:spPr>
        <a:xfrm rot="0">
          <a:off x="0" y="0"/>
          <a:ext cx="11430" cy="570230"/>
        </a:xfrm>
        <a:prstGeom prst="rect">
          <a:avLst/>
        </a:prstGeom>
        <a:solidFill>
          <a:srgbClr val="8C99AD"/>
        </a:solidFill>
        <a:ln w="9525">
          <a:noFill/>
        </a:ln>
        <a:extLst>
          <a:ext uri="{91240B29-F687-4F45-9708-019B960494DF}">
            <a14:hiddenLine xmlns:a14="http://schemas.microsoft.com/office/drawing/2010/main" w="9525">
              <a:solidFill>
                <a:srgbClr val="000000"/>
              </a:solidFill>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5</xdr:col>
      <xdr:colOff>319088</xdr:colOff>
      <xdr:row>133</xdr:row>
      <xdr:rowOff>133985</xdr:rowOff>
    </xdr:from>
    <xdr:ext cx="344488" cy="11430"/>
    <xdr:sp macro="" textlink="">
      <xdr:nvSpPr>
        <xdr:cNvPr id="14" name="rect 14">
          <a:extLst>
            <a:ext uri="{FF2B5EF4-FFF2-40B4-BE49-F238E27FC236}">
              <a16:creationId xmlns:a16="http://schemas.microsoft.com/office/drawing/2014/main" id="{00000000-0008-0000-0800-00000E000000}"/>
            </a:ext>
          </a:extLst>
        </xdr:cNvPr>
        <xdr:cNvSpPr/>
      </xdr:nvSpPr>
      <xdr:spPr>
        <a:xfrm rot="0">
          <a:off x="0" y="0"/>
          <a:ext cx="344488" cy="11430"/>
        </a:xfrm>
        <a:prstGeom prst="rect">
          <a:avLst/>
        </a:prstGeom>
        <a:solidFill>
          <a:srgbClr val="8C99AD"/>
        </a:solidFill>
        <a:ln w="9525">
          <a:noFill/>
        </a:ln>
        <a:extLst>
          <a:ext uri="{91240B29-F687-4F45-9708-019B960494DF}">
            <a14:hiddenLine xmlns:a14="http://schemas.microsoft.com/office/drawing/2010/main" w="9525">
              <a:solidFill>
                <a:srgbClr val="000000"/>
              </a:solidFill>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5</xdr:col>
      <xdr:colOff>319088</xdr:colOff>
      <xdr:row>134</xdr:row>
      <xdr:rowOff>133985</xdr:rowOff>
    </xdr:from>
    <xdr:ext cx="344488" cy="11430"/>
    <xdr:sp macro="" textlink="">
      <xdr:nvSpPr>
        <xdr:cNvPr id="15" name="rect 15">
          <a:extLst>
            <a:ext uri="{FF2B5EF4-FFF2-40B4-BE49-F238E27FC236}">
              <a16:creationId xmlns:a16="http://schemas.microsoft.com/office/drawing/2014/main" id="{00000000-0008-0000-0800-00000F000000}"/>
            </a:ext>
          </a:extLst>
        </xdr:cNvPr>
        <xdr:cNvSpPr/>
      </xdr:nvSpPr>
      <xdr:spPr>
        <a:xfrm rot="0">
          <a:off x="0" y="0"/>
          <a:ext cx="344488" cy="11430"/>
        </a:xfrm>
        <a:prstGeom prst="rect">
          <a:avLst/>
        </a:prstGeom>
        <a:solidFill>
          <a:srgbClr val="8C99AD"/>
        </a:solidFill>
        <a:ln w="9525">
          <a:noFill/>
        </a:ln>
        <a:extLst>
          <a:ext uri="{91240B29-F687-4F45-9708-019B960494DF}">
            <a14:hiddenLine xmlns:a14="http://schemas.microsoft.com/office/drawing/2010/main" w="9525">
              <a:solidFill>
                <a:srgbClr val="000000"/>
              </a:solidFill>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5</xdr:col>
      <xdr:colOff>319088</xdr:colOff>
      <xdr:row>135</xdr:row>
      <xdr:rowOff>133985</xdr:rowOff>
    </xdr:from>
    <xdr:ext cx="344488" cy="11430"/>
    <xdr:sp macro="" textlink="">
      <xdr:nvSpPr>
        <xdr:cNvPr id="16" name="rect 16">
          <a:extLst>
            <a:ext uri="{FF2B5EF4-FFF2-40B4-BE49-F238E27FC236}">
              <a16:creationId xmlns:a16="http://schemas.microsoft.com/office/drawing/2014/main" id="{00000000-0008-0000-0800-000010000000}"/>
            </a:ext>
          </a:extLst>
        </xdr:cNvPr>
        <xdr:cNvSpPr/>
      </xdr:nvSpPr>
      <xdr:spPr>
        <a:xfrm rot="0">
          <a:off x="0" y="0"/>
          <a:ext cx="344488" cy="11430"/>
        </a:xfrm>
        <a:prstGeom prst="rect">
          <a:avLst/>
        </a:prstGeom>
        <a:solidFill>
          <a:srgbClr val="8C99AD"/>
        </a:solidFill>
        <a:ln w="9525">
          <a:noFill/>
        </a:ln>
        <a:extLst>
          <a:ext uri="{91240B29-F687-4F45-9708-019B960494DF}">
            <a14:hiddenLine xmlns:a14="http://schemas.microsoft.com/office/drawing/2010/main" w="9525">
              <a:solidFill>
                <a:srgbClr val="000000"/>
              </a:solidFill>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4</xdr:col>
      <xdr:colOff>612775</xdr:colOff>
      <xdr:row>137</xdr:row>
      <xdr:rowOff>133985</xdr:rowOff>
    </xdr:from>
    <xdr:ext cx="344488" cy="11430"/>
    <xdr:sp macro="" textlink="">
      <xdr:nvSpPr>
        <xdr:cNvPr id="17" name="rect 17">
          <a:extLst>
            <a:ext uri="{FF2B5EF4-FFF2-40B4-BE49-F238E27FC236}">
              <a16:creationId xmlns:a16="http://schemas.microsoft.com/office/drawing/2014/main" id="{00000000-0008-0000-0800-000011000000}"/>
            </a:ext>
          </a:extLst>
        </xdr:cNvPr>
        <xdr:cNvSpPr/>
      </xdr:nvSpPr>
      <xdr:spPr>
        <a:xfrm rot="0">
          <a:off x="0" y="0"/>
          <a:ext cx="344488" cy="11430"/>
        </a:xfrm>
        <a:prstGeom prst="rect">
          <a:avLst/>
        </a:prstGeom>
        <a:solidFill>
          <a:srgbClr val="8C99AD"/>
        </a:solidFill>
        <a:ln w="9525">
          <a:noFill/>
        </a:ln>
        <a:extLst>
          <a:ext uri="{91240B29-F687-4F45-9708-019B960494DF}">
            <a14:hiddenLine xmlns:a14="http://schemas.microsoft.com/office/drawing/2010/main" w="9525">
              <a:solidFill>
                <a:srgbClr val="000000"/>
              </a:solidFill>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5</xdr:col>
      <xdr:colOff>313372</xdr:colOff>
      <xdr:row>136</xdr:row>
      <xdr:rowOff>133985</xdr:rowOff>
    </xdr:from>
    <xdr:ext cx="11430" cy="570230"/>
    <xdr:sp macro="" textlink="">
      <xdr:nvSpPr>
        <xdr:cNvPr id="18" name="rect 18">
          <a:extLst>
            <a:ext uri="{FF2B5EF4-FFF2-40B4-BE49-F238E27FC236}">
              <a16:creationId xmlns:a16="http://schemas.microsoft.com/office/drawing/2014/main" id="{00000000-0008-0000-0800-000012000000}"/>
            </a:ext>
          </a:extLst>
        </xdr:cNvPr>
        <xdr:cNvSpPr/>
      </xdr:nvSpPr>
      <xdr:spPr>
        <a:xfrm rot="0">
          <a:off x="0" y="0"/>
          <a:ext cx="11430" cy="570230"/>
        </a:xfrm>
        <a:prstGeom prst="rect">
          <a:avLst/>
        </a:prstGeom>
        <a:solidFill>
          <a:srgbClr val="8C99AD"/>
        </a:solidFill>
        <a:ln w="9525">
          <a:noFill/>
        </a:ln>
        <a:extLst>
          <a:ext uri="{91240B29-F687-4F45-9708-019B960494DF}">
            <a14:hiddenLine xmlns:a14="http://schemas.microsoft.com/office/drawing/2010/main" w="9525">
              <a:solidFill>
                <a:srgbClr val="000000"/>
              </a:solidFill>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5</xdr:col>
      <xdr:colOff>319088</xdr:colOff>
      <xdr:row>136</xdr:row>
      <xdr:rowOff>133985</xdr:rowOff>
    </xdr:from>
    <xdr:ext cx="344488" cy="11430"/>
    <xdr:sp macro="" textlink="">
      <xdr:nvSpPr>
        <xdr:cNvPr id="19" name="rect 19">
          <a:extLst>
            <a:ext uri="{FF2B5EF4-FFF2-40B4-BE49-F238E27FC236}">
              <a16:creationId xmlns:a16="http://schemas.microsoft.com/office/drawing/2014/main" id="{00000000-0008-0000-0800-000013000000}"/>
            </a:ext>
          </a:extLst>
        </xdr:cNvPr>
        <xdr:cNvSpPr/>
      </xdr:nvSpPr>
      <xdr:spPr>
        <a:xfrm rot="0">
          <a:off x="0" y="0"/>
          <a:ext cx="344488" cy="11430"/>
        </a:xfrm>
        <a:prstGeom prst="rect">
          <a:avLst/>
        </a:prstGeom>
        <a:solidFill>
          <a:srgbClr val="8C99AD"/>
        </a:solidFill>
        <a:ln w="9525">
          <a:noFill/>
        </a:ln>
        <a:extLst>
          <a:ext uri="{91240B29-F687-4F45-9708-019B960494DF}">
            <a14:hiddenLine xmlns:a14="http://schemas.microsoft.com/office/drawing/2010/main" w="9525">
              <a:solidFill>
                <a:srgbClr val="000000"/>
              </a:solidFill>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5</xdr:col>
      <xdr:colOff>319088</xdr:colOff>
      <xdr:row>137</xdr:row>
      <xdr:rowOff>133985</xdr:rowOff>
    </xdr:from>
    <xdr:ext cx="344488" cy="11430"/>
    <xdr:sp macro="" textlink="">
      <xdr:nvSpPr>
        <xdr:cNvPr id="20" name="rect 20">
          <a:extLst>
            <a:ext uri="{FF2B5EF4-FFF2-40B4-BE49-F238E27FC236}">
              <a16:creationId xmlns:a16="http://schemas.microsoft.com/office/drawing/2014/main" id="{00000000-0008-0000-0800-000014000000}"/>
            </a:ext>
          </a:extLst>
        </xdr:cNvPr>
        <xdr:cNvSpPr/>
      </xdr:nvSpPr>
      <xdr:spPr>
        <a:xfrm rot="0">
          <a:off x="0" y="0"/>
          <a:ext cx="344488" cy="11430"/>
        </a:xfrm>
        <a:prstGeom prst="rect">
          <a:avLst/>
        </a:prstGeom>
        <a:solidFill>
          <a:srgbClr val="8C99AD"/>
        </a:solidFill>
        <a:ln w="9525">
          <a:noFill/>
        </a:ln>
        <a:extLst>
          <a:ext uri="{91240B29-F687-4F45-9708-019B960494DF}">
            <a14:hiddenLine xmlns:a14="http://schemas.microsoft.com/office/drawing/2010/main" w="9525">
              <a:solidFill>
                <a:srgbClr val="000000"/>
              </a:solidFill>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5</xdr:col>
      <xdr:colOff>319088</xdr:colOff>
      <xdr:row>138</xdr:row>
      <xdr:rowOff>133985</xdr:rowOff>
    </xdr:from>
    <xdr:ext cx="344488" cy="11430"/>
    <xdr:sp macro="" textlink="">
      <xdr:nvSpPr>
        <xdr:cNvPr id="21" name="rect 21">
          <a:extLst>
            <a:ext uri="{FF2B5EF4-FFF2-40B4-BE49-F238E27FC236}">
              <a16:creationId xmlns:a16="http://schemas.microsoft.com/office/drawing/2014/main" id="{00000000-0008-0000-0800-000015000000}"/>
            </a:ext>
          </a:extLst>
        </xdr:cNvPr>
        <xdr:cNvSpPr/>
      </xdr:nvSpPr>
      <xdr:spPr>
        <a:xfrm rot="0">
          <a:off x="0" y="0"/>
          <a:ext cx="344488" cy="11430"/>
        </a:xfrm>
        <a:prstGeom prst="rect">
          <a:avLst/>
        </a:prstGeom>
        <a:solidFill>
          <a:srgbClr val="8C99AD"/>
        </a:solidFill>
        <a:ln w="9525">
          <a:noFill/>
        </a:ln>
        <a:extLst>
          <a:ext uri="{91240B29-F687-4F45-9708-019B960494DF}">
            <a14:hiddenLine xmlns:a14="http://schemas.microsoft.com/office/drawing/2010/main" w="9525">
              <a:solidFill>
                <a:srgbClr val="000000"/>
              </a:solidFill>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1</xdr:col>
      <xdr:colOff>38100</xdr:colOff>
      <xdr:row>133</xdr:row>
      <xdr:rowOff>241300</xdr:rowOff>
    </xdr:from>
    <xdr:ext cx="714375" cy="355600"/>
    <xdr:sp macro="" textlink="">
      <xdr:nvSpPr>
        <xdr:cNvPr id="22" name="tree_decision">
          <a:extLst>
            <a:ext uri="{FF2B5EF4-FFF2-40B4-BE49-F238E27FC236}">
              <a16:creationId xmlns:a16="http://schemas.microsoft.com/office/drawing/2014/main" id="{00000000-0008-0000-0800-000016000000}"/>
            </a:ext>
          </a:extLst>
        </xdr:cNvPr>
        <xdr:cNvSpPr/>
      </xdr:nvSpPr>
      <xdr:spPr>
        <a:xfrm rot="0">
          <a:off x="0" y="0"/>
          <a:ext cx="714375" cy="355600"/>
        </a:xfrm>
        <a:prstGeom prst="rect">
          <a:avLst/>
        </a:prstGeom>
        <a:noFill/>
        <a:ln w="15875">
          <a:solidFill>
            <a:srgbClr val="20386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3</xdr:col>
      <xdr:colOff>12700</xdr:colOff>
      <xdr:row>130</xdr:row>
      <xdr:rowOff>241300</xdr:rowOff>
    </xdr:from>
    <xdr:ext cx="1250950" cy="355600"/>
    <xdr:sp macro="" textlink="">
      <xdr:nvSpPr>
        <xdr:cNvPr id="23" name="tree_route_1">
          <a:extLst>
            <a:ext uri="{FF2B5EF4-FFF2-40B4-BE49-F238E27FC236}">
              <a16:creationId xmlns:a16="http://schemas.microsoft.com/office/drawing/2014/main" id="{00000000-0008-0000-0800-000017000000}"/>
            </a:ext>
          </a:extLst>
        </xdr:cNvPr>
        <xdr:cNvSpPr/>
      </xdr:nvSpPr>
      <xdr:spPr>
        <a:xfrm rot="0">
          <a:off x="0" y="0"/>
          <a:ext cx="1250950" cy="355600"/>
        </a:xfrm>
        <a:prstGeom prst="ellipse">
          <a:avLst/>
        </a:prstGeom>
        <a:noFill/>
        <a:ln w="12700">
          <a:solidFill>
            <a:srgbClr val="3E5A8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3</xdr:col>
      <xdr:colOff>12700</xdr:colOff>
      <xdr:row>133</xdr:row>
      <xdr:rowOff>241300</xdr:rowOff>
    </xdr:from>
    <xdr:ext cx="1250950" cy="355600"/>
    <xdr:sp macro="" textlink="">
      <xdr:nvSpPr>
        <xdr:cNvPr id="24" name="tree_route_2">
          <a:extLst>
            <a:ext uri="{FF2B5EF4-FFF2-40B4-BE49-F238E27FC236}">
              <a16:creationId xmlns:a16="http://schemas.microsoft.com/office/drawing/2014/main" id="{00000000-0008-0000-0800-000018000000}"/>
            </a:ext>
          </a:extLst>
        </xdr:cNvPr>
        <xdr:cNvSpPr/>
      </xdr:nvSpPr>
      <xdr:spPr>
        <a:xfrm rot="0">
          <a:off x="0" y="0"/>
          <a:ext cx="1250950" cy="355600"/>
        </a:xfrm>
        <a:prstGeom prst="ellipse">
          <a:avLst/>
        </a:prstGeom>
        <a:noFill/>
        <a:ln w="12700">
          <a:solidFill>
            <a:srgbClr val="3E5A8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3</xdr:col>
      <xdr:colOff>12700</xdr:colOff>
      <xdr:row>136</xdr:row>
      <xdr:rowOff>241300</xdr:rowOff>
    </xdr:from>
    <xdr:ext cx="1250950" cy="355600"/>
    <xdr:sp macro="" textlink="">
      <xdr:nvSpPr>
        <xdr:cNvPr id="25" name="tree_route_3">
          <a:extLst>
            <a:ext uri="{FF2B5EF4-FFF2-40B4-BE49-F238E27FC236}">
              <a16:creationId xmlns:a16="http://schemas.microsoft.com/office/drawing/2014/main" id="{00000000-0008-0000-0800-000019000000}"/>
            </a:ext>
          </a:extLst>
        </xdr:cNvPr>
        <xdr:cNvSpPr/>
      </xdr:nvSpPr>
      <xdr:spPr>
        <a:xfrm rot="0">
          <a:off x="0" y="0"/>
          <a:ext cx="1250950" cy="355600"/>
        </a:xfrm>
        <a:prstGeom prst="ellipse">
          <a:avLst/>
        </a:prstGeom>
        <a:noFill/>
        <a:ln w="12700">
          <a:solidFill>
            <a:srgbClr val="3E5A8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6</xdr:col>
      <xdr:colOff>38100</xdr:colOff>
      <xdr:row>130</xdr:row>
      <xdr:rowOff>25400</xdr:rowOff>
    </xdr:from>
    <xdr:ext cx="1200150" cy="228600"/>
    <xdr:sp macro="" textlink="">
      <xdr:nvSpPr>
        <xdr:cNvPr id="26" name="tree_leaf_1">
          <a:extLst>
            <a:ext uri="{FF2B5EF4-FFF2-40B4-BE49-F238E27FC236}">
              <a16:creationId xmlns:a16="http://schemas.microsoft.com/office/drawing/2014/main" id="{00000000-0008-0000-0800-00001A000000}"/>
            </a:ext>
          </a:extLst>
        </xdr:cNvPr>
        <xdr:cNvSpPr/>
      </xdr:nvSpPr>
      <xdr:spPr>
        <a:xfrm rot="0">
          <a:off x="0" y="0"/>
          <a:ext cx="1200150" cy="228600"/>
        </a:xfrm>
        <a:prstGeom prst="roundRect">
          <a:avLst/>
        </a:prstGeom>
        <a:noFill/>
        <a:ln w="9525">
          <a:solidFill>
            <a:srgbClr val="5B70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6</xdr:col>
      <xdr:colOff>38100</xdr:colOff>
      <xdr:row>131</xdr:row>
      <xdr:rowOff>25400</xdr:rowOff>
    </xdr:from>
    <xdr:ext cx="1200150" cy="228600"/>
    <xdr:sp macro="" textlink="">
      <xdr:nvSpPr>
        <xdr:cNvPr id="27" name="tree_leaf_2">
          <a:extLst>
            <a:ext uri="{FF2B5EF4-FFF2-40B4-BE49-F238E27FC236}">
              <a16:creationId xmlns:a16="http://schemas.microsoft.com/office/drawing/2014/main" id="{00000000-0008-0000-0800-00001B000000}"/>
            </a:ext>
          </a:extLst>
        </xdr:cNvPr>
        <xdr:cNvSpPr/>
      </xdr:nvSpPr>
      <xdr:spPr>
        <a:xfrm rot="0">
          <a:off x="0" y="0"/>
          <a:ext cx="1200150" cy="228600"/>
        </a:xfrm>
        <a:prstGeom prst="roundRect">
          <a:avLst/>
        </a:prstGeom>
        <a:noFill/>
        <a:ln w="9525">
          <a:solidFill>
            <a:srgbClr val="5B70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6</xdr:col>
      <xdr:colOff>38100</xdr:colOff>
      <xdr:row>132</xdr:row>
      <xdr:rowOff>25400</xdr:rowOff>
    </xdr:from>
    <xdr:ext cx="1200150" cy="228600"/>
    <xdr:sp macro="" textlink="">
      <xdr:nvSpPr>
        <xdr:cNvPr id="28" name="tree_leaf_3">
          <a:extLst>
            <a:ext uri="{FF2B5EF4-FFF2-40B4-BE49-F238E27FC236}">
              <a16:creationId xmlns:a16="http://schemas.microsoft.com/office/drawing/2014/main" id="{00000000-0008-0000-0800-00001C000000}"/>
            </a:ext>
          </a:extLst>
        </xdr:cNvPr>
        <xdr:cNvSpPr/>
      </xdr:nvSpPr>
      <xdr:spPr>
        <a:xfrm rot="0">
          <a:off x="0" y="0"/>
          <a:ext cx="1200150" cy="228600"/>
        </a:xfrm>
        <a:prstGeom prst="roundRect">
          <a:avLst/>
        </a:prstGeom>
        <a:noFill/>
        <a:ln w="9525">
          <a:solidFill>
            <a:srgbClr val="5B70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6</xdr:col>
      <xdr:colOff>38100</xdr:colOff>
      <xdr:row>133</xdr:row>
      <xdr:rowOff>25400</xdr:rowOff>
    </xdr:from>
    <xdr:ext cx="1200150" cy="228600"/>
    <xdr:sp macro="" textlink="">
      <xdr:nvSpPr>
        <xdr:cNvPr id="29" name="tree_leaf_4">
          <a:extLst>
            <a:ext uri="{FF2B5EF4-FFF2-40B4-BE49-F238E27FC236}">
              <a16:creationId xmlns:a16="http://schemas.microsoft.com/office/drawing/2014/main" id="{00000000-0008-0000-0800-00001D000000}"/>
            </a:ext>
          </a:extLst>
        </xdr:cNvPr>
        <xdr:cNvSpPr/>
      </xdr:nvSpPr>
      <xdr:spPr>
        <a:xfrm rot="0">
          <a:off x="0" y="0"/>
          <a:ext cx="1200150" cy="228600"/>
        </a:xfrm>
        <a:prstGeom prst="roundRect">
          <a:avLst/>
        </a:prstGeom>
        <a:noFill/>
        <a:ln w="9525">
          <a:solidFill>
            <a:srgbClr val="5B70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6</xdr:col>
      <xdr:colOff>38100</xdr:colOff>
      <xdr:row>134</xdr:row>
      <xdr:rowOff>25400</xdr:rowOff>
    </xdr:from>
    <xdr:ext cx="1200150" cy="228600"/>
    <xdr:sp macro="" textlink="">
      <xdr:nvSpPr>
        <xdr:cNvPr id="30" name="tree_leaf_5">
          <a:extLst>
            <a:ext uri="{FF2B5EF4-FFF2-40B4-BE49-F238E27FC236}">
              <a16:creationId xmlns:a16="http://schemas.microsoft.com/office/drawing/2014/main" id="{00000000-0008-0000-0800-00001E000000}"/>
            </a:ext>
          </a:extLst>
        </xdr:cNvPr>
        <xdr:cNvSpPr/>
      </xdr:nvSpPr>
      <xdr:spPr>
        <a:xfrm rot="0">
          <a:off x="0" y="0"/>
          <a:ext cx="1200150" cy="228600"/>
        </a:xfrm>
        <a:prstGeom prst="roundRect">
          <a:avLst/>
        </a:prstGeom>
        <a:noFill/>
        <a:ln w="9525">
          <a:solidFill>
            <a:srgbClr val="5B70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6</xdr:col>
      <xdr:colOff>38100</xdr:colOff>
      <xdr:row>135</xdr:row>
      <xdr:rowOff>25400</xdr:rowOff>
    </xdr:from>
    <xdr:ext cx="1200150" cy="228600"/>
    <xdr:sp macro="" textlink="">
      <xdr:nvSpPr>
        <xdr:cNvPr id="31" name="tree_leaf_6">
          <a:extLst>
            <a:ext uri="{FF2B5EF4-FFF2-40B4-BE49-F238E27FC236}">
              <a16:creationId xmlns:a16="http://schemas.microsoft.com/office/drawing/2014/main" id="{00000000-0008-0000-0800-00001F000000}"/>
            </a:ext>
          </a:extLst>
        </xdr:cNvPr>
        <xdr:cNvSpPr/>
      </xdr:nvSpPr>
      <xdr:spPr>
        <a:xfrm rot="0">
          <a:off x="0" y="0"/>
          <a:ext cx="1200150" cy="228600"/>
        </a:xfrm>
        <a:prstGeom prst="roundRect">
          <a:avLst/>
        </a:prstGeom>
        <a:noFill/>
        <a:ln w="9525">
          <a:solidFill>
            <a:srgbClr val="5B70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6</xdr:col>
      <xdr:colOff>38100</xdr:colOff>
      <xdr:row>136</xdr:row>
      <xdr:rowOff>25400</xdr:rowOff>
    </xdr:from>
    <xdr:ext cx="1200150" cy="228600"/>
    <xdr:sp macro="" textlink="">
      <xdr:nvSpPr>
        <xdr:cNvPr id="32" name="tree_leaf_7">
          <a:extLst>
            <a:ext uri="{FF2B5EF4-FFF2-40B4-BE49-F238E27FC236}">
              <a16:creationId xmlns:a16="http://schemas.microsoft.com/office/drawing/2014/main" id="{00000000-0008-0000-0800-000020000000}"/>
            </a:ext>
          </a:extLst>
        </xdr:cNvPr>
        <xdr:cNvSpPr/>
      </xdr:nvSpPr>
      <xdr:spPr>
        <a:xfrm rot="0">
          <a:off x="0" y="0"/>
          <a:ext cx="1200150" cy="228600"/>
        </a:xfrm>
        <a:prstGeom prst="roundRect">
          <a:avLst/>
        </a:prstGeom>
        <a:noFill/>
        <a:ln w="9525">
          <a:solidFill>
            <a:srgbClr val="5B70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6</xdr:col>
      <xdr:colOff>38100</xdr:colOff>
      <xdr:row>137</xdr:row>
      <xdr:rowOff>25400</xdr:rowOff>
    </xdr:from>
    <xdr:ext cx="1200150" cy="228600"/>
    <xdr:sp macro="" textlink="">
      <xdr:nvSpPr>
        <xdr:cNvPr id="33" name="tree_leaf_8">
          <a:extLst>
            <a:ext uri="{FF2B5EF4-FFF2-40B4-BE49-F238E27FC236}">
              <a16:creationId xmlns:a16="http://schemas.microsoft.com/office/drawing/2014/main" id="{00000000-0008-0000-0800-000021000000}"/>
            </a:ext>
          </a:extLst>
        </xdr:cNvPr>
        <xdr:cNvSpPr/>
      </xdr:nvSpPr>
      <xdr:spPr>
        <a:xfrm rot="0">
          <a:off x="0" y="0"/>
          <a:ext cx="1200150" cy="228600"/>
        </a:xfrm>
        <a:prstGeom prst="roundRect">
          <a:avLst/>
        </a:prstGeom>
        <a:noFill/>
        <a:ln w="9525">
          <a:solidFill>
            <a:srgbClr val="5B70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oneCellAnchor>
    <xdr:from>
      <xdr:col>6</xdr:col>
      <xdr:colOff>38100</xdr:colOff>
      <xdr:row>138</xdr:row>
      <xdr:rowOff>25400</xdr:rowOff>
    </xdr:from>
    <xdr:ext cx="1200150" cy="228600"/>
    <xdr:sp macro="" textlink="">
      <xdr:nvSpPr>
        <xdr:cNvPr id="36" name="tree_leaf_9">
          <a:extLst>
            <a:ext uri="{FF2B5EF4-FFF2-40B4-BE49-F238E27FC236}">
              <a16:creationId xmlns:a16="http://schemas.microsoft.com/office/drawing/2014/main" id="{00000000-0008-0000-0800-000024000000}"/>
            </a:ext>
          </a:extLst>
        </xdr:cNvPr>
        <xdr:cNvSpPr/>
      </xdr:nvSpPr>
      <xdr:spPr>
        <a:xfrm rot="0">
          <a:off x="0" y="0"/>
          <a:ext cx="1200150" cy="228600"/>
        </a:xfrm>
        <a:prstGeom prst="roundRect">
          <a:avLst/>
        </a:prstGeom>
        <a:noFill/>
        <a:ln w="9525">
          <a:solidFill>
            <a:srgbClr val="5B708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commentsDrawing2.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commentsDrawing5.vml"/></Relationships>
</file>

<file path=xl/worksheets/_rels/sheet6.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commentsDrawing6.vml"/></Relationships>
</file>

<file path=xl/worksheets/_rels/sheet7.xml.rels><?xml version="1.0" encoding="UTF-8" standalone="yes"?>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commentsDrawing7.v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comments" Target="../comments8.xml"/><Relationship Id="rId3" Type="http://schemas.openxmlformats.org/officeDocument/2006/relationships/vmlDrawing" Target="../drawings/commentsDrawing8.v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dimension ref="C2:Q60"/>
  <sheetViews>
    <sheetView showGridLines="0" zoomScale="61" workbookViewId="0">
      <pane ySplit="6" topLeftCell="A7" activePane="bottomLeft" state="frozen"/>
      <selection pane="bottomLeft" activeCell="A1" sqref="A1"/>
    </sheetView>
  </sheetViews>
  <sheetFormatPr defaultColWidth="8.73046875" defaultRowHeight="12.75"/>
  <cols>
    <col min="1" max="2" width="2.19921875" customWidth="1" style="3"/>
    <col min="3" max="3" width="28.53125" customWidth="1" bestFit="1" style="3"/>
    <col min="4" max="4" width="13.19921875" customWidth="1" style="3"/>
    <col min="5" max="16" width="10.9296875" customWidth="1" style="3"/>
    <col min="17" max="17" width="62.796875" customWidth="1" style="3"/>
    <col min="18" max="18" width="2.06640625" customWidth="1" style="3"/>
    <col min="19" max="117" width="8.73046875" customWidth="0" style="3"/>
  </cols>
  <sheetData>
    <row r="1" ht="12.75" customHeight="1"/>
    <row r="2" ht="12.75" customHeight="1">
      <c r="C2" t="s" s="10">
        <v>6</v>
      </c>
    </row>
    <row r="3" ht="12.75" customHeight="1">
      <c r="C3" t="s" s="12">
        <v>0</v>
      </c>
      <c r="D3" s="25">
        <v>4</v>
      </c>
    </row>
    <row r="4" ht="12.75" customHeight="1">
      <c r="C4" t="s" s="12">
        <v>1</v>
      </c>
      <c r="D4" t="str" s="2">
        <f>CHOOSE(D3,"Downside","Base","Upside","Sensitivity (idle = Base)")</f>
        <v>Sensitivity (idle = Base)</v>
      </c>
    </row>
    <row r="5" ht="12.75" customHeight="1"/>
    <row r="6" ht="12.75" customHeight="1">
      <c r="C6" t="s" s="26">
        <v>2</v>
      </c>
      <c r="D6" s="26"/>
      <c r="E6" s="285">
        <f>Model!G28</f>
        <v>46022</v>
      </c>
      <c r="F6" s="27">
        <f>EOMONTH(E6,12)</f>
        <v>46387</v>
      </c>
      <c r="G6" s="27">
        <f>EOMONTH(F6,12)</f>
        <v>46752</v>
      </c>
      <c r="H6" s="27">
        <f>EOMONTH(G6,12)</f>
        <v>47118</v>
      </c>
      <c r="I6" s="27">
        <f>EOMONTH(H6,12)</f>
        <v>47483</v>
      </c>
      <c r="J6" s="27">
        <f>EOMONTH(I6,12)</f>
        <v>47848</v>
      </c>
      <c r="K6" s="27">
        <f>EOMONTH(J6,12)</f>
        <v>48213</v>
      </c>
      <c r="L6" s="27">
        <f>EOMONTH(K6,12)</f>
        <v>48579</v>
      </c>
      <c r="M6" s="27">
        <f>EOMONTH(L6,12)</f>
        <v>48944</v>
      </c>
      <c r="N6" s="27">
        <f>EOMONTH(M6,12)</f>
        <v>49309</v>
      </c>
      <c r="O6" s="27">
        <f>EOMONTH(N6,12)</f>
        <v>49674</v>
      </c>
      <c r="P6" s="27">
        <f>EOMONTH(O6,12)</f>
        <v>50040</v>
      </c>
      <c r="Q6" t="s" s="157">
        <v>97</v>
      </c>
    </row>
    <row r="7" ht="12.75" customHeight="1"/>
    <row r="8" ht="12.75" customHeight="1">
      <c r="C8" t="s" s="30">
        <v>245</v>
      </c>
      <c r="D8" s="29"/>
      <c r="E8" s="34">
        <f>Model!G31</f>
        <v>0.131</v>
      </c>
      <c r="F8" s="159">
        <f>CHOOSE($D$3,F9,F10,F11,Sensitivity!C171)</f>
        <v>0.132</v>
      </c>
      <c r="G8" s="159">
        <f>CHOOSE($D$3,G9,G10,G11,Sensitivity!D171)</f>
        <v>0.134</v>
      </c>
      <c r="H8" s="159">
        <f>CHOOSE($D$3,H9,H10,H11,Sensitivity!E171)</f>
        <v>0.136</v>
      </c>
      <c r="I8" s="159">
        <f>CHOOSE($D$3,I9,I10,I11,Sensitivity!F171)</f>
        <v>0.138</v>
      </c>
      <c r="J8" s="159">
        <f>CHOOSE($D$3,J9,J10,J11,Sensitivity!G171)</f>
        <v>0.139</v>
      </c>
      <c r="K8" s="160">
        <f>CHOOSE($D$3,K9,K10,K11,Sensitivity!H171)</f>
        <v>0.14</v>
      </c>
      <c r="L8" s="160">
        <f>CHOOSE($D$3,L9,L10,L11,Sensitivity!I171)</f>
        <v>0.14</v>
      </c>
      <c r="M8" s="160">
        <f>CHOOSE($D$3,M9,M10,M11,Sensitivity!J171)</f>
        <v>0.14</v>
      </c>
      <c r="N8" s="160">
        <f>CHOOSE($D$3,N9,N10,N11,Sensitivity!K171)</f>
        <v>0.14</v>
      </c>
      <c r="O8" s="160">
        <f>CHOOSE($D$3,O9,O10,O11,Sensitivity!L171)</f>
        <v>0.14</v>
      </c>
      <c r="P8" s="160">
        <f>CHOOSE($D$3,P9,P10,P11,Sensitivity!M171)</f>
        <v>0.14</v>
      </c>
      <c r="Q8" t="s" s="24">
        <v>246</v>
      </c>
    </row>
    <row r="9" s="4" customFormat="1" ht="12.75" customHeight="1">
      <c r="C9" t="s" s="31">
        <v>3</v>
      </c>
      <c r="E9" s="35"/>
      <c r="F9" s="158">
        <v>0.131</v>
      </c>
      <c r="G9" s="158">
        <v>0.129</v>
      </c>
      <c r="H9" s="158">
        <v>0.127</v>
      </c>
      <c r="I9" s="158">
        <v>0.125</v>
      </c>
      <c r="J9" s="158">
        <v>0.124</v>
      </c>
      <c r="K9" s="158">
        <v>0.123</v>
      </c>
      <c r="L9" s="158">
        <v>0.123</v>
      </c>
      <c r="M9" s="158">
        <v>0.123</v>
      </c>
      <c r="N9" s="158">
        <v>0.123</v>
      </c>
      <c r="O9" s="158">
        <v>0.123</v>
      </c>
      <c r="P9" s="158">
        <v>0.123</v>
      </c>
      <c r="Q9" s="24"/>
    </row>
    <row r="10" ht="12.75" customHeight="1">
      <c r="C10" t="s" s="32">
        <v>4</v>
      </c>
      <c r="E10" s="36"/>
      <c r="F10" s="158">
        <v>0.132</v>
      </c>
      <c r="G10" s="158">
        <v>0.134</v>
      </c>
      <c r="H10" s="158">
        <v>0.136</v>
      </c>
      <c r="I10" s="158">
        <v>0.138</v>
      </c>
      <c r="J10" s="158">
        <v>0.139</v>
      </c>
      <c r="K10" s="158">
        <v>0.14</v>
      </c>
      <c r="L10" s="158">
        <v>0.14</v>
      </c>
      <c r="M10" s="158">
        <v>0.14</v>
      </c>
      <c r="N10" s="158">
        <v>0.14</v>
      </c>
      <c r="O10" s="158">
        <v>0.14</v>
      </c>
      <c r="P10" s="158">
        <v>0.14</v>
      </c>
      <c r="Q10" s="24"/>
    </row>
    <row r="11" ht="12.75" customHeight="1">
      <c r="C11" t="s" s="32">
        <v>5</v>
      </c>
      <c r="E11" s="36"/>
      <c r="F11" s="158">
        <v>0.133</v>
      </c>
      <c r="G11" s="158">
        <v>0.137</v>
      </c>
      <c r="H11" s="158">
        <v>0.14</v>
      </c>
      <c r="I11" s="158">
        <v>0.143</v>
      </c>
      <c r="J11" s="158">
        <v>0.145</v>
      </c>
      <c r="K11" s="158">
        <v>0.147</v>
      </c>
      <c r="L11" s="158">
        <v>0.147</v>
      </c>
      <c r="M11" s="158">
        <v>0.147</v>
      </c>
      <c r="N11" s="158">
        <v>0.147</v>
      </c>
      <c r="O11" s="158">
        <v>0.147</v>
      </c>
      <c r="P11" s="158">
        <v>0.147</v>
      </c>
      <c r="Q11" s="24"/>
    </row>
    <row r="12" ht="12.75" customHeight="1">
      <c r="E12" s="11"/>
      <c r="F12" s="11"/>
      <c r="G12" s="11"/>
      <c r="H12" s="11"/>
      <c r="I12" s="11"/>
      <c r="J12" s="11"/>
      <c r="K12" s="11"/>
      <c r="L12" s="11"/>
      <c r="M12" s="11"/>
      <c r="N12" s="11"/>
      <c r="O12" s="11"/>
      <c r="P12" s="11"/>
      <c r="Q12" s="24"/>
    </row>
    <row r="13" ht="12.75" customHeight="1">
      <c r="C13" t="s" s="30">
        <v>247</v>
      </c>
      <c r="D13" s="29"/>
      <c r="E13" s="34">
        <f>Model!G33</f>
        <v>0.131</v>
      </c>
      <c r="F13" s="159">
        <f>CHOOSE($D$3,F14,F15,F16,Sensitivity!C172)</f>
        <v>0.131</v>
      </c>
      <c r="G13" s="159">
        <f>CHOOSE($D$3,G14,G15,G16,Sensitivity!D172)</f>
        <v>0.128</v>
      </c>
      <c r="H13" s="159">
        <f>CHOOSE($D$3,H14,H15,H16,Sensitivity!E172)</f>
        <v>0.124</v>
      </c>
      <c r="I13" s="159">
        <f>CHOOSE($D$3,I14,I15,I16,Sensitivity!F172)</f>
        <v>0.12</v>
      </c>
      <c r="J13" s="159">
        <f>CHOOSE($D$3,J14,J15,J16,Sensitivity!G172)</f>
        <v>0.117</v>
      </c>
      <c r="K13" s="160">
        <f>CHOOSE($D$3,K14,K15,K16,Sensitivity!H172)</f>
        <v>0.115</v>
      </c>
      <c r="L13" s="160">
        <f>CHOOSE($D$3,L14,L15,L16,Sensitivity!I172)</f>
        <v>0.115</v>
      </c>
      <c r="M13" s="160">
        <f>CHOOSE($D$3,M14,M15,M16,Sensitivity!J172)</f>
        <v>0.115</v>
      </c>
      <c r="N13" s="160">
        <f>CHOOSE($D$3,N14,N15,N16,Sensitivity!K172)</f>
        <v>0.115</v>
      </c>
      <c r="O13" s="160">
        <f>CHOOSE($D$3,O14,O15,O16,Sensitivity!L172)</f>
        <v>0.115</v>
      </c>
      <c r="P13" s="160">
        <f>CHOOSE($D$3,P14,P15,P16,Sensitivity!M172)</f>
        <v>0.115</v>
      </c>
      <c r="Q13" t="s" s="24">
        <v>248</v>
      </c>
    </row>
    <row r="14" ht="12.75" customHeight="1">
      <c r="C14" t="s" s="32">
        <v>3</v>
      </c>
      <c r="E14" s="36"/>
      <c r="F14" s="158">
        <v>0.132</v>
      </c>
      <c r="G14" s="158">
        <v>0.134</v>
      </c>
      <c r="H14" s="158">
        <v>0.136</v>
      </c>
      <c r="I14" s="158">
        <v>0.138</v>
      </c>
      <c r="J14" s="158">
        <v>0.14</v>
      </c>
      <c r="K14" s="158">
        <v>0.14</v>
      </c>
      <c r="L14" s="158">
        <v>0.14</v>
      </c>
      <c r="M14" s="158">
        <v>0.14</v>
      </c>
      <c r="N14" s="158">
        <v>0.14</v>
      </c>
      <c r="O14" s="158">
        <v>0.14</v>
      </c>
      <c r="P14" s="158">
        <v>0.14</v>
      </c>
      <c r="Q14" s="24"/>
    </row>
    <row r="15" ht="12.75" customHeight="1">
      <c r="C15" t="s" s="32">
        <v>4</v>
      </c>
      <c r="E15" s="36"/>
      <c r="F15" s="158">
        <v>0.131</v>
      </c>
      <c r="G15" s="158">
        <v>0.128</v>
      </c>
      <c r="H15" s="158">
        <v>0.124</v>
      </c>
      <c r="I15" s="158">
        <v>0.12</v>
      </c>
      <c r="J15" s="158">
        <v>0.117</v>
      </c>
      <c r="K15" s="158">
        <v>0.115</v>
      </c>
      <c r="L15" s="158">
        <v>0.115</v>
      </c>
      <c r="M15" s="158">
        <v>0.115</v>
      </c>
      <c r="N15" s="158">
        <v>0.115</v>
      </c>
      <c r="O15" s="158">
        <v>0.115</v>
      </c>
      <c r="P15" s="158">
        <v>0.115</v>
      </c>
      <c r="Q15" s="24"/>
    </row>
    <row r="16" ht="12.75" customHeight="1">
      <c r="C16" t="s" s="32">
        <v>5</v>
      </c>
      <c r="E16" s="36"/>
      <c r="F16" s="158">
        <v>0.13</v>
      </c>
      <c r="G16" s="158">
        <v>0.124</v>
      </c>
      <c r="H16" s="158">
        <v>0.118</v>
      </c>
      <c r="I16" s="158">
        <v>0.113</v>
      </c>
      <c r="J16" s="158">
        <v>0.11</v>
      </c>
      <c r="K16" s="158">
        <v>0.108</v>
      </c>
      <c r="L16" s="158">
        <v>0.108</v>
      </c>
      <c r="M16" s="158">
        <v>0.108</v>
      </c>
      <c r="N16" s="158">
        <v>0.108</v>
      </c>
      <c r="O16" s="158">
        <v>0.108</v>
      </c>
      <c r="P16" s="158">
        <v>0.108</v>
      </c>
      <c r="Q16" s="24"/>
    </row>
    <row r="17" ht="12.75" customHeight="1">
      <c r="E17" s="11"/>
      <c r="F17" s="11"/>
      <c r="G17" s="11"/>
      <c r="H17" s="11"/>
      <c r="I17" s="11"/>
      <c r="J17" s="11"/>
      <c r="K17" s="11"/>
      <c r="L17" s="11"/>
      <c r="M17" s="11"/>
      <c r="N17" s="11"/>
      <c r="O17" s="11"/>
      <c r="P17" s="11"/>
      <c r="Q17" s="24"/>
    </row>
    <row r="18" ht="12.75" customHeight="1">
      <c r="C18" t="s" s="30">
        <v>249</v>
      </c>
      <c r="D18" s="29"/>
      <c r="E18" s="161">
        <f>Model!G41</f>
        <v>16.479193689000404</v>
      </c>
      <c r="F18" s="164">
        <f>CHOOSE($D$3,F19,F20,F21,Sensitivity!C173)</f>
        <v>18</v>
      </c>
      <c r="G18" s="164">
        <f>CHOOSE($D$3,G19,G20,G21,Sensitivity!D173)</f>
        <v>18.5</v>
      </c>
      <c r="H18" s="164">
        <f>CHOOSE($D$3,H19,H20,H21,Sensitivity!E173)</f>
        <v>19</v>
      </c>
      <c r="I18" s="164">
        <f>CHOOSE($D$3,I19,I20,I21,Sensitivity!F173)</f>
        <v>19.5</v>
      </c>
      <c r="J18" s="164">
        <f>CHOOSE($D$3,J19,J20,J21,Sensitivity!G173)</f>
        <v>20</v>
      </c>
      <c r="K18" s="165">
        <f>CHOOSE($D$3,K19,K20,K21,Sensitivity!H173)</f>
        <v>20.5</v>
      </c>
      <c r="L18" s="165">
        <f>CHOOSE($D$3,L19,L20,L21,Sensitivity!I173)</f>
        <v>20.5</v>
      </c>
      <c r="M18" s="165">
        <f>CHOOSE($D$3,M19,M20,M21,Sensitivity!J173)</f>
        <v>20.5</v>
      </c>
      <c r="N18" s="165">
        <f>CHOOSE($D$3,N19,N20,N21,Sensitivity!K173)</f>
        <v>20.5</v>
      </c>
      <c r="O18" s="165">
        <f>CHOOSE($D$3,O19,O20,O21,Sensitivity!L173)</f>
        <v>20.5</v>
      </c>
      <c r="P18" s="165">
        <f>CHOOSE($D$3,P19,P20,P21,Sensitivity!M173)</f>
        <v>20.5</v>
      </c>
      <c r="Q18" t="s" s="24">
        <v>250</v>
      </c>
    </row>
    <row r="19" ht="12.75" customHeight="1">
      <c r="C19" t="s" s="32">
        <v>3</v>
      </c>
      <c r="E19" s="162"/>
      <c r="F19" s="163">
        <v>17</v>
      </c>
      <c r="G19" s="163">
        <v>17</v>
      </c>
      <c r="H19" s="163">
        <v>17</v>
      </c>
      <c r="I19" s="163">
        <v>17</v>
      </c>
      <c r="J19" s="163">
        <v>17</v>
      </c>
      <c r="K19" s="163">
        <v>17</v>
      </c>
      <c r="L19" s="163">
        <v>17</v>
      </c>
      <c r="M19" s="163">
        <v>17</v>
      </c>
      <c r="N19" s="163">
        <v>17</v>
      </c>
      <c r="O19" s="163">
        <v>17</v>
      </c>
      <c r="P19" s="163">
        <v>17</v>
      </c>
      <c r="Q19" s="24"/>
    </row>
    <row r="20" ht="12.75" customHeight="1">
      <c r="C20" t="s" s="32">
        <v>4</v>
      </c>
      <c r="E20" s="162"/>
      <c r="F20" s="163">
        <v>18</v>
      </c>
      <c r="G20" s="163">
        <v>18.5</v>
      </c>
      <c r="H20" s="163">
        <v>19</v>
      </c>
      <c r="I20" s="163">
        <v>19.5</v>
      </c>
      <c r="J20" s="163">
        <v>20</v>
      </c>
      <c r="K20" s="163">
        <v>20.5</v>
      </c>
      <c r="L20" s="163">
        <v>20.5</v>
      </c>
      <c r="M20" s="163">
        <v>20.5</v>
      </c>
      <c r="N20" s="163">
        <v>20.5</v>
      </c>
      <c r="O20" s="163">
        <v>20.5</v>
      </c>
      <c r="P20" s="163">
        <v>20.5</v>
      </c>
      <c r="Q20" s="24"/>
    </row>
    <row r="21" ht="12.75" customHeight="1">
      <c r="C21" t="s" s="32">
        <v>5</v>
      </c>
      <c r="E21" s="162"/>
      <c r="F21" s="163">
        <v>18.5</v>
      </c>
      <c r="G21" s="163">
        <v>19.5</v>
      </c>
      <c r="H21" s="163">
        <v>20.5</v>
      </c>
      <c r="I21" s="163">
        <v>21.5</v>
      </c>
      <c r="J21" s="163">
        <v>22</v>
      </c>
      <c r="K21" s="163">
        <v>22.5</v>
      </c>
      <c r="L21" s="163">
        <v>22.5</v>
      </c>
      <c r="M21" s="163">
        <v>22.5</v>
      </c>
      <c r="N21" s="163">
        <v>22.5</v>
      </c>
      <c r="O21" s="163">
        <v>22.5</v>
      </c>
      <c r="P21" s="163">
        <v>22.5</v>
      </c>
      <c r="Q21" s="24"/>
    </row>
    <row r="22" ht="12.75" customHeight="1">
      <c r="E22" s="11"/>
      <c r="F22" s="11"/>
      <c r="G22" s="11"/>
      <c r="H22" s="11"/>
      <c r="I22" s="11"/>
      <c r="J22" s="11"/>
      <c r="K22" s="11"/>
      <c r="L22" s="11"/>
      <c r="M22" s="11"/>
      <c r="N22" s="11"/>
      <c r="O22" s="11"/>
      <c r="P22" s="11"/>
      <c r="Q22" s="24"/>
    </row>
    <row r="23" ht="12.75" customHeight="1">
      <c r="C23" t="s" s="30">
        <v>251</v>
      </c>
      <c r="D23" s="29"/>
      <c r="E23" s="34">
        <f>Model!G45</f>
        <v>0.14745062011943041</v>
      </c>
      <c r="F23" s="159">
        <f>CHOOSE($D$3,F24,F25,F26,Sensitivity!C174)</f>
        <v>0.145</v>
      </c>
      <c r="G23" s="159">
        <f>CHOOSE($D$3,G24,G25,G26,Sensitivity!D174)</f>
        <v>0.14</v>
      </c>
      <c r="H23" s="159">
        <f>CHOOSE($D$3,H24,H25,H26,Sensitivity!E174)</f>
        <v>0.135</v>
      </c>
      <c r="I23" s="159">
        <f>CHOOSE($D$3,I24,I25,I26,Sensitivity!F174)</f>
        <v>0.13</v>
      </c>
      <c r="J23" s="159">
        <f>CHOOSE($D$3,J24,J25,J26,Sensitivity!G174)</f>
        <v>0.125</v>
      </c>
      <c r="K23" s="160">
        <f>CHOOSE($D$3,K24,K25,K26,Sensitivity!H174)</f>
        <v>0.12</v>
      </c>
      <c r="L23" s="160">
        <f>CHOOSE($D$3,L24,L25,L26,Sensitivity!I174)</f>
        <v>0.12</v>
      </c>
      <c r="M23" s="160">
        <f>CHOOSE($D$3,M24,M25,M26,Sensitivity!J174)</f>
        <v>0.12</v>
      </c>
      <c r="N23" s="160">
        <f>CHOOSE($D$3,N24,N25,N26,Sensitivity!K174)</f>
        <v>0.12</v>
      </c>
      <c r="O23" s="160">
        <f>CHOOSE($D$3,O24,O25,O26,Sensitivity!L174)</f>
        <v>0.12</v>
      </c>
      <c r="P23" s="160">
        <f>CHOOSE($D$3,P24,P25,P26,Sensitivity!M174)</f>
        <v>0.12</v>
      </c>
      <c r="Q23" t="s" s="24">
        <v>252</v>
      </c>
    </row>
    <row r="24" ht="12.75" customHeight="1">
      <c r="C24" t="s" s="31">
        <v>3</v>
      </c>
      <c r="D24" s="4"/>
      <c r="E24" s="35"/>
      <c r="F24" s="158">
        <v>0.147</v>
      </c>
      <c r="G24" s="158">
        <v>0.147</v>
      </c>
      <c r="H24" s="158">
        <v>0.147</v>
      </c>
      <c r="I24" s="158">
        <v>0.147</v>
      </c>
      <c r="J24" s="158">
        <v>0.147</v>
      </c>
      <c r="K24" s="158">
        <v>0.147</v>
      </c>
      <c r="L24" s="158">
        <v>0.147</v>
      </c>
      <c r="M24" s="158">
        <v>0.147</v>
      </c>
      <c r="N24" s="158">
        <v>0.147</v>
      </c>
      <c r="O24" s="158">
        <v>0.147</v>
      </c>
      <c r="P24" s="158">
        <v>0.147</v>
      </c>
      <c r="Q24" s="24"/>
    </row>
    <row r="25" ht="12.75" customHeight="1">
      <c r="C25" t="s" s="32">
        <v>4</v>
      </c>
      <c r="E25" s="36"/>
      <c r="F25" s="158">
        <v>0.145</v>
      </c>
      <c r="G25" s="158">
        <v>0.14</v>
      </c>
      <c r="H25" s="158">
        <v>0.135</v>
      </c>
      <c r="I25" s="158">
        <v>0.13</v>
      </c>
      <c r="J25" s="158">
        <v>0.125</v>
      </c>
      <c r="K25" s="158">
        <v>0.12</v>
      </c>
      <c r="L25" s="158">
        <v>0.12</v>
      </c>
      <c r="M25" s="158">
        <v>0.12</v>
      </c>
      <c r="N25" s="158">
        <v>0.12</v>
      </c>
      <c r="O25" s="158">
        <v>0.12</v>
      </c>
      <c r="P25" s="158">
        <v>0.12</v>
      </c>
      <c r="Q25" s="24"/>
    </row>
    <row r="26" ht="12.75" customHeight="1">
      <c r="C26" t="s" s="32">
        <v>5</v>
      </c>
      <c r="E26" s="36"/>
      <c r="F26" s="158">
        <v>0.143</v>
      </c>
      <c r="G26" s="158">
        <v>0.135</v>
      </c>
      <c r="H26" s="158">
        <v>0.125</v>
      </c>
      <c r="I26" s="158">
        <v>0.115</v>
      </c>
      <c r="J26" s="158">
        <v>0.11</v>
      </c>
      <c r="K26" s="158">
        <v>0.105</v>
      </c>
      <c r="L26" s="158">
        <v>0.105</v>
      </c>
      <c r="M26" s="158">
        <v>0.105</v>
      </c>
      <c r="N26" s="158">
        <v>0.105</v>
      </c>
      <c r="O26" s="158">
        <v>0.105</v>
      </c>
      <c r="P26" s="158">
        <v>0.105</v>
      </c>
      <c r="Q26" s="24"/>
    </row>
    <row r="27" ht="12.75" customHeight="1">
      <c r="E27" s="11"/>
      <c r="F27" s="11"/>
      <c r="G27" s="11"/>
      <c r="H27" s="11"/>
      <c r="I27" s="11"/>
      <c r="J27" s="11"/>
      <c r="K27" s="11"/>
      <c r="L27" s="11"/>
      <c r="M27" s="11"/>
      <c r="N27" s="11"/>
      <c r="O27" s="11"/>
      <c r="P27" s="11"/>
      <c r="Q27" s="24"/>
    </row>
    <row r="28" ht="12.75" customHeight="1">
      <c r="C28" t="s" s="30">
        <v>253</v>
      </c>
      <c r="D28" s="29"/>
      <c r="E28" s="34">
        <f>Model!G52</f>
        <v>0.28582569701696237</v>
      </c>
      <c r="F28" s="159">
        <f>CHOOSE($D$3,F29,F30,F31,Sensitivity!C175)</f>
        <v>0.285</v>
      </c>
      <c r="G28" s="159">
        <f>CHOOSE($D$3,G29,G30,G31,Sensitivity!D175)</f>
        <v>0.275</v>
      </c>
      <c r="H28" s="159">
        <f>CHOOSE($D$3,H29,H30,H31,Sensitivity!E175)</f>
        <v>0.265</v>
      </c>
      <c r="I28" s="159">
        <f>CHOOSE($D$3,I29,I30,I31,Sensitivity!F175)</f>
        <v>0.255</v>
      </c>
      <c r="J28" s="159">
        <f>CHOOSE($D$3,J29,J30,J31,Sensitivity!G175)</f>
        <v>0.248</v>
      </c>
      <c r="K28" s="160">
        <f>CHOOSE($D$3,K29,K30,K31,Sensitivity!H175)</f>
        <v>0.242</v>
      </c>
      <c r="L28" s="160">
        <f>CHOOSE($D$3,L29,L30,L31,Sensitivity!I175)</f>
        <v>0.242</v>
      </c>
      <c r="M28" s="160">
        <f>CHOOSE($D$3,M29,M30,M31,Sensitivity!J175)</f>
        <v>0.242</v>
      </c>
      <c r="N28" s="160">
        <f>CHOOSE($D$3,N29,N30,N31,Sensitivity!K175)</f>
        <v>0.242</v>
      </c>
      <c r="O28" s="160">
        <f>CHOOSE($D$3,O29,O30,O31,Sensitivity!L175)</f>
        <v>0.242</v>
      </c>
      <c r="P28" s="160">
        <f>CHOOSE($D$3,P29,P30,P31,Sensitivity!M175)</f>
        <v>0.242</v>
      </c>
      <c r="Q28" t="s" s="24">
        <v>254</v>
      </c>
    </row>
    <row r="29" ht="12.75" customHeight="1">
      <c r="C29" t="s" s="32">
        <v>3</v>
      </c>
      <c r="E29" s="36"/>
      <c r="F29" s="158">
        <v>0.288</v>
      </c>
      <c r="G29" s="158">
        <v>0.29</v>
      </c>
      <c r="H29" s="158">
        <v>0.29</v>
      </c>
      <c r="I29" s="158">
        <v>0.29</v>
      </c>
      <c r="J29" s="158">
        <v>0.29</v>
      </c>
      <c r="K29" s="158">
        <v>0.29</v>
      </c>
      <c r="L29" s="158">
        <v>0.29</v>
      </c>
      <c r="M29" s="158">
        <v>0.29</v>
      </c>
      <c r="N29" s="158">
        <v>0.29</v>
      </c>
      <c r="O29" s="158">
        <v>0.29</v>
      </c>
      <c r="P29" s="158">
        <v>0.29</v>
      </c>
      <c r="Q29" s="24"/>
    </row>
    <row r="30" ht="12.75" customHeight="1">
      <c r="C30" t="s" s="32">
        <v>4</v>
      </c>
      <c r="E30" s="36"/>
      <c r="F30" s="158">
        <v>0.285</v>
      </c>
      <c r="G30" s="158">
        <v>0.275</v>
      </c>
      <c r="H30" s="158">
        <v>0.265</v>
      </c>
      <c r="I30" s="158">
        <v>0.255</v>
      </c>
      <c r="J30" s="158">
        <v>0.248</v>
      </c>
      <c r="K30" s="158">
        <v>0.242</v>
      </c>
      <c r="L30" s="158">
        <v>0.242</v>
      </c>
      <c r="M30" s="158">
        <v>0.242</v>
      </c>
      <c r="N30" s="158">
        <v>0.242</v>
      </c>
      <c r="O30" s="158">
        <v>0.242</v>
      </c>
      <c r="P30" s="158">
        <v>0.242</v>
      </c>
      <c r="Q30" s="24"/>
    </row>
    <row r="31" ht="12.75" customHeight="1">
      <c r="C31" t="s" s="32">
        <v>5</v>
      </c>
      <c r="E31" s="36"/>
      <c r="F31" s="158">
        <v>0.282</v>
      </c>
      <c r="G31" s="158">
        <v>0.265</v>
      </c>
      <c r="H31" s="158">
        <v>0.25</v>
      </c>
      <c r="I31" s="158">
        <v>0.24</v>
      </c>
      <c r="J31" s="158">
        <v>0.23</v>
      </c>
      <c r="K31" s="158">
        <v>0.225</v>
      </c>
      <c r="L31" s="158">
        <v>0.225</v>
      </c>
      <c r="M31" s="158">
        <v>0.225</v>
      </c>
      <c r="N31" s="158">
        <v>0.225</v>
      </c>
      <c r="O31" s="158">
        <v>0.225</v>
      </c>
      <c r="P31" s="158">
        <v>0.225</v>
      </c>
      <c r="Q31" s="24"/>
    </row>
    <row r="32" ht="12.75" customHeight="1">
      <c r="E32" s="11"/>
      <c r="F32" s="11"/>
      <c r="G32" s="11"/>
      <c r="H32" s="11"/>
      <c r="I32" s="11"/>
      <c r="J32" s="11"/>
      <c r="K32" s="11"/>
      <c r="L32" s="11"/>
      <c r="M32" s="11"/>
      <c r="N32" s="11"/>
      <c r="O32" s="11"/>
      <c r="P32" s="11"/>
      <c r="Q32" s="24"/>
    </row>
    <row r="33" ht="12.75" customHeight="1">
      <c r="C33" t="s" s="30">
        <v>255</v>
      </c>
      <c r="D33" s="29"/>
      <c r="E33" s="161">
        <f>Model!G66</f>
        <v>24.41047013544834</v>
      </c>
      <c r="F33" s="164">
        <f>CHOOSE($D$3,F34,F35,F36,Sensitivity!C176)</f>
        <v>24</v>
      </c>
      <c r="G33" s="164">
        <f>CHOOSE($D$3,G34,G35,G36,Sensitivity!D176)</f>
        <v>23.5</v>
      </c>
      <c r="H33" s="164">
        <f>CHOOSE($D$3,H34,H35,H36,Sensitivity!E176)</f>
        <v>23</v>
      </c>
      <c r="I33" s="164">
        <f>CHOOSE($D$3,I34,I35,I36,Sensitivity!F176)</f>
        <v>22.8</v>
      </c>
      <c r="J33" s="164">
        <f>CHOOSE($D$3,J34,J35,J36,Sensitivity!G176)</f>
        <v>22.5</v>
      </c>
      <c r="K33" s="165">
        <f>CHOOSE($D$3,K34,K35,K36,Sensitivity!H176)</f>
        <v>22.2</v>
      </c>
      <c r="L33" s="165">
        <f>CHOOSE($D$3,L34,L35,L36,Sensitivity!I176)</f>
        <v>22.2</v>
      </c>
      <c r="M33" s="165">
        <f>CHOOSE($D$3,M34,M35,M36,Sensitivity!J176)</f>
        <v>22.2</v>
      </c>
      <c r="N33" s="165">
        <f>CHOOSE($D$3,N34,N35,N36,Sensitivity!K176)</f>
        <v>22.2</v>
      </c>
      <c r="O33" s="165">
        <f>CHOOSE($D$3,O34,O35,O36,Sensitivity!L176)</f>
        <v>22.2</v>
      </c>
      <c r="P33" s="165">
        <f>CHOOSE($D$3,P34,P35,P36,Sensitivity!M176)</f>
        <v>22.2</v>
      </c>
      <c r="Q33" t="s" s="24">
        <v>256</v>
      </c>
    </row>
    <row r="34" ht="12.75" customHeight="1">
      <c r="C34" t="s" s="32">
        <v>3</v>
      </c>
      <c r="E34" s="162"/>
      <c r="F34" s="163">
        <v>24.4</v>
      </c>
      <c r="G34" s="163">
        <v>25</v>
      </c>
      <c r="H34" s="163">
        <v>25.5</v>
      </c>
      <c r="I34" s="163">
        <v>26</v>
      </c>
      <c r="J34" s="163">
        <v>26.5</v>
      </c>
      <c r="K34" s="163">
        <v>26.5</v>
      </c>
      <c r="L34" s="163">
        <v>26.5</v>
      </c>
      <c r="M34" s="163">
        <v>26.5</v>
      </c>
      <c r="N34" s="163">
        <v>26.5</v>
      </c>
      <c r="O34" s="163">
        <v>26.5</v>
      </c>
      <c r="P34" s="163">
        <v>26.5</v>
      </c>
      <c r="Q34" s="24"/>
    </row>
    <row r="35" ht="12.75" customHeight="1">
      <c r="C35" t="s" s="32">
        <v>4</v>
      </c>
      <c r="E35" s="162"/>
      <c r="F35" s="163">
        <v>24</v>
      </c>
      <c r="G35" s="163">
        <v>23.5</v>
      </c>
      <c r="H35" s="163">
        <v>23</v>
      </c>
      <c r="I35" s="163">
        <v>22.8</v>
      </c>
      <c r="J35" s="163">
        <v>22.5</v>
      </c>
      <c r="K35" s="163">
        <v>22.2</v>
      </c>
      <c r="L35" s="163">
        <v>22.2</v>
      </c>
      <c r="M35" s="163">
        <v>22.2</v>
      </c>
      <c r="N35" s="163">
        <v>22.2</v>
      </c>
      <c r="O35" s="163">
        <v>22.2</v>
      </c>
      <c r="P35" s="163">
        <v>22.2</v>
      </c>
      <c r="Q35" s="24"/>
    </row>
    <row r="36" ht="12.75" customHeight="1">
      <c r="C36" t="s" s="32">
        <v>5</v>
      </c>
      <c r="E36" s="162"/>
      <c r="F36" s="163">
        <v>23.5</v>
      </c>
      <c r="G36" s="163">
        <v>22.5</v>
      </c>
      <c r="H36" s="163">
        <v>21.8</v>
      </c>
      <c r="I36" s="163">
        <v>21.2</v>
      </c>
      <c r="J36" s="163">
        <v>20.8</v>
      </c>
      <c r="K36" s="163">
        <v>20.5</v>
      </c>
      <c r="L36" s="163">
        <v>20.5</v>
      </c>
      <c r="M36" s="163">
        <v>20.5</v>
      </c>
      <c r="N36" s="163">
        <v>20.5</v>
      </c>
      <c r="O36" s="163">
        <v>20.5</v>
      </c>
      <c r="P36" s="163">
        <v>20.5</v>
      </c>
      <c r="Q36" s="24"/>
    </row>
    <row r="37" ht="12.75" customHeight="1">
      <c r="E37" s="11"/>
      <c r="F37" s="11"/>
      <c r="G37" s="11"/>
      <c r="H37" s="11"/>
      <c r="I37" s="11"/>
      <c r="J37" s="11"/>
      <c r="K37" s="11"/>
      <c r="L37" s="11"/>
      <c r="M37" s="11"/>
      <c r="N37" s="11"/>
      <c r="O37" s="11"/>
      <c r="P37" s="11"/>
      <c r="Q37" s="24"/>
    </row>
    <row r="38" ht="12.75" customHeight="1">
      <c r="C38" t="s" s="29">
        <v>257</v>
      </c>
      <c r="D38" s="29"/>
      <c r="E38" s="34">
        <f>Model!G47</f>
        <v>0.44</v>
      </c>
      <c r="F38" s="37">
        <v>0.45</v>
      </c>
      <c r="G38" s="37">
        <v>0.45</v>
      </c>
      <c r="H38" s="37">
        <v>0.45</v>
      </c>
      <c r="I38" s="37">
        <v>0.45</v>
      </c>
      <c r="J38" s="37">
        <v>0.45</v>
      </c>
      <c r="K38" s="37">
        <v>0.45</v>
      </c>
      <c r="L38" s="37">
        <v>0.45</v>
      </c>
      <c r="M38" s="37">
        <v>0.45</v>
      </c>
      <c r="N38" s="37">
        <v>0.45</v>
      </c>
      <c r="O38" s="37">
        <v>0.45</v>
      </c>
      <c r="P38" s="37">
        <v>0.45</v>
      </c>
      <c r="Q38" t="s" s="24">
        <v>258</v>
      </c>
    </row>
    <row r="39" ht="12.75" customHeight="1">
      <c r="E39"/>
      <c r="F39"/>
      <c r="G39"/>
    </row>
    <row r="40" ht="12.75" customHeight="1">
      <c r="E40"/>
      <c r="F40"/>
      <c r="G40"/>
    </row>
    <row r="41" ht="12.75" customHeight="1">
      <c r="C41" t="s" s="26">
        <v>122</v>
      </c>
      <c r="D41" t="s" s="96">
        <v>123</v>
      </c>
      <c r="E41" t="s" s="96">
        <v>124</v>
      </c>
      <c r="F41" t="s" s="96">
        <v>125</v>
      </c>
      <c r="G41" t="s" s="96">
        <v>284</v>
      </c>
    </row>
    <row r="42" ht="12.75" customHeight="1">
      <c r="C42" t="s" s="97">
        <v>126</v>
      </c>
      <c r="D42" s="97"/>
      <c r="E42" s="98">
        <v>1</v>
      </c>
      <c r="F42" s="98">
        <v>2</v>
      </c>
      <c r="G42" s="98">
        <v>3</v>
      </c>
    </row>
    <row r="43" ht="12.75" customHeight="1">
      <c r="C43" t="s" s="3">
        <v>127</v>
      </c>
      <c r="D43" s="120">
        <f>Model!I42</f>
        <v>5262.280023</v>
      </c>
      <c r="E43" s="175">
        <f t="dataTable" ref="E43:G60" dtr="1" r1="D3"/>
        <v>5125.271598</v>
      </c>
      <c r="F43" s="175">
        <v>5262.280023</v>
      </c>
      <c r="G43" s="175">
        <v>5357.3936085000005</v>
      </c>
    </row>
    <row r="44" ht="12.75" customHeight="1">
      <c r="C44" t="s" s="3">
        <v>128</v>
      </c>
      <c r="D44" s="120">
        <f>Model!M42</f>
        <v>5766.479335686894</v>
      </c>
      <c r="E44" s="175">
        <v>4848.215816166025</v>
      </c>
      <c r="F44" s="175">
        <v>5766.479335686894</v>
      </c>
      <c r="G44" s="175">
        <v>6228.18331577547</v>
      </c>
    </row>
    <row r="45" ht="12.75" customHeight="1">
      <c r="C45" t="s" s="3">
        <v>285</v>
      </c>
      <c r="D45" s="120">
        <f>Model!R42</f>
        <v>6524.242079860228</v>
      </c>
      <c r="E45" s="175">
        <v>4449.892640412979</v>
      </c>
      <c r="F45" s="175">
        <v>6524.242079860228</v>
      </c>
      <c r="G45" s="175">
        <v>7541.176831251756</v>
      </c>
    </row>
    <row r="46" ht="12.75" customHeight="1">
      <c r="C46" t="s" s="3">
        <v>286</v>
      </c>
      <c r="D46" s="168">
        <f>Model!M34</f>
        <v>390.1481558829888</v>
      </c>
      <c r="E46" s="176">
        <v>337.61554975620743</v>
      </c>
      <c r="F46" s="176">
        <v>390.1481558829888</v>
      </c>
      <c r="G46" s="176">
        <v>412.90376678003594</v>
      </c>
    </row>
    <row r="47" ht="12.75" customHeight="1">
      <c r="C47" t="s" s="3">
        <v>287</v>
      </c>
      <c r="D47" s="169">
        <f>Model!M33</f>
        <v>0.115</v>
      </c>
      <c r="E47" s="177">
        <v>0.14</v>
      </c>
      <c r="F47" s="177">
        <v>0.115</v>
      </c>
      <c r="G47" s="177">
        <v>0.108</v>
      </c>
    </row>
    <row r="48" ht="12.75" customHeight="1">
      <c r="C48" t="s" s="3">
        <v>129</v>
      </c>
      <c r="D48" s="120">
        <f>Model!I53</f>
        <v>2802.2700155449993</v>
      </c>
      <c r="E48" s="175">
        <v>2647.218496635</v>
      </c>
      <c r="F48" s="175">
        <v>2802.2700155449993</v>
      </c>
      <c r="G48" s="175">
        <v>2911.4232678675007</v>
      </c>
    </row>
    <row r="49" ht="12.75" customHeight="1">
      <c r="C49" t="s" s="103">
        <v>130</v>
      </c>
      <c r="D49" s="170">
        <f>Model!M53</f>
        <v>3318.516920132357</v>
      </c>
      <c r="E49" s="178">
        <v>2511.942150782561</v>
      </c>
      <c r="F49" s="178">
        <v>3318.516920132357</v>
      </c>
      <c r="G49" s="178">
        <v>3719.4089746247964</v>
      </c>
    </row>
    <row r="50" ht="12.75" customHeight="1">
      <c r="C50" t="s" s="3">
        <v>288</v>
      </c>
      <c r="D50" s="120">
        <f>Model!R53</f>
        <v>3754.597298054251</v>
      </c>
      <c r="E50" s="175">
        <v>2305.5642144969415</v>
      </c>
      <c r="F50" s="175">
        <v>3754.597298054251</v>
      </c>
      <c r="G50" s="175">
        <v>4503.515610137115</v>
      </c>
    </row>
    <row r="51" ht="12.75" customHeight="1">
      <c r="C51" t="s" s="3">
        <v>131</v>
      </c>
      <c r="D51" s="169">
        <f>Model!M54</f>
        <v>0.5754840565533841</v>
      </c>
      <c r="E51" s="177">
        <v>0.5181168178212429</v>
      </c>
      <c r="F51" s="177">
        <v>0.5754840565533841</v>
      </c>
      <c r="G51" s="177">
        <v>0.5971900289453336</v>
      </c>
    </row>
    <row r="52" ht="12.75" customHeight="1">
      <c r="C52" t="s" s="3">
        <v>289</v>
      </c>
      <c r="D52" s="120">
        <f>Model!H120-Model!M120</f>
        <v>3573.244587408143</v>
      </c>
      <c r="E52" s="175">
        <v>1584.6095823946198</v>
      </c>
      <c r="F52" s="175">
        <v>3573.244587408143</v>
      </c>
      <c r="G52" s="175">
        <v>4796.968732017869</v>
      </c>
    </row>
    <row r="53" ht="12.75" customHeight="1">
      <c r="C53" t="s" s="3">
        <v>290</v>
      </c>
      <c r="D53" s="171">
        <f>Model!M123</f>
        <v>2.337967260472009</v>
      </c>
      <c r="E53" s="179">
        <v>3.880351669153196</v>
      </c>
      <c r="F53" s="179">
        <v>2.337967260472009</v>
      </c>
      <c r="G53" s="179">
        <v>1.7569618755467322</v>
      </c>
    </row>
    <row r="54" ht="12.75" customHeight="1">
      <c r="C54" t="s" s="3">
        <v>291</v>
      </c>
      <c r="D54" s="120">
        <f>Model!M133</f>
        <v>19911.101520794142</v>
      </c>
      <c r="E54" s="175">
        <v>15071.652904695366</v>
      </c>
      <c r="F54" s="175">
        <v>19911.101520794142</v>
      </c>
      <c r="G54" s="175">
        <v>22316.45384774878</v>
      </c>
    </row>
    <row r="55" ht="12.75" customHeight="1">
      <c r="C55" t="s" s="103">
        <v>292</v>
      </c>
      <c r="D55" s="170">
        <f>Model!M138</f>
        <v>11770.16698129217</v>
      </c>
      <c r="E55" s="178">
        <v>5283.487541235487</v>
      </c>
      <c r="F55" s="178">
        <v>11770.16698129217</v>
      </c>
      <c r="G55" s="178">
        <v>15217.789629278317</v>
      </c>
    </row>
    <row r="56" ht="12.75" customHeight="1">
      <c r="C56" t="s" s="3">
        <v>73</v>
      </c>
      <c r="D56" s="169">
        <f>Model!M140</f>
        <v>0.211735490955125</v>
      </c>
      <c r="E56" s="177">
        <v>0.03237015509973906</v>
      </c>
      <c r="F56" s="177">
        <v>0.211735490955125</v>
      </c>
      <c r="G56" s="177">
        <v>0.2756208779409446</v>
      </c>
    </row>
    <row r="57" ht="12.75" customHeight="1">
      <c r="C57" t="s" s="3">
        <v>74</v>
      </c>
      <c r="D57" s="172">
        <f>Model!M141</f>
        <v>2.6123967897992326</v>
      </c>
      <c r="E57" s="180">
        <v>1.172673753363568</v>
      </c>
      <c r="F57" s="180">
        <v>2.6123967897992326</v>
      </c>
      <c r="G57" s="180">
        <v>3.3775990466876364</v>
      </c>
    </row>
    <row r="58" ht="12.75" customHeight="1">
      <c r="C58" t="s" s="3">
        <v>293</v>
      </c>
      <c r="D58" s="120">
        <f>Model!R138</f>
        <v>20432.462512027498</v>
      </c>
      <c r="E58" s="175">
        <v>5616.681326922611</v>
      </c>
      <c r="F58" s="175">
        <v>20432.46250956261</v>
      </c>
      <c r="G58" s="175">
        <v>28419.646980530444</v>
      </c>
    </row>
    <row r="59" ht="12.75" customHeight="1">
      <c r="C59" t="s" s="102">
        <v>294</v>
      </c>
      <c r="D59" s="173">
        <f>Model!R140</f>
        <v>0.16320891709384555</v>
      </c>
      <c r="E59" s="181">
        <v>0.022288864399205632</v>
      </c>
      <c r="F59" s="181">
        <v>0.16320891707981322</v>
      </c>
      <c r="G59" s="181">
        <v>0.20222988548418086</v>
      </c>
    </row>
    <row r="60" ht="12.75" customHeight="1">
      <c r="C60" t="s" s="102">
        <v>295</v>
      </c>
      <c r="D60" s="174">
        <f>Model!R141</f>
        <v>4.534999338493141</v>
      </c>
      <c r="E60" s="182">
        <v>1.246626347026308</v>
      </c>
      <c r="F60" s="182">
        <v>4.534999337946058</v>
      </c>
      <c r="G60" s="182">
        <v>6.307760514967179</v>
      </c>
    </row>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x14="http://schemas.microsoft.com/office/spreadsheetml/2009/9/main" xmlns:xr="http://schemas.microsoft.com/office/spreadsheetml/2014/revision" xmlns:xr2="http://schemas.microsoft.com/office/spreadsheetml/2015/revision2" xmlns:xr3="http://schemas.microsoft.com/office/spreadsheetml/2016/revision3" mc:Ignorable="x14ac">
  <sheetPr>
    <tabColor theme="1"/>
  </sheetPr>
  <dimension ref="C2:Y171"/>
  <sheetViews>
    <sheetView showGridLines="0" zoomScale="57" workbookViewId="0">
      <pane xSplit="3" topLeftCell="D1" activePane="topRight" state="frozen"/>
      <selection pane="topRight" activeCell="A1" sqref="A1"/>
    </sheetView>
  </sheetViews>
  <sheetFormatPr defaultColWidth="9.19921875" defaultRowHeight="13.5" customHeight="1"/>
  <cols>
    <col min="1" max="2" width="2.19921875" customWidth="1" style="6"/>
    <col min="3" max="3" width="32.33203125" customWidth="1" style="6"/>
    <col min="4" max="4" width="11.796875" customWidth="1" style="6"/>
    <col min="5" max="18" width="10.9296875" customWidth="1" style="6"/>
    <col min="19" max="20" width="9.796875" customWidth="1" style="6"/>
    <col min="21" max="24" width="7.53125" customWidth="1" style="6"/>
    <col min="25" max="25" width="11.33203125" customWidth="1" bestFit="1" style="6"/>
    <col min="26" max="26" width="1.33203125" customWidth="1" style="6"/>
    <col min="27" max="27" width="4.19921875" customWidth="1" style="6"/>
    <col min="28" max="28" width="3.06640625" customWidth="1" style="6"/>
    <col min="29" max="29" width="9.46484375" customWidth="1" bestFit="1" style="6"/>
    <col min="30" max="43" width="9.19921875" customWidth="0" style="6"/>
    <col min="44" max="44" width="3.06640625" customWidth="1" style="6"/>
    <col min="45" max="125" width="9.19921875" customWidth="0" style="6"/>
  </cols>
  <sheetData>
    <row r="1" ht="12.75" customHeight="1"/>
    <row r="2" ht="12.75" customHeight="1">
      <c r="C2" t="s" s="5">
        <v>259</v>
      </c>
    </row>
    <row r="3" ht="12.75" customHeight="1">
      <c r="C3" t="s" s="43">
        <v>7</v>
      </c>
      <c r="D3" s="43"/>
      <c r="E3" s="43"/>
      <c r="F3" s="43"/>
      <c r="G3" s="43"/>
      <c r="H3" s="43"/>
      <c r="I3" s="43"/>
      <c r="J3" s="43"/>
      <c r="K3" s="43"/>
      <c r="L3" s="43"/>
      <c r="M3" s="43"/>
      <c r="N3" s="43"/>
      <c r="O3" s="43"/>
      <c r="P3" s="43"/>
      <c r="Q3" s="43"/>
      <c r="R3" s="43"/>
      <c r="U3" t="s" s="43">
        <v>8</v>
      </c>
      <c r="V3" s="43"/>
      <c r="W3" s="43"/>
      <c r="X3" s="43"/>
      <c r="Y3" s="43"/>
    </row>
    <row r="4" ht="12.75" customHeight="1">
      <c r="C4" t="s" s="6">
        <v>9</v>
      </c>
      <c r="E4" s="45">
        <v>46387</v>
      </c>
      <c r="G4" t="s" s="6">
        <v>10</v>
      </c>
      <c r="I4" s="49">
        <v>175</v>
      </c>
      <c r="K4" t="s" s="6">
        <v>104</v>
      </c>
      <c r="M4" s="47">
        <v>0.265</v>
      </c>
      <c r="N4" s="47"/>
      <c r="O4" s="47"/>
      <c r="P4" s="47"/>
      <c r="Q4" s="47"/>
      <c r="R4" s="47"/>
      <c r="U4" t="s" s="231">
        <v>267</v>
      </c>
      <c r="V4" s="231"/>
      <c r="W4" s="231"/>
      <c r="X4" s="231"/>
      <c r="Y4" s="232">
        <f>'Income Statement'!G21</f>
        <v>2689.8419999999996</v>
      </c>
    </row>
    <row r="5" ht="12.75" customHeight="1">
      <c r="C5" t="s" s="6">
        <v>260</v>
      </c>
      <c r="E5" s="273">
        <v>10</v>
      </c>
      <c r="G5" t="s" s="6">
        <v>11</v>
      </c>
      <c r="I5" s="49">
        <v>100</v>
      </c>
      <c r="K5" t="s" s="6">
        <v>262</v>
      </c>
      <c r="M5" s="47">
        <v>0.2</v>
      </c>
      <c r="N5" s="49"/>
      <c r="O5" s="49"/>
      <c r="P5" s="49"/>
      <c r="Q5" s="49"/>
      <c r="R5" s="49"/>
      <c r="U5" t="s" s="231">
        <v>268</v>
      </c>
      <c r="V5" s="231"/>
      <c r="W5" s="231"/>
      <c r="X5" s="231"/>
      <c r="Y5" s="237">
        <v>10</v>
      </c>
    </row>
    <row r="6" ht="12.75" customHeight="1">
      <c r="C6" t="s" s="6">
        <v>261</v>
      </c>
      <c r="E6" s="46">
        <v>6</v>
      </c>
      <c r="G6" t="s" s="6">
        <v>12</v>
      </c>
      <c r="I6" s="47">
        <v>0.25</v>
      </c>
      <c r="K6" t="s" s="6">
        <v>105</v>
      </c>
      <c r="M6" s="47">
        <v>0.01</v>
      </c>
      <c r="N6" s="47"/>
      <c r="O6" s="47"/>
      <c r="P6" s="47"/>
      <c r="Q6" s="47"/>
      <c r="R6" s="47"/>
      <c r="U6" t="s" s="231">
        <v>269</v>
      </c>
      <c r="V6" s="231"/>
      <c r="W6" s="231"/>
      <c r="X6" s="231"/>
      <c r="Y6" s="237">
        <v>6.87</v>
      </c>
    </row>
    <row r="7" ht="12.75" customHeight="1">
      <c r="C7" t="s" s="6">
        <v>102</v>
      </c>
      <c r="E7" s="47">
        <v>0.05</v>
      </c>
      <c r="G7" t="s" s="6">
        <v>374</v>
      </c>
      <c r="I7" s="50">
        <v>4.25</v>
      </c>
      <c r="K7" t="s" s="6">
        <v>263</v>
      </c>
      <c r="M7" s="47">
        <v>0.034</v>
      </c>
      <c r="N7" s="47"/>
      <c r="O7" s="47"/>
      <c r="P7" s="47"/>
      <c r="Q7" s="47"/>
      <c r="R7" s="47"/>
      <c r="U7" t="s" s="231">
        <v>270</v>
      </c>
      <c r="V7" s="231"/>
      <c r="W7" s="231"/>
      <c r="X7" s="231"/>
      <c r="Y7" s="233">
        <f>Y5/Y6-1</f>
        <v>0.4556040756914119</v>
      </c>
    </row>
    <row r="8" ht="12.75" customHeight="1">
      <c r="C8" t="s" s="6">
        <v>13</v>
      </c>
      <c r="E8" s="48">
        <v>1</v>
      </c>
      <c r="G8" t="s" s="6">
        <v>103</v>
      </c>
      <c r="I8" s="49">
        <v>50</v>
      </c>
      <c r="K8" t="s" s="6">
        <v>264</v>
      </c>
      <c r="M8" s="51">
        <v>0</v>
      </c>
      <c r="N8" s="51"/>
      <c r="O8" s="51"/>
      <c r="P8" s="51"/>
      <c r="Q8" s="51"/>
      <c r="R8" s="51"/>
      <c r="U8" t="s" s="231">
        <v>271</v>
      </c>
      <c r="V8" s="231"/>
      <c r="W8" s="231"/>
      <c r="X8" s="231"/>
      <c r="Y8" s="238">
        <v>7600</v>
      </c>
    </row>
    <row r="9" s="1" customFormat="1" ht="12.75" customHeight="1">
      <c r="U9" t="s" s="231">
        <v>272</v>
      </c>
      <c r="V9" s="231"/>
      <c r="W9" s="231"/>
      <c r="X9" s="231"/>
      <c r="Y9" s="234">
        <f>Y8/Y5</f>
        <v>760</v>
      </c>
    </row>
    <row r="10" s="1" customFormat="1" ht="12.75" customHeight="1">
      <c r="C10" t="s" s="43">
        <v>14</v>
      </c>
      <c r="D10" s="43"/>
      <c r="E10" s="43"/>
      <c r="F10" s="43"/>
      <c r="G10" s="43"/>
      <c r="H10" s="43"/>
      <c r="I10" s="43"/>
      <c r="J10" s="43"/>
      <c r="K10" s="43"/>
      <c r="L10" s="43"/>
      <c r="M10" s="43"/>
      <c r="N10" s="43"/>
      <c r="O10" s="43"/>
      <c r="P10" s="43"/>
      <c r="Q10" s="43"/>
      <c r="R10" s="43"/>
      <c r="U10" t="s" s="239">
        <v>28</v>
      </c>
      <c r="V10" s="239"/>
      <c r="W10" s="239"/>
      <c r="X10" s="239"/>
      <c r="Y10" s="242">
        <f>IF('Driver Assumptions'!$D$3=4,Sensitivity!$C$178,$E$5)*Y9</f>
        <v>7600</v>
      </c>
    </row>
    <row r="11" s="1" customFormat="1" ht="12.75" customHeight="1">
      <c r="D11" t="s" s="53">
        <v>15</v>
      </c>
      <c r="E11" t="s" s="53">
        <v>16</v>
      </c>
      <c r="F11" t="s" s="53">
        <v>17</v>
      </c>
      <c r="G11" t="s" s="53">
        <v>375</v>
      </c>
      <c r="H11" t="s" s="53">
        <v>19</v>
      </c>
      <c r="I11" t="s" s="53">
        <v>20</v>
      </c>
      <c r="J11" t="s" s="53">
        <v>21</v>
      </c>
      <c r="K11" t="s" s="53">
        <v>106</v>
      </c>
      <c r="L11" t="s" s="53">
        <v>22</v>
      </c>
      <c r="M11" t="s" s="53">
        <v>23</v>
      </c>
      <c r="N11" s="53"/>
      <c r="O11" s="53"/>
      <c r="P11" s="53"/>
      <c r="Q11" s="53"/>
      <c r="R11" s="53"/>
      <c r="U11" t="s" s="231">
        <v>273</v>
      </c>
      <c r="V11" s="231"/>
      <c r="W11" s="231"/>
      <c r="X11" s="231"/>
      <c r="Y11" s="235">
        <f>'Balance Sheet'!B34</f>
        <v>7833.696999999999</v>
      </c>
    </row>
    <row r="12" s="1" customFormat="1" ht="12.75" customHeight="1">
      <c r="C12" t="s" s="1">
        <v>266</v>
      </c>
      <c r="D12" s="54">
        <v>0.00375</v>
      </c>
      <c r="E12" s="55">
        <v>800</v>
      </c>
      <c r="F12" s="56">
        <v>0</v>
      </c>
      <c r="G12" s="57">
        <v>0</v>
      </c>
      <c r="H12" s="58">
        <v>300</v>
      </c>
      <c r="I12" s="59">
        <v>0.005</v>
      </c>
      <c r="J12" s="60">
        <v>0</v>
      </c>
      <c r="K12" s="61">
        <v>5</v>
      </c>
      <c r="L12" s="62">
        <v>0.005</v>
      </c>
      <c r="M12" s="63">
        <f>L12*E12</f>
        <v>4</v>
      </c>
      <c r="N12" s="63"/>
      <c r="O12" s="63"/>
      <c r="P12" s="63"/>
      <c r="Q12" s="63"/>
      <c r="R12" s="63"/>
      <c r="U12" t="s" s="231">
        <v>274</v>
      </c>
      <c r="V12" s="231"/>
      <c r="W12" s="231"/>
      <c r="X12" s="231"/>
      <c r="Y12" s="283">
        <f>-'Balance Sheet'!D5</f>
        <v>-4</v>
      </c>
    </row>
    <row r="13" s="1" customFormat="1" ht="12.75" customHeight="1">
      <c r="C13" t="s" s="1">
        <v>107</v>
      </c>
      <c r="D13" s="93">
        <v>0</v>
      </c>
      <c r="E13" s="94">
        <v>0</v>
      </c>
      <c r="F13" s="56">
        <f>G13*$Y$4</f>
        <v>8741.986499999999</v>
      </c>
      <c r="G13" s="64">
        <v>3.25</v>
      </c>
      <c r="H13" s="58">
        <v>325</v>
      </c>
      <c r="I13" s="59">
        <v>0.005</v>
      </c>
      <c r="J13" s="60">
        <v>0.01</v>
      </c>
      <c r="K13" s="61">
        <v>7</v>
      </c>
      <c r="L13" s="62">
        <v>0.02</v>
      </c>
      <c r="M13" s="63">
        <f>L13*F13</f>
        <v>174.83972999999997</v>
      </c>
      <c r="N13" s="63"/>
      <c r="O13" s="63"/>
      <c r="P13" s="63"/>
      <c r="Q13" s="63"/>
      <c r="R13" s="63"/>
      <c r="U13" t="s" s="240">
        <v>275</v>
      </c>
      <c r="V13" s="240"/>
      <c r="W13" s="240"/>
      <c r="X13" s="240"/>
      <c r="Y13" s="241">
        <f>SUM(Y10:Y12)</f>
        <v>15429.697</v>
      </c>
    </row>
    <row r="14" s="1" customFormat="1" ht="12.75" customHeight="1">
      <c r="C14" t="s" s="1">
        <v>108</v>
      </c>
      <c r="D14" s="93">
        <v>0</v>
      </c>
      <c r="E14" s="94">
        <v>0</v>
      </c>
      <c r="F14" s="56">
        <f>G14*$Y$4</f>
        <v>2689.8419999999996</v>
      </c>
      <c r="G14" s="57">
        <f>G16-SUM(G12:G13)</f>
        <v>1</v>
      </c>
      <c r="H14" s="65">
        <v>0.09</v>
      </c>
      <c r="I14" s="59">
        <v>0</v>
      </c>
      <c r="J14" s="60">
        <v>0</v>
      </c>
      <c r="K14" s="61">
        <v>8</v>
      </c>
      <c r="L14" s="62">
        <v>0.02</v>
      </c>
      <c r="M14" s="63">
        <f>L14*F14</f>
        <v>53.796839999999996</v>
      </c>
      <c r="N14" s="63"/>
      <c r="O14" s="63"/>
      <c r="P14" s="63"/>
      <c r="Q14" s="63"/>
      <c r="R14" s="63"/>
      <c r="U14" t="s" s="231">
        <v>276</v>
      </c>
      <c r="V14" s="231"/>
      <c r="W14" s="231"/>
      <c r="X14" s="231"/>
      <c r="Y14" s="238">
        <v>15300</v>
      </c>
    </row>
    <row r="15" s="1" customFormat="1" ht="12.75" customHeight="1">
      <c r="D15" s="52"/>
      <c r="E15" s="56"/>
      <c r="F15" s="56"/>
      <c r="G15" s="57"/>
      <c r="H15" s="52"/>
      <c r="I15" s="52"/>
      <c r="J15" s="52"/>
      <c r="K15" s="52"/>
      <c r="L15" s="52"/>
      <c r="M15" s="63"/>
      <c r="N15" s="63"/>
      <c r="O15" s="63"/>
      <c r="P15" s="63"/>
      <c r="Q15" s="63"/>
      <c r="R15" s="63"/>
      <c r="U15" t="s" s="231">
        <v>277</v>
      </c>
      <c r="V15" s="231"/>
      <c r="W15" s="231"/>
      <c r="X15" s="231"/>
      <c r="Y15" s="236">
        <f>Y13/Y4</f>
        <v>5.736283766853221</v>
      </c>
    </row>
    <row r="16" ht="12.75" customHeight="1">
      <c r="C16" t="s" s="66">
        <v>25</v>
      </c>
      <c r="D16" s="67"/>
      <c r="E16" s="68"/>
      <c r="F16" s="68">
        <f>SUM(F12:F14)</f>
        <v>11431.8285</v>
      </c>
      <c r="G16" s="69">
        <f>I7</f>
        <v>4.25</v>
      </c>
      <c r="H16" s="67"/>
      <c r="I16" s="67"/>
      <c r="J16" s="67"/>
      <c r="K16" s="67"/>
      <c r="L16" s="67"/>
      <c r="M16" s="70">
        <f>SUM(M12:M14)</f>
        <v>232.63656999999998</v>
      </c>
      <c r="N16" s="70"/>
      <c r="O16" s="70"/>
      <c r="P16" s="70"/>
      <c r="Q16" s="70"/>
      <c r="R16" s="70"/>
      <c r="U16" t="s" s="231">
        <v>278</v>
      </c>
      <c r="V16" s="231"/>
      <c r="W16" s="231"/>
      <c r="X16" s="231"/>
      <c r="Y16" s="236">
        <f>Y13/H53</f>
        <v>5.695587252508631</v>
      </c>
    </row>
    <row r="17" s="3" customFormat="1" ht="12.75" customHeight="1"/>
    <row r="18" s="3" customFormat="1" ht="12.75" customHeight="1">
      <c r="C18" t="s" s="26">
        <v>26</v>
      </c>
      <c r="D18" s="26"/>
      <c r="E18" s="26"/>
      <c r="G18" t="s" s="26">
        <v>27</v>
      </c>
      <c r="H18" s="26"/>
      <c r="I18" s="26"/>
    </row>
    <row r="19" s="3" customFormat="1" ht="12.75" customHeight="1">
      <c r="C19" t="s" s="3">
        <v>24</v>
      </c>
      <c r="E19" s="40">
        <f>F12</f>
        <v>0</v>
      </c>
      <c r="G19" t="s" s="3">
        <v>28</v>
      </c>
      <c r="I19" s="40">
        <f>Y10</f>
        <v>7600</v>
      </c>
    </row>
    <row r="20" s="3" customFormat="1" ht="12.75" customHeight="1">
      <c r="C20" t="s" s="3">
        <v>107</v>
      </c>
      <c r="E20" s="40">
        <f>F13</f>
        <v>8741.986499999999</v>
      </c>
      <c r="G20" t="s" s="3">
        <v>280</v>
      </c>
      <c r="I20" s="40">
        <f>Y11+Y12</f>
        <v>7829.696999999999</v>
      </c>
    </row>
    <row r="21" s="3" customFormat="1" ht="12.75" customHeight="1">
      <c r="C21" t="s" s="3">
        <v>108</v>
      </c>
      <c r="E21" s="40">
        <f>F14</f>
        <v>2689.8419999999996</v>
      </c>
      <c r="G21" t="s" s="3">
        <v>11</v>
      </c>
      <c r="I21" s="40">
        <f>I5</f>
        <v>100</v>
      </c>
    </row>
    <row r="22" s="3" customFormat="1" ht="12.75" customHeight="1">
      <c r="C22" t="s" s="3">
        <v>103</v>
      </c>
      <c r="E22" s="40">
        <f>I8</f>
        <v>50</v>
      </c>
      <c r="G22" t="s" s="3">
        <v>10</v>
      </c>
      <c r="I22" s="40">
        <f>I4</f>
        <v>175</v>
      </c>
    </row>
    <row r="23" ht="12.75" customHeight="1">
      <c r="C23" t="s" s="6">
        <v>279</v>
      </c>
      <c r="E23" s="39">
        <f>E24-SUM(E19:E22)</f>
        <v>4455.505070000001</v>
      </c>
      <c r="G23" t="s" s="6">
        <v>29</v>
      </c>
      <c r="I23" s="39">
        <f>M16</f>
        <v>232.63656999999998</v>
      </c>
    </row>
    <row r="24" ht="12.75" customHeight="1">
      <c r="C24" t="s" s="66">
        <v>30</v>
      </c>
      <c r="D24" s="66"/>
      <c r="E24" s="71">
        <f>I24</f>
        <v>15937.33357</v>
      </c>
      <c r="G24" t="s" s="66">
        <v>31</v>
      </c>
      <c r="H24" s="66"/>
      <c r="I24" s="71">
        <f>SUM(I19:I23)</f>
        <v>15937.33357</v>
      </c>
    </row>
    <row r="25" ht="12.75" customHeight="1"/>
    <row r="26" s="3" customFormat="1" ht="12.75" customHeight="1">
      <c r="C26" t="s" s="26">
        <v>32</v>
      </c>
      <c r="D26" s="26"/>
      <c r="E26" s="26"/>
      <c r="F26" s="26"/>
      <c r="G26" s="26"/>
      <c r="H26" s="26"/>
      <c r="I26" s="26"/>
      <c r="J26" s="26"/>
      <c r="K26" s="26"/>
      <c r="L26" s="26"/>
      <c r="M26" s="26"/>
      <c r="N26" s="26"/>
      <c r="O26" s="26"/>
      <c r="P26" s="26"/>
      <c r="Q26" s="26"/>
      <c r="R26" s="26"/>
      <c r="S26" s="26"/>
      <c r="T26" s="26"/>
    </row>
    <row r="27" s="5" customFormat="1" ht="12.75" customHeight="1">
      <c r="E27" t="s" s="72">
        <v>33</v>
      </c>
      <c r="S27" t="s" s="72">
        <v>34</v>
      </c>
    </row>
    <row r="28" ht="12.75" customHeight="1">
      <c r="E28" s="75">
        <f>DATE(2023,12,31)</f>
        <v>45291</v>
      </c>
      <c r="F28" s="75">
        <f>EOMONTH(E28,12)</f>
        <v>45657</v>
      </c>
      <c r="G28" s="75">
        <f>EOMONTH(F28,12)</f>
        <v>46022</v>
      </c>
      <c r="H28" s="76">
        <f>EOMONTH(G28,12)</f>
        <v>46387</v>
      </c>
      <c r="I28" s="76">
        <f>EOMONTH(H28,12)</f>
        <v>46752</v>
      </c>
      <c r="J28" s="76">
        <f>EOMONTH(I28,12)</f>
        <v>47118</v>
      </c>
      <c r="K28" s="76">
        <f>EOMONTH(J28,12)</f>
        <v>47483</v>
      </c>
      <c r="L28" s="76">
        <f>EOMONTH(K28,12)</f>
        <v>47848</v>
      </c>
      <c r="M28" s="76">
        <f>EOMONTH(L28,12)</f>
        <v>48213</v>
      </c>
      <c r="N28" s="76">
        <f>EOMONTH(M28,12)</f>
        <v>48579</v>
      </c>
      <c r="O28" s="76">
        <f>EOMONTH(N28,12)</f>
        <v>48944</v>
      </c>
      <c r="P28" s="76">
        <f>EOMONTH(O28,12)</f>
        <v>49309</v>
      </c>
      <c r="Q28" s="76">
        <f>EOMONTH(P28,12)</f>
        <v>49674</v>
      </c>
      <c r="R28" s="76">
        <f>EOMONTH(Q28,12)</f>
        <v>50040</v>
      </c>
      <c r="S28" t="s" s="123">
        <v>139</v>
      </c>
      <c r="T28" t="s" s="123">
        <v>140</v>
      </c>
    </row>
    <row r="29" ht="12.75" customHeight="1">
      <c r="C29" t="s" s="6">
        <v>225</v>
      </c>
      <c r="E29" t="s" s="243">
        <v>109</v>
      </c>
      <c r="F29" s="166">
        <f>E34</f>
        <v>353</v>
      </c>
      <c r="G29" s="166">
        <f>F34</f>
        <v>359</v>
      </c>
      <c r="H29" s="38">
        <f>G34</f>
        <v>359</v>
      </c>
      <c r="I29" s="38">
        <f>H34</f>
        <v>359.35900000000004</v>
      </c>
      <c r="J29" s="38">
        <f>I34</f>
        <v>361.51515400000005</v>
      </c>
      <c r="K29" s="38">
        <f>J34</f>
        <v>365.8533358480001</v>
      </c>
      <c r="L29" s="38">
        <f>K34</f>
        <v>372.4386958932641</v>
      </c>
      <c r="M29" s="38">
        <f>L34</f>
        <v>380.6323472029159</v>
      </c>
      <c r="N29" s="38">
        <f>M34</f>
        <v>390.1481558829888</v>
      </c>
      <c r="O29" s="38">
        <f>N34</f>
        <v>399.90185978006355</v>
      </c>
      <c r="P29" s="38">
        <f>O34</f>
        <v>409.89940627456514</v>
      </c>
      <c r="Q29" s="38">
        <f>P34</f>
        <v>420.14689143142925</v>
      </c>
      <c r="R29" s="38">
        <f>Q34</f>
        <v>430.650563717215</v>
      </c>
      <c r="S29" s="79"/>
      <c r="T29" s="79"/>
    </row>
    <row r="30" s="5" customFormat="1" ht="12.75" customHeight="1">
      <c r="C30" t="s" s="6">
        <v>226</v>
      </c>
      <c r="D30" s="6"/>
      <c r="E30" t="s" s="243">
        <v>109</v>
      </c>
      <c r="F30" s="166">
        <f>F34-F29-F32</f>
        <v>50.831</v>
      </c>
      <c r="G30" s="166">
        <f>G34-G29-G32</f>
        <v>47.029</v>
      </c>
      <c r="H30" s="38">
        <f>H29*H31</f>
        <v>47.388000000000005</v>
      </c>
      <c r="I30" s="38">
        <f>I29*I31</f>
        <v>48.154106000000006</v>
      </c>
      <c r="J30" s="38">
        <f>J29*J31</f>
        <v>49.16606094400001</v>
      </c>
      <c r="K30" s="38">
        <f>K29*K31</f>
        <v>50.487760347024015</v>
      </c>
      <c r="L30" s="38">
        <f>L29*L31</f>
        <v>51.76897872916371</v>
      </c>
      <c r="M30" s="38">
        <f>M29*M31</f>
        <v>53.288528608408235</v>
      </c>
      <c r="N30" s="38">
        <f>N29*N31</f>
        <v>54.62074182361844</v>
      </c>
      <c r="O30" s="38">
        <f>O29*O31</f>
        <v>55.9862603692089</v>
      </c>
      <c r="P30" s="38">
        <f>P29*P31</f>
        <v>57.385916878439126</v>
      </c>
      <c r="Q30" s="38">
        <f>Q29*Q31</f>
        <v>58.8205648004001</v>
      </c>
      <c r="R30" s="38">
        <f>R29*R31</f>
        <v>60.29107892041011</v>
      </c>
      <c r="S30" s="79"/>
      <c r="T30" s="79"/>
    </row>
    <row r="31" ht="12.75" customHeight="1">
      <c r="C31" t="s" s="78">
        <v>227</v>
      </c>
      <c r="D31" s="5"/>
      <c r="E31" t="s" s="244">
        <v>109</v>
      </c>
      <c r="F31" s="42">
        <f>F30/F29</f>
        <v>0.1439971671388102</v>
      </c>
      <c r="G31" s="42">
        <f>G30/G29</f>
        <v>0.131</v>
      </c>
      <c r="H31" s="74">
        <f>'Driver Assumptions'!F8</f>
        <v>0.132</v>
      </c>
      <c r="I31" s="74">
        <f>'Driver Assumptions'!G8</f>
        <v>0.134</v>
      </c>
      <c r="J31" s="74">
        <f>'Driver Assumptions'!H8</f>
        <v>0.136</v>
      </c>
      <c r="K31" s="74">
        <f>'Driver Assumptions'!I8</f>
        <v>0.138</v>
      </c>
      <c r="L31" s="74">
        <f>'Driver Assumptions'!J8</f>
        <v>0.139</v>
      </c>
      <c r="M31" s="74">
        <f>'Driver Assumptions'!K8</f>
        <v>0.14</v>
      </c>
      <c r="N31" s="74">
        <f>'Driver Assumptions'!L8</f>
        <v>0.14</v>
      </c>
      <c r="O31" s="74">
        <f>'Driver Assumptions'!M8</f>
        <v>0.14</v>
      </c>
      <c r="P31" s="74">
        <f>'Driver Assumptions'!N8</f>
        <v>0.14</v>
      </c>
      <c r="Q31" s="74">
        <f>'Driver Assumptions'!O8</f>
        <v>0.14</v>
      </c>
      <c r="R31" s="74">
        <f>'Driver Assumptions'!P8</f>
        <v>0.14</v>
      </c>
      <c r="S31" s="79"/>
      <c r="T31" s="79"/>
    </row>
    <row r="32" s="5" customFormat="1" ht="12.75" customHeight="1">
      <c r="C32" t="s" s="6">
        <v>228</v>
      </c>
      <c r="D32" s="6"/>
      <c r="E32" t="s" s="243">
        <v>109</v>
      </c>
      <c r="F32" s="166">
        <f>-F29*F33</f>
        <v>-44.831</v>
      </c>
      <c r="G32" s="166">
        <f>-G29*G33</f>
        <v>-47.029</v>
      </c>
      <c r="H32" s="38">
        <f>-H29*H33</f>
        <v>-47.029</v>
      </c>
      <c r="I32" s="38">
        <f>-I29*I33</f>
        <v>-45.997952000000005</v>
      </c>
      <c r="J32" s="38">
        <f>-J29*J33</f>
        <v>-44.827879096000004</v>
      </c>
      <c r="K32" s="38">
        <f>-K29*K33</f>
        <v>-43.90240030176001</v>
      </c>
      <c r="L32" s="38">
        <f>-L29*L33</f>
        <v>-43.5753274195119</v>
      </c>
      <c r="M32" s="38">
        <f>-M29*M33</f>
        <v>-43.772719928335334</v>
      </c>
      <c r="N32" s="38">
        <f>-N29*N33</f>
        <v>-44.867037926543716</v>
      </c>
      <c r="O32" s="38">
        <f>-O29*O33</f>
        <v>-45.98871387470731</v>
      </c>
      <c r="P32" s="38">
        <f>-P29*P33</f>
        <v>-47.138431721574996</v>
      </c>
      <c r="Q32" s="38">
        <f>-Q29*Q33</f>
        <v>-48.316892514614366</v>
      </c>
      <c r="R32" s="38">
        <f>-R29*R33</f>
        <v>-49.52481482747972</v>
      </c>
      <c r="S32" s="79"/>
      <c r="T32" s="79"/>
    </row>
    <row r="33" ht="12.75" customHeight="1">
      <c r="C33" t="s" s="78">
        <v>229</v>
      </c>
      <c r="D33" s="5"/>
      <c r="E33" s="248">
        <f>'Income Statement'!B26</f>
        <v>0.129</v>
      </c>
      <c r="F33" s="74">
        <f>'Income Statement'!C26</f>
        <v>0.127</v>
      </c>
      <c r="G33" s="74">
        <f>'Income Statement'!D26</f>
        <v>0.131</v>
      </c>
      <c r="H33" s="74">
        <f>'Driver Assumptions'!F13+$M$8</f>
        <v>0.131</v>
      </c>
      <c r="I33" s="74">
        <f>'Driver Assumptions'!G13+$M$8</f>
        <v>0.128</v>
      </c>
      <c r="J33" s="74">
        <f>'Driver Assumptions'!H13+$M$8</f>
        <v>0.124</v>
      </c>
      <c r="K33" s="74">
        <f>'Driver Assumptions'!I13+$M$8</f>
        <v>0.12</v>
      </c>
      <c r="L33" s="74">
        <f>'Driver Assumptions'!J13+$M$8</f>
        <v>0.117</v>
      </c>
      <c r="M33" s="74">
        <f>'Driver Assumptions'!K13+$M$8</f>
        <v>0.115</v>
      </c>
      <c r="N33" s="74">
        <f>'Driver Assumptions'!L13+$M$8</f>
        <v>0.115</v>
      </c>
      <c r="O33" s="74">
        <f>'Driver Assumptions'!M13+$M$8</f>
        <v>0.115</v>
      </c>
      <c r="P33" s="74">
        <f>'Driver Assumptions'!N13+$M$8</f>
        <v>0.115</v>
      </c>
      <c r="Q33" s="74">
        <f>'Driver Assumptions'!O13+$M$8</f>
        <v>0.115</v>
      </c>
      <c r="R33" s="74">
        <f>'Driver Assumptions'!P13+$M$8</f>
        <v>0.115</v>
      </c>
      <c r="S33" s="79"/>
      <c r="T33" s="79"/>
    </row>
    <row r="34" s="5" customFormat="1" ht="12.75" customHeight="1">
      <c r="C34" t="s" s="66">
        <v>230</v>
      </c>
      <c r="D34" s="66"/>
      <c r="E34" s="249">
        <f>'Income Statement'!B25</f>
        <v>353</v>
      </c>
      <c r="F34" s="271">
        <f>'Income Statement'!C25</f>
        <v>359</v>
      </c>
      <c r="G34" s="271">
        <f>'Income Statement'!D25</f>
        <v>359</v>
      </c>
      <c r="H34" s="81">
        <f>H29+H30+H32</f>
        <v>359.35900000000004</v>
      </c>
      <c r="I34" s="81">
        <f>I29+I30+I32</f>
        <v>361.51515400000005</v>
      </c>
      <c r="J34" s="81">
        <f>J29+J30+J32</f>
        <v>365.8533358480001</v>
      </c>
      <c r="K34" s="81">
        <f>K29+K30+K32</f>
        <v>372.4386958932641</v>
      </c>
      <c r="L34" s="81">
        <f>L29+L30+L32</f>
        <v>380.6323472029159</v>
      </c>
      <c r="M34" s="81">
        <f>M29+M30+M32</f>
        <v>390.1481558829888</v>
      </c>
      <c r="N34" s="81">
        <f>N29+N30+N32</f>
        <v>399.90185978006355</v>
      </c>
      <c r="O34" s="81">
        <f>O29+O30+O32</f>
        <v>409.89940627456514</v>
      </c>
      <c r="P34" s="81">
        <f>P29+P30+P32</f>
        <v>420.14689143142925</v>
      </c>
      <c r="Q34" s="81">
        <f>Q29+Q30+Q32</f>
        <v>430.650563717215</v>
      </c>
      <c r="R34" s="81">
        <f>R29+R30+R32</f>
        <v>441.4168278101454</v>
      </c>
      <c r="S34" s="80">
        <f>IF(OR(E34&lt;=0,G34&lt;=0),"n.m.",(G34/E34)^(1/(YEAR($G$28)-YEAR($E$28)))-1)</f>
        <v>0.008462774295020958</v>
      </c>
      <c r="T34" s="80">
        <f>IF(OR(H34&lt;=0,M34&lt;=0),"n.m.",(M34/H34)^(1/(YEAR($M$28)-YEAR($H$28)))-1)</f>
        <v>0.01657682887784695</v>
      </c>
    </row>
    <row r="35" s="5" customFormat="1" ht="12.75" customHeight="1">
      <c r="C35" t="s" s="6">
        <v>231</v>
      </c>
      <c r="D35" s="6"/>
      <c r="E35" t="s" s="243">
        <v>109</v>
      </c>
      <c r="F35" s="166">
        <f>AVERAGE(F29,F34)</f>
        <v>356</v>
      </c>
      <c r="G35" s="166">
        <f>AVERAGE(G29,G34)</f>
        <v>359</v>
      </c>
      <c r="H35" s="38">
        <f>AVERAGE(H29,H34)</f>
        <v>359.1795</v>
      </c>
      <c r="I35" s="38">
        <f>AVERAGE(I29,I34)</f>
        <v>360.43707700000004</v>
      </c>
      <c r="J35" s="38">
        <f>AVERAGE(J29,J34)</f>
        <v>363.68424492400004</v>
      </c>
      <c r="K35" s="38">
        <f>AVERAGE(K29,K34)</f>
        <v>369.1460158706321</v>
      </c>
      <c r="L35" s="38">
        <f>AVERAGE(L29,L34)</f>
        <v>376.53552154809</v>
      </c>
      <c r="M35" s="38">
        <f>AVERAGE(M29,M34)</f>
        <v>385.39025154295234</v>
      </c>
      <c r="N35" s="38">
        <f>AVERAGE(N29,N34)</f>
        <v>395.0250078315262</v>
      </c>
      <c r="O35" s="38">
        <f>AVERAGE(O29,O34)</f>
        <v>404.90063302731437</v>
      </c>
      <c r="P35" s="38">
        <f>AVERAGE(P29,P34)</f>
        <v>415.0231488529972</v>
      </c>
      <c r="Q35" s="38">
        <f>AVERAGE(Q29,Q34)</f>
        <v>425.39872757432215</v>
      </c>
      <c r="R35" s="38">
        <f>AVERAGE(R29,R34)</f>
        <v>436.03369576368016</v>
      </c>
      <c r="S35" s="79"/>
      <c r="T35" s="79"/>
    </row>
    <row r="36" s="5" customFormat="1" ht="12.75" customHeight="1">
      <c r="C36" t="s" s="78">
        <v>232</v>
      </c>
      <c r="E36" t="s" s="246">
        <v>109</v>
      </c>
      <c r="F36" s="152">
        <f>F38/F35</f>
        <v>12.058988764044944</v>
      </c>
      <c r="G36" s="152">
        <f>G38/G35</f>
        <v>12.128133704735376</v>
      </c>
      <c r="H36" s="152">
        <f>G36</f>
        <v>12.128133704735376</v>
      </c>
      <c r="I36" s="152">
        <f>H36</f>
        <v>12.128133704735376</v>
      </c>
      <c r="J36" s="152">
        <f>I36</f>
        <v>12.128133704735376</v>
      </c>
      <c r="K36" s="152">
        <f>J36</f>
        <v>12.128133704735376</v>
      </c>
      <c r="L36" s="152">
        <f>K36</f>
        <v>12.128133704735376</v>
      </c>
      <c r="M36" s="152">
        <f>L36</f>
        <v>12.128133704735376</v>
      </c>
      <c r="N36" s="152">
        <f>M36</f>
        <v>12.128133704735376</v>
      </c>
      <c r="O36" s="152">
        <f>N36</f>
        <v>12.128133704735376</v>
      </c>
      <c r="P36" s="152">
        <f>O36</f>
        <v>12.128133704735376</v>
      </c>
      <c r="Q36" s="152">
        <f>P36</f>
        <v>12.128133704735376</v>
      </c>
      <c r="R36" s="152">
        <f>Q36</f>
        <v>12.128133704735376</v>
      </c>
      <c r="S36" s="79"/>
      <c r="T36" s="79"/>
    </row>
    <row r="37" s="5" customFormat="1" ht="12.75" customHeight="1">
      <c r="C37" s="6"/>
      <c r="D37" s="6"/>
      <c r="E37" s="243"/>
      <c r="F37" s="38"/>
      <c r="G37" s="38"/>
      <c r="H37" s="38"/>
      <c r="I37" s="38"/>
      <c r="J37" s="38"/>
      <c r="K37" s="38"/>
      <c r="L37" s="38"/>
      <c r="M37" s="38"/>
      <c r="N37" s="38"/>
      <c r="O37" s="38"/>
      <c r="P37" s="38"/>
      <c r="Q37" s="38"/>
      <c r="R37" s="38"/>
      <c r="S37" s="79"/>
      <c r="T37" s="79"/>
    </row>
    <row r="38" s="5" customFormat="1" ht="12.75" customHeight="1">
      <c r="C38" t="s" s="6">
        <v>233</v>
      </c>
      <c r="D38" s="6"/>
      <c r="E38" s="155">
        <f>'Income Statement'!B5</f>
        <v>4179</v>
      </c>
      <c r="F38" s="73">
        <f>'Income Statement'!C5</f>
        <v>4293</v>
      </c>
      <c r="G38" s="73">
        <f>'Income Statement'!D5</f>
        <v>4354</v>
      </c>
      <c r="H38" s="38">
        <f>H35*H36</f>
        <v>4356.177000000001</v>
      </c>
      <c r="I38" s="38">
        <f>I35*I36</f>
        <v>4371.429062</v>
      </c>
      <c r="J38" s="38">
        <f>J35*J36</f>
        <v>4410.811148744</v>
      </c>
      <c r="K38" s="38">
        <f>K35*K36</f>
        <v>4477.052237049393</v>
      </c>
      <c r="L38" s="38">
        <f>L35*L36</f>
        <v>4566.673149917504</v>
      </c>
      <c r="M38" s="38">
        <f>M35*M36</f>
        <v>4674.064499214525</v>
      </c>
      <c r="N38" s="38">
        <f>N35*N36</f>
        <v>4790.916111694888</v>
      </c>
      <c r="O38" s="38">
        <f>O35*O36</f>
        <v>4910.689014487261</v>
      </c>
      <c r="P38" s="38">
        <f>P35*P36</f>
        <v>5033.456239849443</v>
      </c>
      <c r="Q38" s="38">
        <f>Q35*Q36</f>
        <v>5159.292645845679</v>
      </c>
      <c r="R38" s="38">
        <f>R35*R36</f>
        <v>5288.27496199182</v>
      </c>
      <c r="S38" s="79"/>
      <c r="T38" s="79"/>
    </row>
    <row r="39" s="5" customFormat="1" ht="12.75" customHeight="1">
      <c r="C39" t="s" s="78">
        <v>36</v>
      </c>
      <c r="E39" t="s" s="244">
        <v>109</v>
      </c>
      <c r="F39" s="42">
        <f>F38/E38-1</f>
        <v>0.027279253409906667</v>
      </c>
      <c r="G39" s="42">
        <f>G38/F38-1</f>
        <v>0.014209177731190348</v>
      </c>
      <c r="H39" s="42">
        <f>H38/G38-1</f>
        <v>0.000500000000000167</v>
      </c>
      <c r="I39" s="42">
        <f>I38/H38-1</f>
        <v>0.0035012493753121543</v>
      </c>
      <c r="J39" s="42">
        <f>J38/I38-1</f>
        <v>0.009008973080757654</v>
      </c>
      <c r="K39" s="42">
        <f>K38/J38-1</f>
        <v>0.015017892644135333</v>
      </c>
      <c r="L39" s="42">
        <f>L38/K38-1</f>
        <v>0.020017839444995245</v>
      </c>
      <c r="M39" s="42">
        <f>M38/L38-1</f>
        <v>0.023516320474777475</v>
      </c>
      <c r="N39" s="42">
        <f>N38/M38-1</f>
        <v>0.02499999999999991</v>
      </c>
      <c r="O39" s="42">
        <f>O38/N38-1</f>
        <v>0.025000000000000133</v>
      </c>
      <c r="P39" s="42">
        <f>P38/O38-1</f>
        <v>0.02499999999999991</v>
      </c>
      <c r="Q39" s="42">
        <f>Q38/P38-1</f>
        <v>0.02499999999999991</v>
      </c>
      <c r="R39" s="42">
        <f>R38/Q38-1</f>
        <v>0.02499999999999991</v>
      </c>
      <c r="S39" s="79"/>
      <c r="T39" s="79"/>
    </row>
    <row r="40" s="5" customFormat="1" ht="12.75" customHeight="1">
      <c r="C40" t="s" s="6">
        <v>234</v>
      </c>
      <c r="D40" s="6"/>
      <c r="E40" s="155">
        <f>'Income Statement'!B6</f>
        <v>474</v>
      </c>
      <c r="F40" s="73">
        <f>'Income Statement'!C6</f>
        <v>605</v>
      </c>
      <c r="G40" s="73">
        <f>'Income Statement'!D6</f>
        <v>775</v>
      </c>
      <c r="H40" s="38">
        <f>H30*H41</f>
        <v>852.9840000000002</v>
      </c>
      <c r="I40" s="38">
        <f>I30*I41</f>
        <v>890.8509610000001</v>
      </c>
      <c r="J40" s="38">
        <f>J30*J41</f>
        <v>934.1551579360001</v>
      </c>
      <c r="K40" s="38">
        <f>K30*K41</f>
        <v>984.5113267669683</v>
      </c>
      <c r="L40" s="38">
        <f>L30*L41</f>
        <v>1035.3795745832742</v>
      </c>
      <c r="M40" s="38">
        <f>M30*M41</f>
        <v>1092.4148364723687</v>
      </c>
      <c r="N40" s="38">
        <f>N30*N41</f>
        <v>1119.725207384178</v>
      </c>
      <c r="O40" s="38">
        <f>O30*O41</f>
        <v>1147.7183375687825</v>
      </c>
      <c r="P40" s="38">
        <f>P30*P41</f>
        <v>1176.4112960080022</v>
      </c>
      <c r="Q40" s="38">
        <f>Q30*Q41</f>
        <v>1205.821578408202</v>
      </c>
      <c r="R40" s="38">
        <f>R30*R41</f>
        <v>1235.9671178684073</v>
      </c>
      <c r="S40" s="79"/>
      <c r="T40" s="79"/>
    </row>
    <row r="41" s="5" customFormat="1" ht="12.75" customHeight="1">
      <c r="C41" t="s" s="78">
        <v>235</v>
      </c>
      <c r="E41" t="s" s="247">
        <v>109</v>
      </c>
      <c r="F41" s="153">
        <f>F40/F30</f>
        <v>11.902185674096515</v>
      </c>
      <c r="G41" s="153">
        <f>G40/G30</f>
        <v>16.479193689000404</v>
      </c>
      <c r="H41" s="154">
        <f>'Driver Assumptions'!F18</f>
        <v>18</v>
      </c>
      <c r="I41" s="154">
        <f>'Driver Assumptions'!G18</f>
        <v>18.5</v>
      </c>
      <c r="J41" s="154">
        <f>'Driver Assumptions'!H18</f>
        <v>19</v>
      </c>
      <c r="K41" s="154">
        <f>'Driver Assumptions'!I18</f>
        <v>19.5</v>
      </c>
      <c r="L41" s="154">
        <f>'Driver Assumptions'!J18</f>
        <v>20</v>
      </c>
      <c r="M41" s="154">
        <f>'Driver Assumptions'!K18</f>
        <v>20.5</v>
      </c>
      <c r="N41" s="154">
        <f>'Driver Assumptions'!L18</f>
        <v>20.5</v>
      </c>
      <c r="O41" s="154">
        <f>'Driver Assumptions'!M18</f>
        <v>20.5</v>
      </c>
      <c r="P41" s="154">
        <f>'Driver Assumptions'!N18</f>
        <v>20.5</v>
      </c>
      <c r="Q41" s="154">
        <f>'Driver Assumptions'!O18</f>
        <v>20.5</v>
      </c>
      <c r="R41" s="154">
        <f>'Driver Assumptions'!P18</f>
        <v>20.5</v>
      </c>
      <c r="S41" s="79"/>
      <c r="T41" s="79"/>
    </row>
    <row r="42" s="5" customFormat="1" ht="12.75" customHeight="1">
      <c r="C42" t="s" s="66">
        <v>236</v>
      </c>
      <c r="D42" s="66"/>
      <c r="E42" s="245">
        <f>E38+E40</f>
        <v>4653</v>
      </c>
      <c r="F42" s="81">
        <f>F38+F40</f>
        <v>4898</v>
      </c>
      <c r="G42" s="81">
        <f>G38+G40</f>
        <v>5129</v>
      </c>
      <c r="H42" s="81">
        <f>H38+H40</f>
        <v>5209.161000000001</v>
      </c>
      <c r="I42" s="81">
        <f>I38+I40</f>
        <v>5262.280023</v>
      </c>
      <c r="J42" s="81">
        <f>J38+J40</f>
        <v>5344.96630668</v>
      </c>
      <c r="K42" s="81">
        <f>K38+K40</f>
        <v>5461.563563816361</v>
      </c>
      <c r="L42" s="81">
        <f>L38+L40</f>
        <v>5602.052724500778</v>
      </c>
      <c r="M42" s="81">
        <f>M38+M40</f>
        <v>5766.479335686894</v>
      </c>
      <c r="N42" s="81">
        <f>N38+N40</f>
        <v>5910.641319079066</v>
      </c>
      <c r="O42" s="81">
        <f>O38+O40</f>
        <v>6058.407352056044</v>
      </c>
      <c r="P42" s="81">
        <f>P38+P40</f>
        <v>6209.867535857445</v>
      </c>
      <c r="Q42" s="81">
        <f>Q38+Q40</f>
        <v>6365.114224253881</v>
      </c>
      <c r="R42" s="81">
        <f>R38+R40</f>
        <v>6524.242079860228</v>
      </c>
      <c r="S42" s="80">
        <f>IF(OR(E42&lt;=0,G42&lt;=0),"n.m.",(G42/E42)^(1/(YEAR($G$28)-YEAR($E$28)))-1)</f>
        <v>0.04990456312052194</v>
      </c>
      <c r="T42" s="80">
        <f>IF(OR(H42&lt;=0,M42&lt;=0),"n.m.",(M42/H42)^(1/(YEAR($M$28)-YEAR($H$28)))-1)</f>
        <v>0.020536617115164413</v>
      </c>
    </row>
    <row r="43" s="5" customFormat="1" ht="12.75" customHeight="1">
      <c r="C43" t="s" s="78">
        <v>36</v>
      </c>
      <c r="E43" t="s" s="244">
        <v>109</v>
      </c>
      <c r="F43" s="42">
        <f>F42/E42-1</f>
        <v>0.05265420159037171</v>
      </c>
      <c r="G43" s="42">
        <f>G42/F42-1</f>
        <v>0.04716210698244172</v>
      </c>
      <c r="H43" s="42">
        <f>H42/G42-1</f>
        <v>0.01562897250926132</v>
      </c>
      <c r="I43" s="42">
        <f>I42/H42-1</f>
        <v>0.010197231953475772</v>
      </c>
      <c r="J43" s="42">
        <f>J42/I42-1</f>
        <v>0.015713014761396416</v>
      </c>
      <c r="K43" s="42">
        <f>K42/J42-1</f>
        <v>0.021814404515635655</v>
      </c>
      <c r="L43" s="42">
        <f>L42/K42-1</f>
        <v>0.025723249220274136</v>
      </c>
      <c r="M43" s="42">
        <f>M42/L42-1</f>
        <v>0.0293511359625358</v>
      </c>
      <c r="N43" s="42">
        <f>N42/M42-1</f>
        <v>0.02499999999999991</v>
      </c>
      <c r="O43" s="42">
        <f>O42/N42-1</f>
        <v>0.025000000000000133</v>
      </c>
      <c r="P43" s="42">
        <f>P42/O42-1</f>
        <v>0.02499999999999991</v>
      </c>
      <c r="Q43" s="42">
        <f>Q42/P42-1</f>
        <v>0.02499999999999991</v>
      </c>
      <c r="R43" s="42">
        <f>R42/Q42-1</f>
        <v>0.02499999999999991</v>
      </c>
      <c r="S43" s="79"/>
      <c r="T43" s="79"/>
    </row>
    <row r="44" s="5" customFormat="1" ht="12.75" customHeight="1">
      <c r="C44" t="s" s="6">
        <v>237</v>
      </c>
      <c r="D44" s="6"/>
      <c r="E44" s="73">
        <f>'Income Statement'!B8</f>
        <v>-604</v>
      </c>
      <c r="F44" s="73">
        <f>'Income Statement'!C8</f>
        <v>-617</v>
      </c>
      <c r="G44" s="73">
        <f>'Income Statement'!D8</f>
        <v>-642</v>
      </c>
      <c r="H44" s="38">
        <f>-H38*H45</f>
        <v>-631.645665</v>
      </c>
      <c r="I44" s="38">
        <f>-I38*I45</f>
        <v>-612.00006868</v>
      </c>
      <c r="J44" s="38">
        <f>-J38*J45</f>
        <v>-595.4595050804401</v>
      </c>
      <c r="K44" s="38">
        <f>-K38*K45</f>
        <v>-582.0167908164211</v>
      </c>
      <c r="L44" s="38">
        <f>-L38*L45</f>
        <v>-570.834143739688</v>
      </c>
      <c r="M44" s="38">
        <f>-M38*M45</f>
        <v>-560.887739905743</v>
      </c>
      <c r="N44" s="38">
        <f>-N38*N45</f>
        <v>-574.9099334033865</v>
      </c>
      <c r="O44" s="38">
        <f>-O38*O45</f>
        <v>-589.2826817384713</v>
      </c>
      <c r="P44" s="38">
        <f>-P38*P45</f>
        <v>-604.0147487819331</v>
      </c>
      <c r="Q44" s="38">
        <f>-Q38*Q45</f>
        <v>-619.1151175014814</v>
      </c>
      <c r="R44" s="38">
        <f>-R38*R45</f>
        <v>-634.5929954390184</v>
      </c>
      <c r="S44" s="79"/>
      <c r="T44" s="79"/>
    </row>
    <row r="45" s="5" customFormat="1" ht="12.75" customHeight="1">
      <c r="C45" t="s" s="78">
        <v>238</v>
      </c>
      <c r="E45" s="42">
        <f>-E44/E38</f>
        <v>0.14453218473318977</v>
      </c>
      <c r="F45" s="42">
        <f>-F44/F38</f>
        <v>0.14372233869089215</v>
      </c>
      <c r="G45" s="42">
        <f>-G44/G38</f>
        <v>0.14745062011943041</v>
      </c>
      <c r="H45" s="74">
        <f>'Driver Assumptions'!F23</f>
        <v>0.145</v>
      </c>
      <c r="I45" s="74">
        <f>'Driver Assumptions'!G23</f>
        <v>0.14</v>
      </c>
      <c r="J45" s="74">
        <f>'Driver Assumptions'!H23</f>
        <v>0.135</v>
      </c>
      <c r="K45" s="74">
        <f>'Driver Assumptions'!I23</f>
        <v>0.13</v>
      </c>
      <c r="L45" s="74">
        <f>'Driver Assumptions'!J23</f>
        <v>0.125</v>
      </c>
      <c r="M45" s="74">
        <f>'Driver Assumptions'!K23</f>
        <v>0.12</v>
      </c>
      <c r="N45" s="74">
        <f>'Driver Assumptions'!L23</f>
        <v>0.12</v>
      </c>
      <c r="O45" s="74">
        <f>'Driver Assumptions'!M23</f>
        <v>0.12</v>
      </c>
      <c r="P45" s="74">
        <f>'Driver Assumptions'!N23</f>
        <v>0.12</v>
      </c>
      <c r="Q45" s="74">
        <f>'Driver Assumptions'!O23</f>
        <v>0.12</v>
      </c>
      <c r="R45" s="74">
        <f>'Driver Assumptions'!P23</f>
        <v>0.12</v>
      </c>
      <c r="S45" s="79"/>
      <c r="T45" s="79"/>
    </row>
    <row r="46" s="5" customFormat="1" ht="12.75" customHeight="1">
      <c r="C46" t="s" s="6">
        <v>239</v>
      </c>
      <c r="D46" s="6"/>
      <c r="E46" s="73">
        <f>'Income Statement'!B9</f>
        <v>-147</v>
      </c>
      <c r="F46" s="73">
        <f>'Income Statement'!C9</f>
        <v>-230</v>
      </c>
      <c r="G46" s="73">
        <f>'Income Statement'!D9</f>
        <v>-341</v>
      </c>
      <c r="H46" s="38">
        <f>-H40*H47</f>
        <v>-383.84280000000007</v>
      </c>
      <c r="I46" s="38">
        <f>-I40*I47</f>
        <v>-400.88293245000006</v>
      </c>
      <c r="J46" s="38">
        <f>-J40*J47</f>
        <v>-420.3698210712001</v>
      </c>
      <c r="K46" s="38">
        <f>-K40*K47</f>
        <v>-443.03009704513573</v>
      </c>
      <c r="L46" s="38">
        <f>-L40*L47</f>
        <v>-465.92080856247344</v>
      </c>
      <c r="M46" s="38">
        <f>-M40*M47</f>
        <v>-491.58667641256596</v>
      </c>
      <c r="N46" s="38">
        <f>-N40*N47</f>
        <v>-503.87634332288013</v>
      </c>
      <c r="O46" s="38">
        <f>-O40*O47</f>
        <v>-516.4732519059521</v>
      </c>
      <c r="P46" s="38">
        <f>-P40*P47</f>
        <v>-529.385083203601</v>
      </c>
      <c r="Q46" s="38">
        <f>-Q40*Q47</f>
        <v>-542.6197102836909</v>
      </c>
      <c r="R46" s="38">
        <f>-R40*R47</f>
        <v>-556.1852030407833</v>
      </c>
      <c r="S46" s="79"/>
      <c r="T46" s="79"/>
    </row>
    <row r="47" s="5" customFormat="1" ht="12.75" customHeight="1">
      <c r="C47" t="s" s="78">
        <v>240</v>
      </c>
      <c r="E47" s="42">
        <f>-E46/E40</f>
        <v>0.310126582278481</v>
      </c>
      <c r="F47" s="42">
        <f>-F46/F40</f>
        <v>0.38016528925619836</v>
      </c>
      <c r="G47" s="42">
        <f>-G46/G40</f>
        <v>0.44</v>
      </c>
      <c r="H47" s="74">
        <f>'Driver Assumptions'!F38</f>
        <v>0.45</v>
      </c>
      <c r="I47" s="74">
        <f>'Driver Assumptions'!G38</f>
        <v>0.45</v>
      </c>
      <c r="J47" s="74">
        <f>'Driver Assumptions'!H38</f>
        <v>0.45</v>
      </c>
      <c r="K47" s="74">
        <f>'Driver Assumptions'!I38</f>
        <v>0.45</v>
      </c>
      <c r="L47" s="74">
        <f>'Driver Assumptions'!J38</f>
        <v>0.45</v>
      </c>
      <c r="M47" s="74">
        <f>'Driver Assumptions'!K38</f>
        <v>0.45</v>
      </c>
      <c r="N47" s="74">
        <f>'Driver Assumptions'!L38</f>
        <v>0.45</v>
      </c>
      <c r="O47" s="74">
        <f>'Driver Assumptions'!M38</f>
        <v>0.45</v>
      </c>
      <c r="P47" s="74">
        <f>'Driver Assumptions'!N38</f>
        <v>0.45</v>
      </c>
      <c r="Q47" s="74">
        <f>'Driver Assumptions'!O38</f>
        <v>0.45</v>
      </c>
      <c r="R47" s="74">
        <f>'Driver Assumptions'!P38</f>
        <v>0.45</v>
      </c>
      <c r="S47" s="79"/>
      <c r="T47" s="79"/>
    </row>
    <row r="48" s="5" customFormat="1" ht="12.75" customHeight="1">
      <c r="C48" t="s" s="66">
        <v>38</v>
      </c>
      <c r="D48" s="66"/>
      <c r="E48" s="81">
        <f>E42+E44+E46</f>
        <v>3902</v>
      </c>
      <c r="F48" s="81">
        <f>F42+F44+F46</f>
        <v>4051</v>
      </c>
      <c r="G48" s="81">
        <f>G42+G44+G46</f>
        <v>4146</v>
      </c>
      <c r="H48" s="81">
        <f>H42+H44+H46</f>
        <v>4193.672535000001</v>
      </c>
      <c r="I48" s="81">
        <f>I42+I44+I46</f>
        <v>4249.39702187</v>
      </c>
      <c r="J48" s="81">
        <f>J42+J44+J46</f>
        <v>4329.13698052836</v>
      </c>
      <c r="K48" s="81">
        <f>K42+K44+K46</f>
        <v>4436.516675954805</v>
      </c>
      <c r="L48" s="81">
        <f>L42+L44+L46</f>
        <v>4565.297772198616</v>
      </c>
      <c r="M48" s="81">
        <f>M42+M44+M46</f>
        <v>4714.004919368585</v>
      </c>
      <c r="N48" s="81">
        <f>N42+N44+N46</f>
        <v>4831.8550423527995</v>
      </c>
      <c r="O48" s="81">
        <f>O42+O44+O46</f>
        <v>4952.65141841162</v>
      </c>
      <c r="P48" s="81">
        <f>P42+P44+P46</f>
        <v>5076.467703871911</v>
      </c>
      <c r="Q48" s="81">
        <f>Q42+Q44+Q46</f>
        <v>5203.379396468708</v>
      </c>
      <c r="R48" s="81">
        <f>R42+R44+R46</f>
        <v>5333.463881380426</v>
      </c>
      <c r="S48" s="80"/>
      <c r="T48" s="80"/>
    </row>
    <row r="49" s="5" customFormat="1" ht="12.75" customHeight="1">
      <c r="C49" t="s" s="78">
        <v>39</v>
      </c>
      <c r="E49" s="42">
        <f>E48/E42</f>
        <v>0.8385987534923706</v>
      </c>
      <c r="F49" s="42">
        <f>F48/F42</f>
        <v>0.8270722743977134</v>
      </c>
      <c r="G49" s="42">
        <f>G48/G42</f>
        <v>0.8083447065704816</v>
      </c>
      <c r="H49" s="42">
        <f>H48/H42</f>
        <v>0.805057193471271</v>
      </c>
      <c r="I49" s="42">
        <f>I48/I42</f>
        <v>0.8075201249832842</v>
      </c>
      <c r="J49" s="42">
        <f>J48/J42</f>
        <v>0.8099465426223392</v>
      </c>
      <c r="K49" s="42">
        <f>K48/K42</f>
        <v>0.8123162211911917</v>
      </c>
      <c r="L49" s="42">
        <f>L48/L42</f>
        <v>0.8149330248592848</v>
      </c>
      <c r="M49" s="42">
        <f>M48/M42</f>
        <v>0.8174840565533841</v>
      </c>
      <c r="N49" s="42">
        <f>N48/N42</f>
        <v>0.817484056553384</v>
      </c>
      <c r="O49" s="42">
        <f>O48/O42</f>
        <v>0.817484056553384</v>
      </c>
      <c r="P49" s="42">
        <f>P48/P42</f>
        <v>0.8174840565533841</v>
      </c>
      <c r="Q49" s="42">
        <f>Q48/Q42</f>
        <v>0.817484056553384</v>
      </c>
      <c r="R49" s="42">
        <f>R48/R42</f>
        <v>0.817484056553384</v>
      </c>
      <c r="S49" s="79"/>
      <c r="T49" s="79"/>
    </row>
    <row r="50" ht="12.75" customHeight="1">
      <c r="E50" s="38"/>
      <c r="F50" s="38"/>
      <c r="G50" s="38"/>
      <c r="H50" s="38"/>
      <c r="I50" s="38"/>
      <c r="J50" s="38"/>
      <c r="K50" s="38"/>
      <c r="L50" s="38"/>
      <c r="M50" s="38"/>
      <c r="N50" s="38"/>
      <c r="O50" s="38"/>
      <c r="P50" s="38"/>
      <c r="Q50" s="38"/>
      <c r="R50" s="38"/>
      <c r="S50" s="79"/>
      <c r="T50" s="79"/>
    </row>
    <row r="51" ht="12.75" customHeight="1">
      <c r="C51" t="s" s="6">
        <v>241</v>
      </c>
      <c r="E51" s="73">
        <f>'Income Statement'!B23</f>
        <v>-1421</v>
      </c>
      <c r="F51" s="73">
        <f>'Income Statement'!C23</f>
        <v>-1473</v>
      </c>
      <c r="G51" s="73">
        <f>'Income Statement'!D23</f>
        <v>-1466</v>
      </c>
      <c r="H51" s="38">
        <f>-H42*H52</f>
        <v>-1484.610885</v>
      </c>
      <c r="I51" s="38">
        <f>-I42*I52</f>
        <v>-1447.1270063250001</v>
      </c>
      <c r="J51" s="38">
        <f>-J42*J52</f>
        <v>-1416.4160712702</v>
      </c>
      <c r="K51" s="38">
        <f>-K42*K52</f>
        <v>-1392.698708773172</v>
      </c>
      <c r="L51" s="38">
        <f>-L42*L52</f>
        <v>-1389.3090756761928</v>
      </c>
      <c r="M51" s="38">
        <f>-M42*M52</f>
        <v>-1395.4879992362282</v>
      </c>
      <c r="N51" s="38">
        <f>-N42*N52</f>
        <v>-1430.375199217134</v>
      </c>
      <c r="O51" s="38">
        <f>-O42*O52</f>
        <v>-1466.1345791975627</v>
      </c>
      <c r="P51" s="38">
        <f>-P42*P52</f>
        <v>-1502.7879436775015</v>
      </c>
      <c r="Q51" s="38">
        <f>-Q42*Q52</f>
        <v>-1540.357642269439</v>
      </c>
      <c r="R51" s="38">
        <f>-R42*R52</f>
        <v>-1578.866583326175</v>
      </c>
      <c r="S51" s="79"/>
      <c r="T51" s="79"/>
    </row>
    <row r="52" ht="12.75" customHeight="1">
      <c r="C52" t="s" s="78">
        <v>37</v>
      </c>
      <c r="D52" s="5"/>
      <c r="E52" s="42">
        <f>-E51/E42</f>
        <v>0.30539436922415647</v>
      </c>
      <c r="F52" s="42">
        <f>-F51/F42</f>
        <v>0.30073499387505104</v>
      </c>
      <c r="G52" s="42">
        <f>-G51/G42</f>
        <v>0.28582569701696237</v>
      </c>
      <c r="H52" s="74">
        <f>'Driver Assumptions'!F28</f>
        <v>0.285</v>
      </c>
      <c r="I52" s="74">
        <f>'Driver Assumptions'!G28</f>
        <v>0.275</v>
      </c>
      <c r="J52" s="74">
        <f>'Driver Assumptions'!H28</f>
        <v>0.265</v>
      </c>
      <c r="K52" s="74">
        <f>'Driver Assumptions'!I28</f>
        <v>0.255</v>
      </c>
      <c r="L52" s="74">
        <f>'Driver Assumptions'!J28</f>
        <v>0.248</v>
      </c>
      <c r="M52" s="74">
        <f>'Driver Assumptions'!K28</f>
        <v>0.242</v>
      </c>
      <c r="N52" s="74">
        <f>'Driver Assumptions'!L28</f>
        <v>0.242</v>
      </c>
      <c r="O52" s="74">
        <f>'Driver Assumptions'!M28</f>
        <v>0.242</v>
      </c>
      <c r="P52" s="74">
        <f>'Driver Assumptions'!N28</f>
        <v>0.242</v>
      </c>
      <c r="Q52" s="74">
        <f>'Driver Assumptions'!O28</f>
        <v>0.242</v>
      </c>
      <c r="R52" s="74">
        <f>'Driver Assumptions'!P28</f>
        <v>0.242</v>
      </c>
      <c r="S52" s="79"/>
      <c r="T52" s="79"/>
    </row>
    <row r="53" ht="12.75" customHeight="1">
      <c r="C53" t="s" s="66">
        <v>90</v>
      </c>
      <c r="D53" s="66"/>
      <c r="E53" s="81">
        <f>E48+E51</f>
        <v>2481</v>
      </c>
      <c r="F53" s="81">
        <f>F48+F51</f>
        <v>2578</v>
      </c>
      <c r="G53" s="81">
        <f>G48+G51</f>
        <v>2680</v>
      </c>
      <c r="H53" s="81">
        <f>H48+H51</f>
        <v>2709.0616500000006</v>
      </c>
      <c r="I53" s="81">
        <f>I48+I51</f>
        <v>2802.2700155449993</v>
      </c>
      <c r="J53" s="81">
        <f>J48+J51</f>
        <v>2912.72090925816</v>
      </c>
      <c r="K53" s="81">
        <f>K48+K51</f>
        <v>3043.8179671816324</v>
      </c>
      <c r="L53" s="81">
        <f>L48+L51</f>
        <v>3175.988696522423</v>
      </c>
      <c r="M53" s="81">
        <f>M48+M51</f>
        <v>3318.516920132357</v>
      </c>
      <c r="N53" s="81">
        <f>N48+N51</f>
        <v>3401.4798431356658</v>
      </c>
      <c r="O53" s="81">
        <f>O48+O51</f>
        <v>3486.5168392140577</v>
      </c>
      <c r="P53" s="81">
        <f>P48+P51</f>
        <v>3573.6797601944095</v>
      </c>
      <c r="Q53" s="81">
        <f>Q48+Q51</f>
        <v>3663.0217541992693</v>
      </c>
      <c r="R53" s="81">
        <f>R48+R51</f>
        <v>3754.597298054251</v>
      </c>
      <c r="S53" s="80">
        <f>IF(OR(E53&lt;=0,G53&lt;=0),"n.m.",(G53/E53)^(1/(YEAR($G$28)-YEAR($E$28)))-1)</f>
        <v>0.03933132008329587</v>
      </c>
      <c r="T53" s="80">
        <f>IF(OR(H53&lt;=0,M53&lt;=0),"n.m.",(M53/H53)^(1/(YEAR($M$28)-YEAR($H$28)))-1)</f>
        <v>0.04141787958923726</v>
      </c>
    </row>
    <row r="54" s="5" customFormat="1" ht="12.75" customHeight="1">
      <c r="C54" t="s" s="78">
        <v>39</v>
      </c>
      <c r="E54" s="42">
        <f>E53/E42</f>
        <v>0.533204384268214</v>
      </c>
      <c r="F54" s="42">
        <f>F53/F42</f>
        <v>0.5263372805226623</v>
      </c>
      <c r="G54" s="42">
        <f>G53/G42</f>
        <v>0.5225190095535192</v>
      </c>
      <c r="H54" s="42">
        <f>H53/H42</f>
        <v>0.5200571934712711</v>
      </c>
      <c r="I54" s="42">
        <f>I53/I42</f>
        <v>0.5325201249832842</v>
      </c>
      <c r="J54" s="42">
        <f>J53/J42</f>
        <v>0.5449465426223393</v>
      </c>
      <c r="K54" s="42">
        <f>K53/K42</f>
        <v>0.5573162211911917</v>
      </c>
      <c r="L54" s="42">
        <f>L53/L42</f>
        <v>0.5669330248592848</v>
      </c>
      <c r="M54" s="42">
        <f>M53/M42</f>
        <v>0.5754840565533841</v>
      </c>
      <c r="N54" s="42">
        <f>N53/N42</f>
        <v>0.5754840565533841</v>
      </c>
      <c r="O54" s="42">
        <f>O53/O42</f>
        <v>0.575484056553384</v>
      </c>
      <c r="P54" s="42">
        <f>P53/P42</f>
        <v>0.5754840565533841</v>
      </c>
      <c r="Q54" s="42">
        <f>Q53/Q42</f>
        <v>0.575484056553384</v>
      </c>
      <c r="R54" s="42">
        <f>R53/R42</f>
        <v>0.575484056553384</v>
      </c>
      <c r="S54" s="79"/>
      <c r="T54" s="79"/>
    </row>
    <row r="55" ht="12.75" customHeight="1">
      <c r="C55" t="s" s="6">
        <v>40</v>
      </c>
      <c r="E55" s="73">
        <f>'Income Statement'!B13</f>
        <v>-1335</v>
      </c>
      <c r="F55" s="73">
        <f>'Income Statement'!C13</f>
        <v>-1343</v>
      </c>
      <c r="G55" s="73">
        <f>'Income Statement'!D13</f>
        <v>-1367</v>
      </c>
      <c r="H55" s="38">
        <f>-$M$4*H42</f>
        <v>-1380.4276650000004</v>
      </c>
      <c r="I55" s="38">
        <f>-$M$4*I42</f>
        <v>-1394.5042060950002</v>
      </c>
      <c r="J55" s="38">
        <f>-$M$4*J42</f>
        <v>-1416.4160712702</v>
      </c>
      <c r="K55" s="38">
        <f>-$M$4*K42</f>
        <v>-1447.3143444113357</v>
      </c>
      <c r="L55" s="38">
        <f>-$M$4*L42</f>
        <v>-1484.5439719927062</v>
      </c>
      <c r="M55" s="38">
        <f>-$M$4*M42</f>
        <v>-1528.117023957027</v>
      </c>
      <c r="N55" s="38">
        <f>-$M$4*N42</f>
        <v>-1566.3199495559527</v>
      </c>
      <c r="O55" s="38">
        <f>-$M$4*O42</f>
        <v>-1605.4779482948518</v>
      </c>
      <c r="P55" s="38">
        <f>-$M$4*P42</f>
        <v>-1645.614897002223</v>
      </c>
      <c r="Q55" s="38">
        <f>-$M$4*Q42</f>
        <v>-1686.7552694272786</v>
      </c>
      <c r="R55" s="38">
        <f>-$M$4*R42</f>
        <v>-1728.9241511629605</v>
      </c>
      <c r="S55" s="79"/>
      <c r="T55" s="79"/>
    </row>
    <row r="56" ht="12.75" customHeight="1">
      <c r="C56" t="s" s="78">
        <v>37</v>
      </c>
      <c r="D56" s="5"/>
      <c r="E56" s="42">
        <f>-E55/E42</f>
        <v>0.2869116698903933</v>
      </c>
      <c r="F56" s="42">
        <f>-F55/F42</f>
        <v>0.27419354838709675</v>
      </c>
      <c r="G56" s="42">
        <f>-G55/G42</f>
        <v>0.26652368882823163</v>
      </c>
      <c r="H56" s="42">
        <f>-H55/H42</f>
        <v>0.265</v>
      </c>
      <c r="I56" s="42">
        <f>-I55/I42</f>
        <v>0.265</v>
      </c>
      <c r="J56" s="42">
        <f>-J55/J42</f>
        <v>0.265</v>
      </c>
      <c r="K56" s="42">
        <f>-K55/K42</f>
        <v>0.265</v>
      </c>
      <c r="L56" s="42">
        <f>-L55/L42</f>
        <v>0.265</v>
      </c>
      <c r="M56" s="42">
        <f>-M55/M42</f>
        <v>0.265</v>
      </c>
      <c r="N56" s="42">
        <f>-N55/N42</f>
        <v>0.265</v>
      </c>
      <c r="O56" s="42">
        <f>-O55/O42</f>
        <v>0.265</v>
      </c>
      <c r="P56" s="42">
        <f>-P55/P42</f>
        <v>0.265</v>
      </c>
      <c r="Q56" s="42">
        <f>-Q55/Q42</f>
        <v>0.265</v>
      </c>
      <c r="R56" s="42">
        <f>-R55/R42</f>
        <v>0.265</v>
      </c>
      <c r="S56" s="79"/>
      <c r="T56" s="79"/>
    </row>
    <row r="57" ht="12.75" customHeight="1">
      <c r="C57" t="s" s="66">
        <v>41</v>
      </c>
      <c r="D57" s="66"/>
      <c r="E57" s="81">
        <f>E53+E55</f>
        <v>1146</v>
      </c>
      <c r="F57" s="81">
        <f>F53+F55</f>
        <v>1235</v>
      </c>
      <c r="G57" s="81">
        <f>G53+G55</f>
        <v>1313</v>
      </c>
      <c r="H57" s="81">
        <f>H53+H55</f>
        <v>1328.6339850000002</v>
      </c>
      <c r="I57" s="81">
        <f>I53+I55</f>
        <v>1407.765809449999</v>
      </c>
      <c r="J57" s="81">
        <f>J53+J55</f>
        <v>1496.3048379879601</v>
      </c>
      <c r="K57" s="81">
        <f>K53+K55</f>
        <v>1596.5036227702967</v>
      </c>
      <c r="L57" s="81">
        <f>L53+L55</f>
        <v>1691.444724529717</v>
      </c>
      <c r="M57" s="81">
        <f>M53+M55</f>
        <v>1790.39989617533</v>
      </c>
      <c r="N57" s="81">
        <f>N53+N55</f>
        <v>1835.159893579713</v>
      </c>
      <c r="O57" s="81">
        <f>O53+O55</f>
        <v>1881.0388909192059</v>
      </c>
      <c r="P57" s="81">
        <f>P53+P55</f>
        <v>1928.0648631921865</v>
      </c>
      <c r="Q57" s="81">
        <f>Q53+Q55</f>
        <v>1976.2664847719907</v>
      </c>
      <c r="R57" s="81">
        <f>R53+R55</f>
        <v>2025.6731468912906</v>
      </c>
      <c r="S57" s="80"/>
      <c r="T57" s="80"/>
    </row>
    <row r="58" ht="12.75" customHeight="1">
      <c r="C58" t="s" s="78">
        <v>39</v>
      </c>
      <c r="D58" s="5"/>
      <c r="E58" s="42">
        <f>E57/E42</f>
        <v>0.24629271437782077</v>
      </c>
      <c r="F58" s="42">
        <f>F57/F42</f>
        <v>0.2521437321355655</v>
      </c>
      <c r="G58" s="42">
        <f>G57/G42</f>
        <v>0.2559953207252876</v>
      </c>
      <c r="H58" s="42">
        <f>H57/H42</f>
        <v>0.2550571934712711</v>
      </c>
      <c r="I58" s="42">
        <f>I57/I42</f>
        <v>0.2675201249832841</v>
      </c>
      <c r="J58" s="42">
        <f>J57/J42</f>
        <v>0.2799465426223393</v>
      </c>
      <c r="K58" s="42">
        <f>K57/K42</f>
        <v>0.2923162211911917</v>
      </c>
      <c r="L58" s="42">
        <f>L57/L42</f>
        <v>0.3019330248592847</v>
      </c>
      <c r="M58" s="42">
        <f>M57/M42</f>
        <v>0.310484056553384</v>
      </c>
      <c r="N58" s="42">
        <f>N57/N42</f>
        <v>0.310484056553384</v>
      </c>
      <c r="O58" s="42">
        <f>O57/O42</f>
        <v>0.31048405655338396</v>
      </c>
      <c r="P58" s="42">
        <f>P57/P42</f>
        <v>0.31048405655338407</v>
      </c>
      <c r="Q58" s="42">
        <f>Q57/Q42</f>
        <v>0.31048405655338396</v>
      </c>
      <c r="R58" s="42">
        <f>R57/R42</f>
        <v>0.310484056553384</v>
      </c>
      <c r="S58" s="79"/>
      <c r="T58" s="79"/>
    </row>
    <row r="59" ht="12.75" customHeight="1">
      <c r="C59" t="s" s="6">
        <v>42</v>
      </c>
      <c r="E59" s="73">
        <f>'Income Statement'!B16</f>
        <v>-570</v>
      </c>
      <c r="F59" s="73">
        <f>'Income Statement'!C16</f>
        <v>-441</v>
      </c>
      <c r="G59" s="73">
        <f>'Income Statement'!D16</f>
        <v>-459</v>
      </c>
      <c r="H59" s="38">
        <f>G59</f>
        <v>-459</v>
      </c>
      <c r="I59" s="38">
        <f>-I124</f>
        <v>-917.7387103186642</v>
      </c>
      <c r="J59" s="38">
        <f>-J124</f>
        <v>-868.1670566750206</v>
      </c>
      <c r="K59" s="38">
        <f>-K124</f>
        <v>-815.1351911851541</v>
      </c>
      <c r="L59" s="38">
        <f>-L124</f>
        <v>-751.106443855217</v>
      </c>
      <c r="M59" s="38">
        <f>-M124</f>
        <v>-682.7798622683972</v>
      </c>
      <c r="N59" s="38">
        <f>-N124</f>
        <v>-605.847912453162</v>
      </c>
      <c r="O59" s="38">
        <f>-O124</f>
        <v>-518.3017005791415</v>
      </c>
      <c r="P59" s="38">
        <f>-P124</f>
        <v>-423.7811431668138</v>
      </c>
      <c r="Q59" s="38">
        <f>-Q124</f>
        <v>-318.66323133922424</v>
      </c>
      <c r="R59" s="38">
        <f>-R124</f>
        <v>-193.42978808491736</v>
      </c>
      <c r="S59" s="79"/>
      <c r="T59" s="79"/>
    </row>
    <row r="60" ht="12.75" customHeight="1">
      <c r="C60" t="s" s="6">
        <v>43</v>
      </c>
      <c r="E60" s="166">
        <v>0</v>
      </c>
      <c r="F60" s="166">
        <v>0</v>
      </c>
      <c r="G60" s="166">
        <v>0</v>
      </c>
      <c r="H60" s="38">
        <f>0</f>
        <v>0</v>
      </c>
      <c r="I60" s="38">
        <f>-IF(I$129&lt;=$K$13,$M$16/$K$13,0)</f>
        <v>-33.23379571428571</v>
      </c>
      <c r="J60" s="38">
        <f>-IF(J$129&lt;=$K$13,$M$16/$K$13,0)</f>
        <v>-33.23379571428571</v>
      </c>
      <c r="K60" s="38">
        <f>-IF(K$129&lt;=$K$13,$M$16/$K$13,0)</f>
        <v>-33.23379571428571</v>
      </c>
      <c r="L60" s="38">
        <f>-IF(L$129&lt;=$K$13,$M$16/$K$13,0)</f>
        <v>-33.23379571428571</v>
      </c>
      <c r="M60" s="38">
        <f>-IF(M$129&lt;=$K$13,$M$16/$K$13,0)</f>
        <v>-33.23379571428571</v>
      </c>
      <c r="N60" s="38">
        <f>-IF(N$129&lt;=$K$13,$M$16/$K$13,0)</f>
        <v>-33.23379571428571</v>
      </c>
      <c r="O60" s="38">
        <f>-IF(O$129&lt;=$K$13,$M$16/$K$13,0)</f>
        <v>-33.23379571428571</v>
      </c>
      <c r="P60" s="38">
        <f>-IF(P$129&lt;=$K$13,$M$16/$K$13,0)</f>
        <v>0</v>
      </c>
      <c r="Q60" s="38">
        <f>-IF(Q$129&lt;=$K$13,$M$16/$K$13,0)</f>
        <v>0</v>
      </c>
      <c r="R60" s="38">
        <f>-IF(R$129&lt;=$K$13,$M$16/$K$13,0)</f>
        <v>0</v>
      </c>
      <c r="S60" s="79"/>
      <c r="T60" s="79"/>
    </row>
    <row r="61" ht="12.75" customHeight="1">
      <c r="C61" t="s" s="66">
        <v>44</v>
      </c>
      <c r="D61" s="66"/>
      <c r="E61" s="81">
        <f>E57+E59+E60</f>
        <v>576</v>
      </c>
      <c r="F61" s="81">
        <f>F57+F59+F60</f>
        <v>794</v>
      </c>
      <c r="G61" s="81">
        <f>G57+G59+G60</f>
        <v>854</v>
      </c>
      <c r="H61" s="81">
        <f>H57+H59+H60</f>
        <v>869.6339850000002</v>
      </c>
      <c r="I61" s="81">
        <f>I57+I59+I60</f>
        <v>456.79330341704923</v>
      </c>
      <c r="J61" s="81">
        <f>J57+J59+J60</f>
        <v>594.9039855986538</v>
      </c>
      <c r="K61" s="81">
        <f>K57+K59+K60</f>
        <v>748.1346358708569</v>
      </c>
      <c r="L61" s="81">
        <f>L57+L59+L60</f>
        <v>907.1044849602142</v>
      </c>
      <c r="M61" s="81">
        <f>M57+M59+M60</f>
        <v>1074.3862381926472</v>
      </c>
      <c r="N61" s="81">
        <f>N57+N59+N60</f>
        <v>1196.0781854122654</v>
      </c>
      <c r="O61" s="81">
        <f>O57+O59+O60</f>
        <v>1329.5033946257788</v>
      </c>
      <c r="P61" s="81">
        <f>P57+P59+P60</f>
        <v>1504.2837200253728</v>
      </c>
      <c r="Q61" s="81">
        <f>Q57+Q59+Q60</f>
        <v>1657.6032534327665</v>
      </c>
      <c r="R61" s="81">
        <f>R57+R59+R60</f>
        <v>1832.2433588063732</v>
      </c>
      <c r="S61" s="80"/>
      <c r="T61" s="80"/>
    </row>
    <row r="62" ht="12.75" customHeight="1">
      <c r="C62" t="s" s="6">
        <v>45</v>
      </c>
      <c r="E62" s="73">
        <f>'Income Statement'!B18</f>
        <v>-161</v>
      </c>
      <c r="F62" s="73">
        <f>'Income Statement'!C18</f>
        <v>-196</v>
      </c>
      <c r="G62" s="73">
        <f>'Income Statement'!D18</f>
        <v>-233</v>
      </c>
      <c r="H62" s="38">
        <f>-MAX(0,H61)*$I$6</f>
        <v>-217.40849625000004</v>
      </c>
      <c r="I62" s="38">
        <f>-MAX(0,I61)*$I$6</f>
        <v>-114.19832585426231</v>
      </c>
      <c r="J62" s="38">
        <f>-MAX(0,J61)*$I$6</f>
        <v>-148.72599639966344</v>
      </c>
      <c r="K62" s="38">
        <f>-MAX(0,K61)*$I$6</f>
        <v>-187.03365896771422</v>
      </c>
      <c r="L62" s="38">
        <f>-MAX(0,L61)*$I$6</f>
        <v>-226.77612124005356</v>
      </c>
      <c r="M62" s="38">
        <f>-MAX(0,M61)*$I$6</f>
        <v>-268.5965595481618</v>
      </c>
      <c r="N62" s="38">
        <f>-MAX(0,N61)*$I$6</f>
        <v>-299.01954635306635</v>
      </c>
      <c r="O62" s="38">
        <f>-MAX(0,O61)*$I$6</f>
        <v>-332.3758486564447</v>
      </c>
      <c r="P62" s="38">
        <f>-MAX(0,P61)*$I$6</f>
        <v>-376.0709300063432</v>
      </c>
      <c r="Q62" s="38">
        <f>-MAX(0,Q61)*$I$6</f>
        <v>-414.4008133581916</v>
      </c>
      <c r="R62" s="38">
        <f>-MAX(0,R61)*$I$6</f>
        <v>-458.0608397015933</v>
      </c>
      <c r="S62" s="79"/>
      <c r="T62" s="79"/>
    </row>
    <row r="63" ht="12.75" customHeight="1">
      <c r="C63" t="s" s="66">
        <v>46</v>
      </c>
      <c r="D63" s="66"/>
      <c r="E63" s="81">
        <f>E61+E62</f>
        <v>415</v>
      </c>
      <c r="F63" s="81">
        <f>F61+F62</f>
        <v>598</v>
      </c>
      <c r="G63" s="81">
        <f>G61+G62</f>
        <v>621</v>
      </c>
      <c r="H63" s="81">
        <f>H61+H62</f>
        <v>652.2254887500001</v>
      </c>
      <c r="I63" s="81">
        <f>I61+I62</f>
        <v>342.59497756278694</v>
      </c>
      <c r="J63" s="81">
        <f>J61+J62</f>
        <v>446.1779891989903</v>
      </c>
      <c r="K63" s="81">
        <f>K61+K62</f>
        <v>561.1009769031426</v>
      </c>
      <c r="L63" s="81">
        <f>L61+L62</f>
        <v>680.3283637201607</v>
      </c>
      <c r="M63" s="81">
        <f>M61+M62</f>
        <v>805.7896786444853</v>
      </c>
      <c r="N63" s="81">
        <f>N61+N62</f>
        <v>897.0586390591991</v>
      </c>
      <c r="O63" s="81">
        <f>O61+O62</f>
        <v>997.127545969334</v>
      </c>
      <c r="P63" s="81">
        <f>P61+P62</f>
        <v>1128.2127900190296</v>
      </c>
      <c r="Q63" s="81">
        <f>Q61+Q62</f>
        <v>1243.202440074575</v>
      </c>
      <c r="R63" s="81">
        <f>R61+R62</f>
        <v>1374.1825191047799</v>
      </c>
      <c r="S63" s="80"/>
      <c r="T63" s="80"/>
    </row>
    <row r="64" ht="12.75" customHeight="1">
      <c r="E64" s="38"/>
      <c r="F64" s="38"/>
      <c r="G64" s="38"/>
      <c r="H64" s="38"/>
      <c r="I64" s="38"/>
      <c r="J64" s="38"/>
      <c r="K64" s="38"/>
      <c r="L64" s="38"/>
      <c r="M64" s="38"/>
      <c r="N64" s="38"/>
      <c r="O64" s="38"/>
      <c r="P64" s="38"/>
      <c r="Q64" s="38"/>
      <c r="R64" s="38"/>
      <c r="S64" s="79"/>
      <c r="T64" s="79"/>
    </row>
    <row r="65" ht="12.75" customHeight="1">
      <c r="C65" t="s" s="6">
        <v>242</v>
      </c>
      <c r="E65" s="73">
        <f>'Cash Flow'!B12</f>
        <v>-1317</v>
      </c>
      <c r="F65" s="73">
        <f>'Cash Flow'!C12</f>
        <v>-1223</v>
      </c>
      <c r="G65" s="73">
        <f>'Cash Flow'!D12</f>
        <v>-1148</v>
      </c>
      <c r="H65" s="38">
        <f>-H30*H66</f>
        <v>-1137.3120000000001</v>
      </c>
      <c r="I65" s="38">
        <f>-I30*I66</f>
        <v>-1131.621491</v>
      </c>
      <c r="J65" s="38">
        <f>-J30*J66</f>
        <v>-1130.8194017120002</v>
      </c>
      <c r="K65" s="38">
        <f>-K30*K66</f>
        <v>-1151.1209359121476</v>
      </c>
      <c r="L65" s="38">
        <f>-L30*L66</f>
        <v>-1164.8020214061835</v>
      </c>
      <c r="M65" s="38">
        <f>-M30*M66</f>
        <v>-1183.0053351066629</v>
      </c>
      <c r="N65" s="38">
        <f>-N30*N66</f>
        <v>-1212.5804684843292</v>
      </c>
      <c r="O65" s="38">
        <f>-O30*O66</f>
        <v>-1242.8949801964375</v>
      </c>
      <c r="P65" s="38">
        <f>-P30*P66</f>
        <v>-1273.9673547013485</v>
      </c>
      <c r="Q65" s="38">
        <f>-Q30*Q66</f>
        <v>-1305.8165385688822</v>
      </c>
      <c r="R65" s="38">
        <f>-R30*R66</f>
        <v>-1338.4619520331044</v>
      </c>
      <c r="S65" s="79"/>
      <c r="T65" s="79"/>
    </row>
    <row r="66" ht="12.75" customHeight="1">
      <c r="C66" t="s" s="78">
        <v>235</v>
      </c>
      <c r="D66" s="5"/>
      <c r="E66" t="s" s="156">
        <v>109</v>
      </c>
      <c r="F66" s="153">
        <f>-F65/F30</f>
        <v>24.060120792429814</v>
      </c>
      <c r="G66" s="153">
        <f>-G65/G30</f>
        <v>24.41047013544834</v>
      </c>
      <c r="H66" s="154">
        <f>'Driver Assumptions'!F33</f>
        <v>24</v>
      </c>
      <c r="I66" s="154">
        <f>'Driver Assumptions'!G33</f>
        <v>23.5</v>
      </c>
      <c r="J66" s="154">
        <f>'Driver Assumptions'!H33</f>
        <v>23</v>
      </c>
      <c r="K66" s="154">
        <f>'Driver Assumptions'!I33</f>
        <v>22.8</v>
      </c>
      <c r="L66" s="154">
        <f>'Driver Assumptions'!J33</f>
        <v>22.5</v>
      </c>
      <c r="M66" s="154">
        <f>'Driver Assumptions'!K33</f>
        <v>22.2</v>
      </c>
      <c r="N66" s="154">
        <f>'Driver Assumptions'!L33</f>
        <v>22.2</v>
      </c>
      <c r="O66" s="154">
        <f>'Driver Assumptions'!M33</f>
        <v>22.2</v>
      </c>
      <c r="P66" s="154">
        <f>'Driver Assumptions'!N33</f>
        <v>22.2</v>
      </c>
      <c r="Q66" s="154">
        <f>'Driver Assumptions'!O33</f>
        <v>22.2</v>
      </c>
      <c r="R66" s="154">
        <f>'Driver Assumptions'!P33</f>
        <v>22.2</v>
      </c>
      <c r="S66" s="79"/>
      <c r="T66" s="79"/>
    </row>
    <row r="67" ht="12.75" customHeight="1">
      <c r="C67" t="s" s="6">
        <v>243</v>
      </c>
      <c r="E67" s="73">
        <f>'Cash Flow'!B8</f>
        <v>-176</v>
      </c>
      <c r="F67" s="73">
        <f>'Cash Flow'!C8</f>
        <v>-164</v>
      </c>
      <c r="G67" s="73">
        <f>'Cash Flow'!D8</f>
        <v>-176</v>
      </c>
      <c r="H67" s="38">
        <f>-$M$7*H42</f>
        <v>-177.11147400000004</v>
      </c>
      <c r="I67" s="38">
        <f>-$M$7*I42</f>
        <v>-178.91752078200003</v>
      </c>
      <c r="J67" s="38">
        <f>-$M$7*J42</f>
        <v>-181.72885442712</v>
      </c>
      <c r="K67" s="38">
        <f>-$M$7*K42</f>
        <v>-185.6931611697563</v>
      </c>
      <c r="L67" s="38">
        <f>-$M$7*L42</f>
        <v>-190.46979263302646</v>
      </c>
      <c r="M67" s="38">
        <f>-$M$7*M42</f>
        <v>-196.06029741335442</v>
      </c>
      <c r="N67" s="38">
        <f>-$M$7*N42</f>
        <v>-200.96180484868827</v>
      </c>
      <c r="O67" s="38">
        <f>-$M$7*O42</f>
        <v>-205.9858499699055</v>
      </c>
      <c r="P67" s="38">
        <f>-$M$7*P42</f>
        <v>-211.13549621915314</v>
      </c>
      <c r="Q67" s="38">
        <f>-$M$7*Q42</f>
        <v>-216.41388362463195</v>
      </c>
      <c r="R67" s="38">
        <f>-$M$7*R42</f>
        <v>-221.82423071524778</v>
      </c>
      <c r="S67" s="79"/>
      <c r="T67" s="79"/>
    </row>
    <row r="68" ht="12.75" customHeight="1">
      <c r="C68" t="s" s="78">
        <v>37</v>
      </c>
      <c r="D68" s="5"/>
      <c r="E68" s="42">
        <f>-E67/E42</f>
        <v>0.037825059101654845</v>
      </c>
      <c r="F68" s="42">
        <f>-F67/F42</f>
        <v>0.03348305430788077</v>
      </c>
      <c r="G68" s="42">
        <f>-G67/G42</f>
        <v>0.03431468122441022</v>
      </c>
      <c r="H68" s="42">
        <f>-H67/H42</f>
        <v>0.034</v>
      </c>
      <c r="I68" s="42">
        <f>-I67/I42</f>
        <v>0.034</v>
      </c>
      <c r="J68" s="42">
        <f>-J67/J42</f>
        <v>0.034</v>
      </c>
      <c r="K68" s="42">
        <f>-K67/K42</f>
        <v>0.034</v>
      </c>
      <c r="L68" s="42">
        <f>-L67/L42</f>
        <v>0.034</v>
      </c>
      <c r="M68" s="42">
        <f>-M67/M42</f>
        <v>0.034</v>
      </c>
      <c r="N68" s="42">
        <f>-N67/N42</f>
        <v>0.034</v>
      </c>
      <c r="O68" s="42">
        <f>-O67/O42</f>
        <v>0.034</v>
      </c>
      <c r="P68" s="42">
        <f>-P67/P42</f>
        <v>0.034</v>
      </c>
      <c r="Q68" s="42">
        <f>-Q67/Q42</f>
        <v>0.034</v>
      </c>
      <c r="R68" s="42">
        <f>-R67/R42</f>
        <v>0.034</v>
      </c>
      <c r="S68" s="79"/>
      <c r="T68" s="79"/>
    </row>
    <row r="69" ht="12.75" customHeight="1">
      <c r="C69" t="s" s="66">
        <v>244</v>
      </c>
      <c r="D69" s="66"/>
      <c r="E69" s="81">
        <f>E53+E65+E67</f>
        <v>988</v>
      </c>
      <c r="F69" s="81">
        <f>F53+F65+F67</f>
        <v>1191</v>
      </c>
      <c r="G69" s="81">
        <f>G53+G65+G67</f>
        <v>1356</v>
      </c>
      <c r="H69" s="81">
        <f>H53+H65+H67</f>
        <v>1394.6381760000004</v>
      </c>
      <c r="I69" s="81">
        <f>I53+I65+I67</f>
        <v>1491.731003762999</v>
      </c>
      <c r="J69" s="81">
        <f>J53+J65+J67</f>
        <v>1600.17265311904</v>
      </c>
      <c r="K69" s="81">
        <f>K53+K65+K67</f>
        <v>1707.0038700997284</v>
      </c>
      <c r="L69" s="81">
        <f>L53+L65+L67</f>
        <v>1820.7168824832133</v>
      </c>
      <c r="M69" s="81">
        <f>M53+M65+M67</f>
        <v>1939.45128761234</v>
      </c>
      <c r="N69" s="81">
        <f>N53+N65+N67</f>
        <v>1987.9375698026483</v>
      </c>
      <c r="O69" s="81">
        <f>O53+O65+O67</f>
        <v>2037.6360090477149</v>
      </c>
      <c r="P69" s="81">
        <f>P53+P65+P67</f>
        <v>2088.576909273908</v>
      </c>
      <c r="Q69" s="81">
        <f>Q53+Q65+Q67</f>
        <v>2140.791332005755</v>
      </c>
      <c r="R69" s="81">
        <f>R53+R65+R67</f>
        <v>2194.311115305899</v>
      </c>
      <c r="S69" s="80">
        <f>IF(OR(E69&lt;=0,G69&lt;=0),"n.m.",(G69/E69)^(1/(YEAR($G$28)-YEAR($E$28)))-1)</f>
        <v>0.17152449211594822</v>
      </c>
      <c r="T69" s="80">
        <f>IF(OR(H69&lt;=0,M69&lt;=0),"n.m.",(M69/H69)^(1/(YEAR($M$28)-YEAR($H$28)))-1)</f>
        <v>0.06817759739458507</v>
      </c>
    </row>
    <row r="70" ht="12.75" customHeight="1">
      <c r="C70" t="s" s="78">
        <v>146</v>
      </c>
      <c r="D70" s="5"/>
      <c r="E70" s="42">
        <f>E69/E53</f>
        <v>0.39822652156388555</v>
      </c>
      <c r="F70" s="42">
        <f>F69/F53</f>
        <v>0.46198603568657876</v>
      </c>
      <c r="G70" s="42">
        <f>G69/G53</f>
        <v>0.5059701492537313</v>
      </c>
      <c r="H70" s="42">
        <f>H69/H53</f>
        <v>0.5148048867769399</v>
      </c>
      <c r="I70" s="42">
        <f>I69/I53</f>
        <v>0.5323295026845869</v>
      </c>
      <c r="J70" s="42">
        <f>J69/J53</f>
        <v>0.5493738339409207</v>
      </c>
      <c r="K70" s="42">
        <f>K69/K53</f>
        <v>0.5608101037922111</v>
      </c>
      <c r="L70" s="42">
        <f>L69/L53</f>
        <v>0.5732756179128796</v>
      </c>
      <c r="M70" s="42">
        <f>M69/M53</f>
        <v>0.5844331471828043</v>
      </c>
      <c r="N70" s="42">
        <f>N69/N53</f>
        <v>0.5844331471828043</v>
      </c>
      <c r="O70" s="42">
        <f>O69/O53</f>
        <v>0.5844331471828043</v>
      </c>
      <c r="P70" s="42">
        <f>P69/P53</f>
        <v>0.5844331471828043</v>
      </c>
      <c r="Q70" s="42">
        <f>Q69/Q53</f>
        <v>0.5844331471828041</v>
      </c>
      <c r="R70" s="42">
        <f>R69/R53</f>
        <v>0.5844331471828041</v>
      </c>
      <c r="S70" s="79"/>
      <c r="T70" s="79"/>
    </row>
    <row r="71" s="3" customFormat="1" ht="12.75" customHeight="1"/>
    <row r="72" s="3" customFormat="1" ht="12.75" customHeight="1">
      <c r="C72" t="s" s="26">
        <v>86</v>
      </c>
      <c r="D72" s="26"/>
      <c r="E72" s="26"/>
      <c r="F72" s="26"/>
      <c r="G72" s="26"/>
      <c r="H72" s="26"/>
      <c r="I72" s="27">
        <f>I28</f>
        <v>46752</v>
      </c>
      <c r="J72" s="27">
        <f>J28</f>
        <v>47118</v>
      </c>
      <c r="K72" s="27">
        <f>K28</f>
        <v>47483</v>
      </c>
      <c r="L72" s="27">
        <f>L28</f>
        <v>47848</v>
      </c>
      <c r="M72" s="27">
        <f>M28</f>
        <v>48213</v>
      </c>
      <c r="N72" s="27">
        <f>N28</f>
        <v>48579</v>
      </c>
      <c r="O72" s="27">
        <f>O28</f>
        <v>48944</v>
      </c>
      <c r="P72" s="27">
        <f>P28</f>
        <v>49309</v>
      </c>
      <c r="Q72" s="27">
        <f>Q28</f>
        <v>49674</v>
      </c>
      <c r="R72" s="27">
        <f>R28</f>
        <v>50040</v>
      </c>
    </row>
    <row r="73" s="3" customFormat="1" ht="12.75" customHeight="1">
      <c r="C73" t="s" s="3">
        <v>46</v>
      </c>
      <c r="H73" s="41"/>
      <c r="I73" s="41">
        <f>I63</f>
        <v>342.59497756278694</v>
      </c>
      <c r="J73" s="41">
        <f>J63</f>
        <v>446.1779891989903</v>
      </c>
      <c r="K73" s="41">
        <f>K63</f>
        <v>561.1009769031426</v>
      </c>
      <c r="L73" s="41">
        <f>L63</f>
        <v>680.3283637201607</v>
      </c>
      <c r="M73" s="41">
        <f>M63</f>
        <v>805.7896786444853</v>
      </c>
      <c r="N73" s="41">
        <f>N63</f>
        <v>897.0586390591991</v>
      </c>
      <c r="O73" s="41">
        <f>O63</f>
        <v>997.127545969334</v>
      </c>
      <c r="P73" s="41">
        <f>P63</f>
        <v>1128.2127900190296</v>
      </c>
      <c r="Q73" s="41">
        <f>Q63</f>
        <v>1243.202440074575</v>
      </c>
      <c r="R73" s="41">
        <f>R63</f>
        <v>1374.1825191047799</v>
      </c>
    </row>
    <row r="74" s="3" customFormat="1" ht="12.75" customHeight="1">
      <c r="C74" t="s" s="3">
        <v>47</v>
      </c>
      <c r="H74" s="41"/>
      <c r="I74" s="41">
        <f>-I55</f>
        <v>1394.5042060950002</v>
      </c>
      <c r="J74" s="41">
        <f>-J55</f>
        <v>1416.4160712702</v>
      </c>
      <c r="K74" s="41">
        <f>-K55</f>
        <v>1447.3143444113357</v>
      </c>
      <c r="L74" s="41">
        <f>-L55</f>
        <v>1484.5439719927062</v>
      </c>
      <c r="M74" s="41">
        <f>-M55</f>
        <v>1528.117023957027</v>
      </c>
      <c r="N74" s="41">
        <f>-N55</f>
        <v>1566.3199495559527</v>
      </c>
      <c r="O74" s="41">
        <f>-O55</f>
        <v>1605.4779482948518</v>
      </c>
      <c r="P74" s="41">
        <f>-P55</f>
        <v>1645.614897002223</v>
      </c>
      <c r="Q74" s="41">
        <f>-Q55</f>
        <v>1686.7552694272786</v>
      </c>
      <c r="R74" s="41">
        <f>-R55</f>
        <v>1728.9241511629605</v>
      </c>
    </row>
    <row r="75" s="3" customFormat="1" ht="12.75" customHeight="1">
      <c r="C75" t="s" s="3">
        <v>242</v>
      </c>
      <c r="H75" s="41"/>
      <c r="I75" s="41">
        <f>I65</f>
        <v>-1131.621491</v>
      </c>
      <c r="J75" s="41">
        <f>J65</f>
        <v>-1130.8194017120002</v>
      </c>
      <c r="K75" s="41">
        <f>K65</f>
        <v>-1151.1209359121476</v>
      </c>
      <c r="L75" s="41">
        <f>L65</f>
        <v>-1164.8020214061835</v>
      </c>
      <c r="M75" s="41">
        <f>M65</f>
        <v>-1183.0053351066629</v>
      </c>
      <c r="N75" s="41">
        <f>N65</f>
        <v>-1212.5804684843292</v>
      </c>
      <c r="O75" s="41">
        <f>O65</f>
        <v>-1242.8949801964375</v>
      </c>
      <c r="P75" s="41">
        <f>P65</f>
        <v>-1273.9673547013485</v>
      </c>
      <c r="Q75" s="41">
        <f>Q65</f>
        <v>-1305.8165385688822</v>
      </c>
      <c r="R75" s="41">
        <f>R65</f>
        <v>-1338.4619520331044</v>
      </c>
    </row>
    <row r="76" s="3" customFormat="1" ht="12.75" customHeight="1">
      <c r="C76" t="s" s="3">
        <v>48</v>
      </c>
      <c r="H76" s="41"/>
      <c r="I76" s="41">
        <f>-I60</f>
        <v>33.23379571428571</v>
      </c>
      <c r="J76" s="41">
        <f>-J60</f>
        <v>33.23379571428571</v>
      </c>
      <c r="K76" s="41">
        <f>-K60</f>
        <v>33.23379571428571</v>
      </c>
      <c r="L76" s="41">
        <f>-L60</f>
        <v>33.23379571428571</v>
      </c>
      <c r="M76" s="41">
        <f>-M60</f>
        <v>33.23379571428571</v>
      </c>
      <c r="N76" s="41">
        <f>-N60</f>
        <v>33.23379571428571</v>
      </c>
      <c r="O76" s="41">
        <f>-O60</f>
        <v>33.23379571428571</v>
      </c>
      <c r="P76" s="41">
        <f>-P60</f>
        <v>0</v>
      </c>
      <c r="Q76" s="41">
        <f>-Q60</f>
        <v>0</v>
      </c>
      <c r="R76" s="41">
        <f>-R60</f>
        <v>0</v>
      </c>
    </row>
    <row r="77" s="3" customFormat="1" ht="12.75" customHeight="1">
      <c r="C77" t="s" s="3">
        <v>49</v>
      </c>
      <c r="H77" s="41"/>
      <c r="I77" s="41">
        <f>-$M$6*(I42-H42)</f>
        <v>-0.5311902299999929</v>
      </c>
      <c r="J77" s="41">
        <f>-$M$6*(J42-I42)</f>
        <v>-0.8268628368000009</v>
      </c>
      <c r="K77" s="41">
        <f>-$M$6*(K42-J42)</f>
        <v>-1.1659725713636089</v>
      </c>
      <c r="L77" s="41">
        <f>-$M$6*(L42-K42)</f>
        <v>-1.4048916068441668</v>
      </c>
      <c r="M77" s="41">
        <f>-$M$6*(M42-L42)</f>
        <v>-1.6442661118611615</v>
      </c>
      <c r="N77" s="41">
        <f>-$M$6*(N42-M42)</f>
        <v>-1.4416198339217225</v>
      </c>
      <c r="O77" s="41">
        <f>-$M$6*(O42-N42)</f>
        <v>-1.4776603297697783</v>
      </c>
      <c r="P77" s="41">
        <f>-$M$6*(P42-O42)</f>
        <v>-1.514601838014005</v>
      </c>
      <c r="Q77" s="41">
        <f>-$M$6*(Q42-P42)</f>
        <v>-1.5524668839643618</v>
      </c>
      <c r="R77" s="41">
        <f>-$M$6*(R42-Q42)</f>
        <v>-1.5912785560634712</v>
      </c>
    </row>
    <row r="78" s="3" customFormat="1" ht="12.75" customHeight="1">
      <c r="C78" t="s" s="3">
        <v>243</v>
      </c>
      <c r="H78" s="41"/>
      <c r="I78" s="41">
        <f>I67</f>
        <v>-178.91752078200003</v>
      </c>
      <c r="J78" s="41">
        <f>J67</f>
        <v>-181.72885442712</v>
      </c>
      <c r="K78" s="41">
        <f>K67</f>
        <v>-185.6931611697563</v>
      </c>
      <c r="L78" s="41">
        <f>L67</f>
        <v>-190.46979263302646</v>
      </c>
      <c r="M78" s="41">
        <f>M67</f>
        <v>-196.06029741335442</v>
      </c>
      <c r="N78" s="41">
        <f>N67</f>
        <v>-200.96180484868827</v>
      </c>
      <c r="O78" s="41">
        <f>O67</f>
        <v>-205.9858499699055</v>
      </c>
      <c r="P78" s="41">
        <f>P67</f>
        <v>-211.13549621915314</v>
      </c>
      <c r="Q78" s="41">
        <f>Q67</f>
        <v>-216.41388362463195</v>
      </c>
      <c r="R78" s="41">
        <f>R67</f>
        <v>-221.82423071524778</v>
      </c>
    </row>
    <row r="79" s="3" customFormat="1" ht="12.75" customHeight="1">
      <c r="C79" t="s" s="3">
        <v>50</v>
      </c>
      <c r="H79" s="41"/>
      <c r="I79" s="41">
        <f>I106</f>
        <v>-87.41986499999999</v>
      </c>
      <c r="J79" s="41">
        <f>J106</f>
        <v>-87.41986499999999</v>
      </c>
      <c r="K79" s="41">
        <f>K106</f>
        <v>-87.41986499999999</v>
      </c>
      <c r="L79" s="41">
        <f>L106</f>
        <v>-87.41986499999999</v>
      </c>
      <c r="M79" s="41">
        <f>M106</f>
        <v>-87.41986499999999</v>
      </c>
      <c r="N79" s="41">
        <f>N106</f>
        <v>-87.41986499999999</v>
      </c>
      <c r="O79" s="41">
        <f>O106</f>
        <v>-87.41986499999999</v>
      </c>
      <c r="P79" s="41">
        <f>P106</f>
        <v>-87.41986499999999</v>
      </c>
      <c r="Q79" s="41">
        <f>Q106</f>
        <v>-87.41986499999999</v>
      </c>
      <c r="R79" s="41">
        <f>R106</f>
        <v>-87.41986499999999</v>
      </c>
    </row>
    <row r="80" s="3" customFormat="1" ht="12.75" customHeight="1">
      <c r="C80" t="s" s="85">
        <v>51</v>
      </c>
      <c r="D80" s="85"/>
      <c r="E80" s="85"/>
      <c r="F80" s="85"/>
      <c r="G80" s="85"/>
      <c r="H80" s="86"/>
      <c r="I80" s="86">
        <f>SUM(I73:I79)</f>
        <v>371.8429123600728</v>
      </c>
      <c r="J80" s="86">
        <f>SUM(J73:J79)</f>
        <v>495.032872207556</v>
      </c>
      <c r="K80" s="86">
        <f>SUM(K73:K79)</f>
        <v>616.2491823754965</v>
      </c>
      <c r="L80" s="86">
        <f>SUM(L73:L79)</f>
        <v>754.0095607810986</v>
      </c>
      <c r="M80" s="86">
        <f>SUM(M73:M79)</f>
        <v>899.0107346839194</v>
      </c>
      <c r="N80" s="86">
        <f>SUM(N73:N79)</f>
        <v>994.2086261624983</v>
      </c>
      <c r="O80" s="86">
        <f>SUM(O73:O79)</f>
        <v>1098.0609344823586</v>
      </c>
      <c r="P80" s="86">
        <f>SUM(P73:P79)</f>
        <v>1199.790369262737</v>
      </c>
      <c r="Q80" s="86">
        <f>SUM(Q73:Q79)</f>
        <v>1318.7549554243749</v>
      </c>
      <c r="R80" s="86">
        <f>SUM(R73:R79)</f>
        <v>1453.8093439633246</v>
      </c>
    </row>
    <row r="81" s="3" customFormat="1" ht="12.75" customHeight="1">
      <c r="C81" t="s" s="3">
        <v>52</v>
      </c>
      <c r="H81" s="41"/>
      <c r="I81" s="41">
        <f>I98</f>
        <v>0</v>
      </c>
      <c r="J81" s="41">
        <f>J98</f>
        <v>0</v>
      </c>
      <c r="K81" s="41">
        <f>K98</f>
        <v>0</v>
      </c>
      <c r="L81" s="41">
        <f>L98</f>
        <v>0</v>
      </c>
      <c r="M81" s="41">
        <f>M98</f>
        <v>0</v>
      </c>
      <c r="N81" s="41">
        <f>N98</f>
        <v>0</v>
      </c>
      <c r="O81" s="41">
        <f>O98</f>
        <v>0</v>
      </c>
      <c r="P81" s="41">
        <f>P98</f>
        <v>0</v>
      </c>
      <c r="Q81" s="41">
        <f>Q98</f>
        <v>0</v>
      </c>
      <c r="R81" s="41">
        <f>R98</f>
        <v>0</v>
      </c>
    </row>
    <row r="82" s="3" customFormat="1" ht="12.75" customHeight="1">
      <c r="C82" t="s" s="85">
        <v>110</v>
      </c>
      <c r="D82" s="85"/>
      <c r="E82" s="85"/>
      <c r="F82" s="85"/>
      <c r="G82" s="85"/>
      <c r="H82" s="86"/>
      <c r="I82" s="86">
        <f>I80+I81</f>
        <v>371.8429123600728</v>
      </c>
      <c r="J82" s="86">
        <f>J80+J81</f>
        <v>495.032872207556</v>
      </c>
      <c r="K82" s="86">
        <f>K80+K81</f>
        <v>616.2491823754965</v>
      </c>
      <c r="L82" s="86">
        <f>L80+L81</f>
        <v>754.0095607810986</v>
      </c>
      <c r="M82" s="86">
        <f>M80+M81</f>
        <v>899.0107346839194</v>
      </c>
      <c r="N82" s="86">
        <f>N80+N81</f>
        <v>994.2086261624983</v>
      </c>
      <c r="O82" s="86">
        <f>O80+O81</f>
        <v>1098.0609344823586</v>
      </c>
      <c r="P82" s="86">
        <f>P80+P81</f>
        <v>1199.790369262737</v>
      </c>
      <c r="Q82" s="86">
        <f>Q80+Q81</f>
        <v>1318.7549554243749</v>
      </c>
      <c r="R82" s="86">
        <f>R80+R81</f>
        <v>1453.8093439633246</v>
      </c>
    </row>
    <row r="83" s="3" customFormat="1" ht="12.75" customHeight="1">
      <c r="C83" t="s" s="3">
        <v>53</v>
      </c>
      <c r="H83" s="41"/>
      <c r="I83" s="41">
        <f>I107</f>
        <v>-371.8429123600728</v>
      </c>
      <c r="J83" s="41">
        <f>J107</f>
        <v>-495.032872207556</v>
      </c>
      <c r="K83" s="41">
        <f>K107</f>
        <v>-616.2491823754965</v>
      </c>
      <c r="L83" s="41">
        <f>L107</f>
        <v>-754.0095607810986</v>
      </c>
      <c r="M83" s="41">
        <f>M107</f>
        <v>-899.0107346839194</v>
      </c>
      <c r="N83" s="41">
        <f>N107</f>
        <v>-994.2086261624983</v>
      </c>
      <c r="O83" s="41">
        <f>O107</f>
        <v>-1098.0609344823586</v>
      </c>
      <c r="P83" s="41">
        <f>P107</f>
        <v>-1199.790369262737</v>
      </c>
      <c r="Q83" s="41">
        <f>Q107</f>
        <v>-1318.7549554243749</v>
      </c>
      <c r="R83" s="41">
        <f>R107</f>
        <v>-120.82770225988847</v>
      </c>
    </row>
    <row r="84" s="3" customFormat="1" ht="12.75" customHeight="1">
      <c r="C84" t="s" s="85">
        <v>111</v>
      </c>
      <c r="D84" s="85"/>
      <c r="E84" s="85"/>
      <c r="F84" s="85"/>
      <c r="G84" s="85"/>
      <c r="H84" s="86"/>
      <c r="I84" s="86">
        <f>I82+I83</f>
        <v>0</v>
      </c>
      <c r="J84" s="86">
        <f>J82+J83</f>
        <v>0</v>
      </c>
      <c r="K84" s="86">
        <f>K82+K83</f>
        <v>0</v>
      </c>
      <c r="L84" s="86">
        <f>L82+L83</f>
        <v>0</v>
      </c>
      <c r="M84" s="86">
        <f>M82+M83</f>
        <v>0</v>
      </c>
      <c r="N84" s="86">
        <f>N82+N83</f>
        <v>0</v>
      </c>
      <c r="O84" s="86">
        <f>O82+O83</f>
        <v>0</v>
      </c>
      <c r="P84" s="86">
        <f>P82+P83</f>
        <v>0</v>
      </c>
      <c r="Q84" s="86">
        <f>Q82+Q83</f>
        <v>0</v>
      </c>
      <c r="R84" s="86">
        <f>R82+R83</f>
        <v>1332.9816417034363</v>
      </c>
    </row>
    <row r="85" s="3" customFormat="1" ht="12.75" customHeight="1">
      <c r="C85" t="s" s="3">
        <v>53</v>
      </c>
      <c r="H85" s="41"/>
      <c r="I85" s="41">
        <f>I114</f>
        <v>0</v>
      </c>
      <c r="J85" s="41">
        <f>J114</f>
        <v>0</v>
      </c>
      <c r="K85" s="41">
        <f>K114</f>
        <v>0</v>
      </c>
      <c r="L85" s="41">
        <f>L114</f>
        <v>0</v>
      </c>
      <c r="M85" s="41">
        <f>M114</f>
        <v>0</v>
      </c>
      <c r="N85" s="41">
        <f>N114</f>
        <v>0</v>
      </c>
      <c r="O85" s="41">
        <f>O114</f>
        <v>0</v>
      </c>
      <c r="P85" s="41">
        <f>P114</f>
        <v>0</v>
      </c>
      <c r="Q85" s="41">
        <f>Q114</f>
        <v>0</v>
      </c>
      <c r="R85" s="41">
        <f>R114</f>
        <v>-1332.9816417034363</v>
      </c>
    </row>
    <row r="86" s="3" customFormat="1" ht="12.75" customHeight="1">
      <c r="C86" t="s" s="85">
        <v>54</v>
      </c>
      <c r="D86" s="85"/>
      <c r="E86" s="85"/>
      <c r="F86" s="85"/>
      <c r="G86" s="85"/>
      <c r="H86" s="86"/>
      <c r="I86" s="86">
        <f>I84+I85</f>
        <v>0</v>
      </c>
      <c r="J86" s="86">
        <f>J84+J85</f>
        <v>0</v>
      </c>
      <c r="K86" s="86">
        <f>K84+K85</f>
        <v>0</v>
      </c>
      <c r="L86" s="86">
        <f>L84+L85</f>
        <v>0</v>
      </c>
      <c r="M86" s="86">
        <f>M84+M85</f>
        <v>0</v>
      </c>
      <c r="N86" s="86">
        <f>N84+N85</f>
        <v>0</v>
      </c>
      <c r="O86" s="86">
        <f>O84+O85</f>
        <v>0</v>
      </c>
      <c r="P86" s="86">
        <f>P84+P85</f>
        <v>0</v>
      </c>
      <c r="Q86" s="86">
        <f>Q84+Q85</f>
        <v>0</v>
      </c>
      <c r="R86" s="86">
        <f>R84+R85</f>
        <v>0</v>
      </c>
    </row>
    <row r="87" s="3" customFormat="1" ht="12.75" customHeight="1">
      <c r="H87" s="41"/>
      <c r="I87" s="41"/>
      <c r="J87" s="41"/>
      <c r="K87" s="41"/>
      <c r="L87" s="41"/>
      <c r="M87" s="41"/>
      <c r="N87" s="41"/>
      <c r="O87" s="41"/>
      <c r="P87" s="41"/>
      <c r="Q87" s="41"/>
      <c r="R87" s="41"/>
    </row>
    <row r="88" s="3" customFormat="1" ht="12.75" customHeight="1">
      <c r="C88" t="s" s="3">
        <v>55</v>
      </c>
      <c r="H88" s="41"/>
      <c r="I88" s="41">
        <f>H90</f>
        <v>100</v>
      </c>
      <c r="J88" s="41">
        <f>I90</f>
        <v>100</v>
      </c>
      <c r="K88" s="41">
        <f>J90</f>
        <v>100</v>
      </c>
      <c r="L88" s="41">
        <f>K90</f>
        <v>100</v>
      </c>
      <c r="M88" s="41">
        <f>L90</f>
        <v>100</v>
      </c>
      <c r="N88" s="41">
        <f>M90</f>
        <v>100</v>
      </c>
      <c r="O88" s="41">
        <f>N90</f>
        <v>100</v>
      </c>
      <c r="P88" s="41">
        <f>O90</f>
        <v>100</v>
      </c>
      <c r="Q88" s="41">
        <f>P90</f>
        <v>100</v>
      </c>
      <c r="R88" s="41">
        <f>Q90</f>
        <v>100</v>
      </c>
    </row>
    <row r="89" s="3" customFormat="1" ht="12.75" customHeight="1">
      <c r="C89" t="s" s="3">
        <v>56</v>
      </c>
      <c r="H89" s="41"/>
      <c r="I89" s="41">
        <f>I86</f>
        <v>0</v>
      </c>
      <c r="J89" s="41">
        <f>J86</f>
        <v>0</v>
      </c>
      <c r="K89" s="41">
        <f>K86</f>
        <v>0</v>
      </c>
      <c r="L89" s="41">
        <f>L86</f>
        <v>0</v>
      </c>
      <c r="M89" s="41">
        <f>M86</f>
        <v>0</v>
      </c>
      <c r="N89" s="41">
        <f>N86</f>
        <v>0</v>
      </c>
      <c r="O89" s="41">
        <f>O86</f>
        <v>0</v>
      </c>
      <c r="P89" s="41">
        <f>P86</f>
        <v>0</v>
      </c>
      <c r="Q89" s="41">
        <f>Q86</f>
        <v>0</v>
      </c>
      <c r="R89" s="41">
        <f>R86</f>
        <v>0</v>
      </c>
    </row>
    <row r="90" s="3" customFormat="1" ht="12.75" customHeight="1">
      <c r="C90" t="s" s="28">
        <v>57</v>
      </c>
      <c r="D90" s="28"/>
      <c r="E90" s="28"/>
      <c r="F90" s="28"/>
      <c r="G90" s="28"/>
      <c r="H90" s="84">
        <f>I5</f>
        <v>100</v>
      </c>
      <c r="I90" s="84">
        <f>I88+I89</f>
        <v>100</v>
      </c>
      <c r="J90" s="84">
        <f>J88+J89</f>
        <v>100</v>
      </c>
      <c r="K90" s="84">
        <f>K88+K89</f>
        <v>100</v>
      </c>
      <c r="L90" s="84">
        <f>L88+L89</f>
        <v>100</v>
      </c>
      <c r="M90" s="84">
        <f>M88+M89</f>
        <v>100</v>
      </c>
      <c r="N90" s="84">
        <f>N88+N89</f>
        <v>100</v>
      </c>
      <c r="O90" s="84">
        <f>O88+O89</f>
        <v>100</v>
      </c>
      <c r="P90" s="84">
        <f>P88+P89</f>
        <v>100</v>
      </c>
      <c r="Q90" s="84">
        <f>Q88+Q89</f>
        <v>100</v>
      </c>
      <c r="R90" s="84">
        <f>R88+R89</f>
        <v>100</v>
      </c>
    </row>
    <row r="91" s="3" customFormat="1" ht="12.75" customHeight="1">
      <c r="H91" s="41"/>
      <c r="I91" s="41"/>
      <c r="J91" s="41"/>
      <c r="K91" s="41"/>
      <c r="L91" s="41"/>
      <c r="M91" s="41"/>
      <c r="N91" s="41"/>
      <c r="O91" s="41"/>
      <c r="P91" s="41"/>
      <c r="Q91" s="41"/>
      <c r="R91" s="41"/>
    </row>
    <row r="92" s="10" customFormat="1" ht="12.75" customHeight="1">
      <c r="C92" t="s" s="44">
        <v>58</v>
      </c>
      <c r="D92" s="44"/>
      <c r="E92" s="44"/>
      <c r="F92" s="44"/>
      <c r="G92" s="44"/>
      <c r="H92" s="82"/>
      <c r="I92" s="77">
        <f>I28</f>
        <v>46752</v>
      </c>
      <c r="J92" s="77">
        <f>J28</f>
        <v>47118</v>
      </c>
      <c r="K92" s="77">
        <f>K28</f>
        <v>47483</v>
      </c>
      <c r="L92" s="77">
        <f>L28</f>
        <v>47848</v>
      </c>
      <c r="M92" s="77">
        <f>M28</f>
        <v>48213</v>
      </c>
      <c r="N92" s="77">
        <f>N28</f>
        <v>48579</v>
      </c>
      <c r="O92" s="77">
        <f>O28</f>
        <v>48944</v>
      </c>
      <c r="P92" s="77">
        <f>P28</f>
        <v>49309</v>
      </c>
      <c r="Q92" s="77">
        <f>Q28</f>
        <v>49674</v>
      </c>
      <c r="R92" s="77">
        <f>R28</f>
        <v>50040</v>
      </c>
    </row>
    <row r="93" s="3" customFormat="1" ht="12.75" customHeight="1">
      <c r="H93" s="41"/>
      <c r="I93" s="41"/>
      <c r="J93" s="41"/>
      <c r="K93" s="41"/>
      <c r="L93" s="41"/>
      <c r="M93" s="41"/>
      <c r="N93" s="41"/>
      <c r="O93" s="41"/>
      <c r="P93" s="41"/>
      <c r="Q93" s="41"/>
      <c r="R93" s="41"/>
    </row>
    <row r="94" s="3" customFormat="1" ht="12.75" customHeight="1">
      <c r="C94" t="s" s="3">
        <v>379</v>
      </c>
      <c r="H94" s="41"/>
      <c r="I94" s="272">
        <v>0.0465207788</v>
      </c>
      <c r="J94" s="272">
        <v>0.0454680264</v>
      </c>
      <c r="K94" s="272">
        <v>0.0450742451</v>
      </c>
      <c r="L94" s="272">
        <v>0.044450934000000004</v>
      </c>
      <c r="M94" s="272">
        <v>0.044804378299999996</v>
      </c>
      <c r="N94" s="272">
        <v>0.0454532781</v>
      </c>
      <c r="O94" s="272">
        <v>0.0456873941</v>
      </c>
      <c r="P94" s="272">
        <v>0.0466378151</v>
      </c>
      <c r="Q94" s="272">
        <v>0.0482359019</v>
      </c>
      <c r="R94" s="272">
        <v>0.0474834742</v>
      </c>
    </row>
    <row r="95" s="3" customFormat="1" ht="12.75" customHeight="1">
      <c r="H95" s="41"/>
      <c r="I95" s="41"/>
      <c r="J95" s="41"/>
      <c r="K95" s="41"/>
      <c r="L95" s="41"/>
      <c r="M95" s="41"/>
      <c r="N95" s="41"/>
      <c r="O95" s="41"/>
      <c r="P95" s="41"/>
      <c r="Q95" s="41"/>
      <c r="R95" s="41"/>
    </row>
    <row r="96" s="3" customFormat="1" ht="12.75" customHeight="1">
      <c r="C96" t="s" s="13">
        <v>24</v>
      </c>
      <c r="H96" s="41"/>
      <c r="I96" s="41"/>
      <c r="J96" s="41"/>
      <c r="K96" s="41"/>
      <c r="L96" s="41"/>
      <c r="M96" s="41"/>
      <c r="N96" s="41"/>
      <c r="O96" s="41"/>
      <c r="P96" s="41"/>
      <c r="Q96" s="41"/>
      <c r="R96" s="41"/>
    </row>
    <row r="97" s="3" customFormat="1" ht="12.75" customHeight="1">
      <c r="C97" t="s" s="3">
        <v>59</v>
      </c>
      <c r="H97" s="41"/>
      <c r="I97" s="41">
        <f>H99</f>
        <v>0</v>
      </c>
      <c r="J97" s="41">
        <f>I99</f>
        <v>0</v>
      </c>
      <c r="K97" s="41">
        <f>J99</f>
        <v>0</v>
      </c>
      <c r="L97" s="41">
        <f>K99</f>
        <v>0</v>
      </c>
      <c r="M97" s="41">
        <f>L99</f>
        <v>0</v>
      </c>
      <c r="N97" s="41">
        <f>M99</f>
        <v>0</v>
      </c>
      <c r="O97" s="41">
        <f>N99</f>
        <v>0</v>
      </c>
      <c r="P97" s="41">
        <f>O99</f>
        <v>0</v>
      </c>
      <c r="Q97" s="41">
        <f>P99</f>
        <v>0</v>
      </c>
      <c r="R97" s="41">
        <f>Q99</f>
        <v>0</v>
      </c>
    </row>
    <row r="98" s="3" customFormat="1" ht="12.75" customHeight="1">
      <c r="C98" t="s" s="3">
        <v>52</v>
      </c>
      <c r="H98" s="41"/>
      <c r="I98" s="41">
        <f>MIN($E$12-I97,-MIN(I$80,I97))</f>
        <v>0</v>
      </c>
      <c r="J98" s="41">
        <f>MIN($E$12-J97,-MIN(J$80,J97))</f>
        <v>0</v>
      </c>
      <c r="K98" s="41">
        <f>MIN($E$12-K97,-MIN(K$80,K97))</f>
        <v>0</v>
      </c>
      <c r="L98" s="41">
        <f>MIN($E$12-L97,-MIN(L$80,L97))</f>
        <v>0</v>
      </c>
      <c r="M98" s="41">
        <f>MIN($E$12-M97,-MIN(M$80,M97))</f>
        <v>0</v>
      </c>
      <c r="N98" s="41">
        <f>MIN($E$12-N97,-MIN(N$80,N97))</f>
        <v>0</v>
      </c>
      <c r="O98" s="41">
        <f>MIN($E$12-O97,-MIN(O$80,O97))</f>
        <v>0</v>
      </c>
      <c r="P98" s="41">
        <f>MIN($E$12-P97,-MIN(P$80,P97))</f>
        <v>0</v>
      </c>
      <c r="Q98" s="41">
        <f>MIN($E$12-Q97,-MIN(Q$80,Q97))</f>
        <v>0</v>
      </c>
      <c r="R98" s="41">
        <f>MIN($E$12-R97,-MIN(R$80,R97))</f>
        <v>0</v>
      </c>
    </row>
    <row r="99" s="3" customFormat="1" ht="12.75" customHeight="1">
      <c r="C99" t="s" s="28">
        <v>60</v>
      </c>
      <c r="D99" s="28"/>
      <c r="E99" s="28"/>
      <c r="F99" s="28"/>
      <c r="G99" s="28"/>
      <c r="H99" s="84">
        <f>F12</f>
        <v>0</v>
      </c>
      <c r="I99" s="84">
        <f>I97+I98</f>
        <v>0</v>
      </c>
      <c r="J99" s="84">
        <f>J97+J98</f>
        <v>0</v>
      </c>
      <c r="K99" s="84">
        <f>K97+K98</f>
        <v>0</v>
      </c>
      <c r="L99" s="84">
        <f>L97+L98</f>
        <v>0</v>
      </c>
      <c r="M99" s="84">
        <f>M97+M98</f>
        <v>0</v>
      </c>
      <c r="N99" s="84">
        <f>N97+N98</f>
        <v>0</v>
      </c>
      <c r="O99" s="84">
        <f>O97+O98</f>
        <v>0</v>
      </c>
      <c r="P99" s="84">
        <f>P97+P98</f>
        <v>0</v>
      </c>
      <c r="Q99" s="84">
        <f>Q97+Q98</f>
        <v>0</v>
      </c>
      <c r="R99" s="84">
        <f>R97+R98</f>
        <v>0</v>
      </c>
    </row>
    <row r="100" s="3" customFormat="1" ht="12.75" customHeight="1">
      <c r="H100" s="41"/>
      <c r="I100" s="41"/>
      <c r="J100" s="41"/>
      <c r="K100" s="41"/>
      <c r="L100" s="41"/>
      <c r="M100" s="41"/>
      <c r="N100" s="41"/>
      <c r="O100" s="41"/>
      <c r="P100" s="41"/>
      <c r="Q100" s="41"/>
      <c r="R100" s="41"/>
    </row>
    <row r="101" s="3" customFormat="1" ht="12.75" customHeight="1">
      <c r="C101" t="s" s="3">
        <v>61</v>
      </c>
      <c r="H101" s="41"/>
      <c r="I101" s="41">
        <f>IF($E$8=1,AVERAGE(I97,I99),I97)*(MAX(I$94,$I$12)+$H$12/10000)</f>
        <v>0</v>
      </c>
      <c r="J101" s="41">
        <f>IF($E$8=1,AVERAGE(J97,J99),J97)*(MAX(J$94,$I$12)+$H$12/10000)</f>
        <v>0</v>
      </c>
      <c r="K101" s="41">
        <f>IF($E$8=1,AVERAGE(K97,K99),K97)*(MAX(K$94,$I$12)+$H$12/10000)</f>
        <v>0</v>
      </c>
      <c r="L101" s="41">
        <f>IF($E$8=1,AVERAGE(L97,L99),L97)*(MAX(L$94,$I$12)+$H$12/10000)</f>
        <v>0</v>
      </c>
      <c r="M101" s="41">
        <f>IF($E$8=1,AVERAGE(M97,M99),M97)*(MAX(M$94,$I$12)+$H$12/10000)</f>
        <v>0</v>
      </c>
      <c r="N101" s="41">
        <f>IF($E$8=1,AVERAGE(N97,N99),N97)*(MAX(N$94,$I$12)+$H$12/10000)</f>
        <v>0</v>
      </c>
      <c r="O101" s="41">
        <f>IF($E$8=1,AVERAGE(O97,O99),O97)*(MAX(O$94,$I$12)+$H$12/10000)</f>
        <v>0</v>
      </c>
      <c r="P101" s="41">
        <f>IF($E$8=1,AVERAGE(P97,P99),P97)*(MAX(P$94,$I$12)+$H$12/10000)</f>
        <v>0</v>
      </c>
      <c r="Q101" s="41">
        <f>IF($E$8=1,AVERAGE(Q97,Q99),Q97)*(MAX(Q$94,$I$12)+$H$12/10000)</f>
        <v>0</v>
      </c>
      <c r="R101" s="41">
        <f>IF($E$8=1,AVERAGE(R97,R99),R97)*(MAX(R$94,$I$12)+$H$12/10000)</f>
        <v>0</v>
      </c>
    </row>
    <row r="102" s="3" customFormat="1" ht="12.75" customHeight="1">
      <c r="C102" t="s" s="3">
        <v>62</v>
      </c>
      <c r="H102" s="41"/>
      <c r="I102" s="41">
        <f>($E$12-IF($E$8=1,AVERAGE(I97,I99),I97))*$D$12</f>
        <v>3</v>
      </c>
      <c r="J102" s="41">
        <f>($E$12-IF($E$8=1,AVERAGE(J97,J99),J97))*$D$12</f>
        <v>3</v>
      </c>
      <c r="K102" s="41">
        <f>($E$12-IF($E$8=1,AVERAGE(K97,K99),K97))*$D$12</f>
        <v>3</v>
      </c>
      <c r="L102" s="41">
        <f>($E$12-IF($E$8=1,AVERAGE(L97,L99),L97))*$D$12</f>
        <v>3</v>
      </c>
      <c r="M102" s="41">
        <f>($E$12-IF($E$8=1,AVERAGE(M97,M99),M97))*$D$12</f>
        <v>3</v>
      </c>
      <c r="N102" s="41">
        <f>($E$12-IF($E$8=1,AVERAGE(N97,N99),N97))*$D$12</f>
        <v>3</v>
      </c>
      <c r="O102" s="41">
        <f>($E$12-IF($E$8=1,AVERAGE(O97,O99),O97))*$D$12</f>
        <v>3</v>
      </c>
      <c r="P102" s="41">
        <f>($E$12-IF($E$8=1,AVERAGE(P97,P99),P97))*$D$12</f>
        <v>3</v>
      </c>
      <c r="Q102" s="41">
        <f>($E$12-IF($E$8=1,AVERAGE(Q97,Q99),Q97))*$D$12</f>
        <v>3</v>
      </c>
      <c r="R102" s="41">
        <f>($E$12-IF($E$8=1,AVERAGE(R97,R99),R97))*$D$12</f>
        <v>3</v>
      </c>
    </row>
    <row r="103" s="3" customFormat="1" ht="12.75" customHeight="1">
      <c r="H103" s="41"/>
      <c r="I103" s="41"/>
      <c r="J103" s="41"/>
      <c r="K103" s="41"/>
      <c r="L103" s="41"/>
      <c r="M103" s="41"/>
      <c r="N103" s="41"/>
      <c r="O103" s="41"/>
      <c r="P103" s="41"/>
      <c r="Q103" s="41"/>
      <c r="R103" s="41"/>
    </row>
    <row r="104" s="3" customFormat="1" ht="12.75" customHeight="1">
      <c r="C104" t="s" s="13">
        <v>107</v>
      </c>
      <c r="H104" s="41"/>
      <c r="I104" s="41"/>
      <c r="J104" s="41"/>
      <c r="K104" s="41"/>
      <c r="L104" s="41"/>
      <c r="M104" s="41"/>
      <c r="N104" s="41"/>
      <c r="O104" s="41"/>
      <c r="P104" s="41"/>
      <c r="Q104" s="41"/>
      <c r="R104" s="41"/>
    </row>
    <row r="105" s="3" customFormat="1" ht="12.75" customHeight="1">
      <c r="C105" t="s" s="3">
        <v>59</v>
      </c>
      <c r="H105" s="41"/>
      <c r="I105" s="41">
        <f>H108</f>
        <v>8741.986499999999</v>
      </c>
      <c r="J105" s="41">
        <f>I108</f>
        <v>8282.723722639927</v>
      </c>
      <c r="K105" s="41">
        <f>J108</f>
        <v>7700.270985432371</v>
      </c>
      <c r="L105" s="41">
        <f>K108</f>
        <v>6996.601938056875</v>
      </c>
      <c r="M105" s="41">
        <f>L108</f>
        <v>6155.172512275776</v>
      </c>
      <c r="N105" s="41">
        <f>M108</f>
        <v>5168.741912591857</v>
      </c>
      <c r="O105" s="41">
        <f>N108</f>
        <v>4087.113421429359</v>
      </c>
      <c r="P105" s="41">
        <f>O108</f>
        <v>2901.632621947</v>
      </c>
      <c r="Q105" s="41">
        <f>P108</f>
        <v>1614.4223876842634</v>
      </c>
      <c r="R105" s="41">
        <f>Q108</f>
        <v>208.24756725988846</v>
      </c>
    </row>
    <row r="106" s="3" customFormat="1" ht="12.75" customHeight="1">
      <c r="C106" t="s" s="3">
        <v>50</v>
      </c>
      <c r="H106" s="41"/>
      <c r="I106" s="41">
        <f>-MIN($H$108*$J$13,I105)</f>
        <v>-87.41986499999999</v>
      </c>
      <c r="J106" s="41">
        <f>-MIN($H$108*$J$13,J105)</f>
        <v>-87.41986499999999</v>
      </c>
      <c r="K106" s="41">
        <f>-MIN($H$108*$J$13,K105)</f>
        <v>-87.41986499999999</v>
      </c>
      <c r="L106" s="41">
        <f>-MIN($H$108*$J$13,L105)</f>
        <v>-87.41986499999999</v>
      </c>
      <c r="M106" s="41">
        <f>-MIN($H$108*$J$13,M105)</f>
        <v>-87.41986499999999</v>
      </c>
      <c r="N106" s="41">
        <f>-MIN($H$108*$J$13,N105)</f>
        <v>-87.41986499999999</v>
      </c>
      <c r="O106" s="41">
        <f>-MIN($H$108*$J$13,O105)</f>
        <v>-87.41986499999999</v>
      </c>
      <c r="P106" s="41">
        <f>-MIN($H$108*$J$13,P105)</f>
        <v>-87.41986499999999</v>
      </c>
      <c r="Q106" s="41">
        <f>-MIN($H$108*$J$13,Q105)</f>
        <v>-87.41986499999999</v>
      </c>
      <c r="R106" s="41">
        <f>-MIN($H$108*$J$13,R105)</f>
        <v>-87.41986499999999</v>
      </c>
    </row>
    <row r="107" s="12" customFormat="1" ht="12.75" customHeight="1">
      <c r="C107" t="s" s="12">
        <v>63</v>
      </c>
      <c r="H107" s="83"/>
      <c r="I107" s="83">
        <f>-MIN(I105+I106,MAX(0,I82))</f>
        <v>-371.8429123600728</v>
      </c>
      <c r="J107" s="83">
        <f>-MIN(J105+J106,MAX(0,J82))</f>
        <v>-495.032872207556</v>
      </c>
      <c r="K107" s="83">
        <f>-MIN(K105+K106,MAX(0,K82))</f>
        <v>-616.2491823754965</v>
      </c>
      <c r="L107" s="83">
        <f>-MIN(L105+L106,MAX(0,L82))</f>
        <v>-754.0095607810986</v>
      </c>
      <c r="M107" s="83">
        <f>-MIN(M105+M106,MAX(0,M82))</f>
        <v>-899.0107346839194</v>
      </c>
      <c r="N107" s="83">
        <f>-MIN(N105+N106,MAX(0,N82))</f>
        <v>-994.2086261624983</v>
      </c>
      <c r="O107" s="83">
        <f>-MIN(O105+O106,MAX(0,O82))</f>
        <v>-1098.0609344823586</v>
      </c>
      <c r="P107" s="83">
        <f>-MIN(P105+P106,MAX(0,P82))</f>
        <v>-1199.790369262737</v>
      </c>
      <c r="Q107" s="83">
        <f>-MIN(Q105+Q106,MAX(0,Q82))</f>
        <v>-1318.7549554243749</v>
      </c>
      <c r="R107" s="83">
        <f>-MIN(R105+R106,MAX(0,R82))</f>
        <v>-120.82770225988847</v>
      </c>
    </row>
    <row r="108" s="3" customFormat="1" ht="12.75" customHeight="1">
      <c r="C108" t="s" s="28">
        <v>60</v>
      </c>
      <c r="D108" s="28"/>
      <c r="E108" s="28"/>
      <c r="F108" s="28"/>
      <c r="G108" s="28"/>
      <c r="H108" s="84">
        <f>F13</f>
        <v>8741.986499999999</v>
      </c>
      <c r="I108" s="84">
        <f>SUM(I105:I107)</f>
        <v>8282.723722639927</v>
      </c>
      <c r="J108" s="84">
        <f>SUM(J105:J107)</f>
        <v>7700.270985432371</v>
      </c>
      <c r="K108" s="84">
        <f>SUM(K105:K107)</f>
        <v>6996.601938056875</v>
      </c>
      <c r="L108" s="84">
        <f>SUM(L105:L107)</f>
        <v>6155.172512275776</v>
      </c>
      <c r="M108" s="84">
        <f>SUM(M105:M107)</f>
        <v>5168.741912591857</v>
      </c>
      <c r="N108" s="84">
        <f>SUM(N105:N107)</f>
        <v>4087.113421429359</v>
      </c>
      <c r="O108" s="84">
        <f>SUM(O105:O107)</f>
        <v>2901.632621947</v>
      </c>
      <c r="P108" s="84">
        <f>SUM(P105:P107)</f>
        <v>1614.4223876842634</v>
      </c>
      <c r="Q108" s="84">
        <f>SUM(Q105:Q107)</f>
        <v>208.24756725988846</v>
      </c>
      <c r="R108" s="84">
        <f>SUM(R105:R107)</f>
        <v>0</v>
      </c>
    </row>
    <row r="109" s="3" customFormat="1" ht="12.75" customHeight="1">
      <c r="H109" s="41"/>
      <c r="I109" s="41"/>
      <c r="J109" s="41"/>
      <c r="K109" s="41"/>
      <c r="L109" s="41"/>
      <c r="M109" s="41"/>
      <c r="N109" s="41"/>
      <c r="O109" s="41"/>
      <c r="P109" s="41"/>
      <c r="Q109" s="41"/>
      <c r="R109" s="41"/>
    </row>
    <row r="110" s="3" customFormat="1" ht="12.75" customHeight="1">
      <c r="C110" t="s" s="3">
        <v>61</v>
      </c>
      <c r="H110" s="41"/>
      <c r="I110" s="41">
        <f>IF($E$8=1,AVERAGE(I105,I108),I105)*(MAX(I$94,$I$13)+$H$13/10000)</f>
        <v>672.6529303186642</v>
      </c>
      <c r="J110" s="41">
        <f>IF($E$8=1,AVERAGE(J105,J108),J105)*(MAX(J$94,$I$13)+$H$13/10000)</f>
        <v>623.0812766750206</v>
      </c>
      <c r="K110" s="41">
        <f>IF($E$8=1,AVERAGE(K105,K108),K105)*(MAX(K$94,$I$13)+$H$13/10000)</f>
        <v>570.0494111851541</v>
      </c>
      <c r="L110" s="41">
        <f>IF($E$8=1,AVERAGE(L105,L108),L105)*(MAX(L$94,$I$13)+$H$13/10000)</f>
        <v>506.02066385521704</v>
      </c>
      <c r="M110" s="41">
        <f>IF($E$8=1,AVERAGE(M105,M108),M105)*(MAX(M$94,$I$13)+$H$13/10000)</f>
        <v>437.6940822683972</v>
      </c>
      <c r="N110" s="41">
        <f>IF($E$8=1,AVERAGE(N105,N108),N105)*(MAX(N$94,$I$13)+$H$13/10000)</f>
        <v>360.7621324531621</v>
      </c>
      <c r="O110" s="41">
        <f>IF($E$8=1,AVERAGE(O105,O108),O105)*(MAX(O$94,$I$13)+$H$13/10000)</f>
        <v>273.21592057914154</v>
      </c>
      <c r="P110" s="41">
        <f>IF($E$8=1,AVERAGE(P105,P108),P105)*(MAX(P$94,$I$13)+$H$13/10000)</f>
        <v>178.69536316681385</v>
      </c>
      <c r="Q110" s="41">
        <f>IF($E$8=1,AVERAGE(Q105,Q108),Q105)*(MAX(Q$94,$I$13)+$H$13/10000)</f>
        <v>73.57745133922424</v>
      </c>
      <c r="R110" s="41">
        <f>IF($E$8=1,AVERAGE(R105,R108),R105)*(MAX(R$94,$I$13)+$H$13/10000)</f>
        <v>8.328181961572026</v>
      </c>
    </row>
    <row r="111" s="3" customFormat="1" ht="12.75" customHeight="1">
      <c r="H111" s="41"/>
      <c r="I111" s="41"/>
      <c r="J111" s="41"/>
      <c r="K111" s="41"/>
      <c r="L111" s="41"/>
      <c r="M111" s="41"/>
      <c r="N111" s="41"/>
      <c r="O111" s="41"/>
      <c r="P111" s="41"/>
      <c r="Q111" s="41"/>
      <c r="R111" s="41"/>
    </row>
    <row r="112" s="3" customFormat="1" ht="12.75" customHeight="1">
      <c r="C112" t="s" s="13">
        <v>108</v>
      </c>
      <c r="H112" s="41"/>
      <c r="I112" s="41"/>
      <c r="J112" s="41"/>
      <c r="K112" s="41"/>
      <c r="L112" s="41"/>
      <c r="M112" s="41"/>
      <c r="N112" s="41"/>
      <c r="O112" s="41"/>
      <c r="P112" s="41"/>
      <c r="Q112" s="41"/>
      <c r="R112" s="41"/>
    </row>
    <row r="113" s="3" customFormat="1" ht="12.75" customHeight="1">
      <c r="C113" t="s" s="3">
        <v>59</v>
      </c>
      <c r="H113" s="41"/>
      <c r="I113" s="41">
        <f>H115</f>
        <v>2689.8419999999996</v>
      </c>
      <c r="J113" s="41">
        <f>I115</f>
        <v>2689.8419999999996</v>
      </c>
      <c r="K113" s="41">
        <f>J115</f>
        <v>2689.8419999999996</v>
      </c>
      <c r="L113" s="41">
        <f>K115</f>
        <v>2689.8419999999996</v>
      </c>
      <c r="M113" s="41">
        <f>L115</f>
        <v>2689.8419999999996</v>
      </c>
      <c r="N113" s="41">
        <f>M115</f>
        <v>2689.8419999999996</v>
      </c>
      <c r="O113" s="41">
        <f>N115</f>
        <v>2689.8419999999996</v>
      </c>
      <c r="P113" s="41">
        <f>O115</f>
        <v>2689.8419999999996</v>
      </c>
      <c r="Q113" s="41">
        <f>P115</f>
        <v>2689.8419999999996</v>
      </c>
      <c r="R113" s="41">
        <f>Q115</f>
        <v>2689.8419999999996</v>
      </c>
    </row>
    <row r="114" s="3" customFormat="1" ht="12.75" customHeight="1">
      <c r="C114" t="s" s="3">
        <v>63</v>
      </c>
      <c r="H114" s="41"/>
      <c r="I114" s="41">
        <f>-MIN(MAX(0,I84),I113)</f>
        <v>0</v>
      </c>
      <c r="J114" s="41">
        <f>-MIN(MAX(0,J84),J113)</f>
        <v>0</v>
      </c>
      <c r="K114" s="41">
        <f>-MIN(MAX(0,K84),K113)</f>
        <v>0</v>
      </c>
      <c r="L114" s="41">
        <f>-MIN(MAX(0,L84),L113)</f>
        <v>0</v>
      </c>
      <c r="M114" s="41">
        <f>-MIN(MAX(0,M84),M113)</f>
        <v>0</v>
      </c>
      <c r="N114" s="41">
        <f>-MIN(MAX(0,N84),N113)</f>
        <v>0</v>
      </c>
      <c r="O114" s="41">
        <f>-MIN(MAX(0,O84),O113)</f>
        <v>0</v>
      </c>
      <c r="P114" s="41">
        <f>-MIN(MAX(0,P84),P113)</f>
        <v>0</v>
      </c>
      <c r="Q114" s="41">
        <f>-MIN(MAX(0,Q84),Q113)</f>
        <v>0</v>
      </c>
      <c r="R114" s="41">
        <f>-MIN(MAX(0,R84),R113)</f>
        <v>-1332.9816417034363</v>
      </c>
    </row>
    <row r="115" s="12" customFormat="1" ht="12.75" customHeight="1">
      <c r="C115" t="s" s="28">
        <v>60</v>
      </c>
      <c r="D115" s="28"/>
      <c r="E115" s="28"/>
      <c r="F115" s="28"/>
      <c r="G115" s="28"/>
      <c r="H115" s="84">
        <f>F14</f>
        <v>2689.8419999999996</v>
      </c>
      <c r="I115" s="84">
        <f>I113+I114</f>
        <v>2689.8419999999996</v>
      </c>
      <c r="J115" s="84">
        <f>J113+J114</f>
        <v>2689.8419999999996</v>
      </c>
      <c r="K115" s="84">
        <f>K113+K114</f>
        <v>2689.8419999999996</v>
      </c>
      <c r="L115" s="84">
        <f>L113+L114</f>
        <v>2689.8419999999996</v>
      </c>
      <c r="M115" s="84">
        <f>M113+M114</f>
        <v>2689.8419999999996</v>
      </c>
      <c r="N115" s="84">
        <f>N113+N114</f>
        <v>2689.8419999999996</v>
      </c>
      <c r="O115" s="84">
        <f>O113+O114</f>
        <v>2689.8419999999996</v>
      </c>
      <c r="P115" s="84">
        <f>P113+P114</f>
        <v>2689.8419999999996</v>
      </c>
      <c r="Q115" s="84">
        <f>Q113+Q114</f>
        <v>2689.8419999999996</v>
      </c>
      <c r="R115" s="84">
        <f>R113+R114</f>
        <v>1356.8603582965634</v>
      </c>
    </row>
    <row r="116" s="3" customFormat="1" ht="12.75" customHeight="1">
      <c r="H116" s="41"/>
      <c r="I116" s="41"/>
      <c r="J116" s="41"/>
      <c r="K116" s="41"/>
      <c r="L116" s="41"/>
      <c r="M116" s="41"/>
      <c r="N116" s="41"/>
      <c r="O116" s="41"/>
      <c r="P116" s="41"/>
      <c r="Q116" s="41"/>
      <c r="R116" s="41"/>
    </row>
    <row r="117" s="3" customFormat="1" ht="12.75" customHeight="1">
      <c r="C117" t="s" s="3">
        <v>61</v>
      </c>
      <c r="H117" s="41"/>
      <c r="I117" s="41">
        <f>IF($E$8=1,AVERAGE(I113,I115),I113)*$H$14</f>
        <v>242.08577999999997</v>
      </c>
      <c r="J117" s="41">
        <f>IF($E$8=1,AVERAGE(J113,J115),J113)*$H$14</f>
        <v>242.08577999999997</v>
      </c>
      <c r="K117" s="41">
        <f>IF($E$8=1,AVERAGE(K113,K115),K113)*$H$14</f>
        <v>242.08577999999997</v>
      </c>
      <c r="L117" s="41">
        <f>IF($E$8=1,AVERAGE(L113,L115),L113)*$H$14</f>
        <v>242.08577999999997</v>
      </c>
      <c r="M117" s="41">
        <f>IF($E$8=1,AVERAGE(M113,M115),M113)*$H$14</f>
        <v>242.08577999999997</v>
      </c>
      <c r="N117" s="41">
        <f>IF($E$8=1,AVERAGE(N113,N115),N113)*$H$14</f>
        <v>242.08577999999997</v>
      </c>
      <c r="O117" s="41">
        <f>IF($E$8=1,AVERAGE(O113,O115),O113)*$H$14</f>
        <v>242.08577999999997</v>
      </c>
      <c r="P117" s="41">
        <f>IF($E$8=1,AVERAGE(P113,P115),P113)*$H$14</f>
        <v>242.08577999999997</v>
      </c>
      <c r="Q117" s="41">
        <f>IF($E$8=1,AVERAGE(Q113,Q115),Q113)*$H$14</f>
        <v>242.08577999999997</v>
      </c>
      <c r="R117" s="41">
        <f>IF($E$8=1,AVERAGE(R113,R115),R113)*$H$14</f>
        <v>182.10160612334533</v>
      </c>
    </row>
    <row r="118" ht="12.75" customHeight="1">
      <c r="H118" s="38"/>
      <c r="I118" s="38"/>
      <c r="J118" s="38"/>
      <c r="K118" s="38"/>
      <c r="L118" s="38"/>
      <c r="M118" s="38"/>
      <c r="N118" s="38"/>
      <c r="O118" s="38"/>
      <c r="P118" s="38"/>
      <c r="Q118" s="38"/>
      <c r="R118" s="38"/>
    </row>
    <row r="119" s="3" customFormat="1" ht="12.75" customHeight="1">
      <c r="C119" t="s" s="12">
        <v>112</v>
      </c>
      <c r="H119" s="41"/>
      <c r="I119" s="41"/>
      <c r="J119" s="41"/>
      <c r="K119" s="41"/>
      <c r="L119" s="41"/>
      <c r="M119" s="41"/>
      <c r="N119" s="41"/>
      <c r="O119" s="41"/>
      <c r="P119" s="41"/>
      <c r="Q119" s="41"/>
      <c r="R119" s="41"/>
    </row>
    <row r="120" s="3" customFormat="1" ht="12.75" customHeight="1">
      <c r="C120" t="s" s="3">
        <v>81</v>
      </c>
      <c r="H120" s="41">
        <f>H99+H108+H115</f>
        <v>11431.8285</v>
      </c>
      <c r="I120" s="41">
        <f>I99+I108+I115</f>
        <v>10972.565722639927</v>
      </c>
      <c r="J120" s="41">
        <f>J99+J108+J115</f>
        <v>10390.11298543237</v>
      </c>
      <c r="K120" s="41">
        <f>K99+K108+K115</f>
        <v>9686.443938056875</v>
      </c>
      <c r="L120" s="41">
        <f>L99+L108+L115</f>
        <v>8845.014512275775</v>
      </c>
      <c r="M120" s="41">
        <f>M99+M108+M115</f>
        <v>7858.5839125918565</v>
      </c>
      <c r="N120" s="41">
        <f>N99+N108+N115</f>
        <v>6776.9554214293585</v>
      </c>
      <c r="O120" s="41">
        <f>O99+O108+O115</f>
        <v>5591.474621947</v>
      </c>
      <c r="P120" s="41">
        <f>P99+P108+P115</f>
        <v>4304.264387684263</v>
      </c>
      <c r="Q120" s="41">
        <f>Q99+Q108+Q115</f>
        <v>2898.089567259888</v>
      </c>
      <c r="R120" s="41">
        <f>R99+R108+R115</f>
        <v>1356.8603582965634</v>
      </c>
    </row>
    <row r="121" s="3" customFormat="1" ht="12.75" customHeight="1">
      <c r="C121" t="s" s="3">
        <v>85</v>
      </c>
      <c r="H121" s="41">
        <f>H120-H90</f>
        <v>11331.8285</v>
      </c>
      <c r="I121" s="41">
        <f>I120-I90</f>
        <v>10872.565722639927</v>
      </c>
      <c r="J121" s="41">
        <f>J120-J90</f>
        <v>10290.11298543237</v>
      </c>
      <c r="K121" s="41">
        <f>K120-K90</f>
        <v>9586.443938056875</v>
      </c>
      <c r="L121" s="41">
        <f>L120-L90</f>
        <v>8745.014512275775</v>
      </c>
      <c r="M121" s="41">
        <f>M120-M90</f>
        <v>7758.5839125918565</v>
      </c>
      <c r="N121" s="41">
        <f>N120-N90</f>
        <v>6676.9554214293585</v>
      </c>
      <c r="O121" s="41">
        <f>O120-O90</f>
        <v>5491.474621947</v>
      </c>
      <c r="P121" s="41">
        <f>P120-P90</f>
        <v>4204.264387684263</v>
      </c>
      <c r="Q121" s="41">
        <f>Q120-Q90</f>
        <v>2798.089567259888</v>
      </c>
      <c r="R121" s="41">
        <f>R120-R90</f>
        <v>1256.8603582965634</v>
      </c>
    </row>
    <row r="122" s="3" customFormat="1" ht="12.75" customHeight="1">
      <c r="C122" t="s" s="3">
        <v>113</v>
      </c>
      <c r="H122" s="87">
        <f>H120/H53</f>
        <v>4.219848042217865</v>
      </c>
      <c r="I122" s="87">
        <f>I120/I53</f>
        <v>3.9155990185713523</v>
      </c>
      <c r="J122" s="87">
        <f>J120/J53</f>
        <v>3.5671502039234593</v>
      </c>
      <c r="K122" s="87">
        <f>K120/K53</f>
        <v>3.1823335174757053</v>
      </c>
      <c r="L122" s="87">
        <f>L120/L53</f>
        <v>2.784964103291898</v>
      </c>
      <c r="M122" s="87">
        <f>M120/M53</f>
        <v>2.3681012035576487</v>
      </c>
      <c r="N122" s="87">
        <f>N120/N53</f>
        <v>1.9923550142757862</v>
      </c>
      <c r="O122" s="87">
        <f>O120/O53</f>
        <v>1.6037423250212808</v>
      </c>
      <c r="P122" s="87">
        <f>P120/P53</f>
        <v>1.204434833704884</v>
      </c>
      <c r="Q122" s="87">
        <f>Q120/Q53</f>
        <v>0.7911745443328403</v>
      </c>
      <c r="R122" s="87">
        <f>R120/R53</f>
        <v>0.36138638862807754</v>
      </c>
    </row>
    <row r="123" s="3" customFormat="1" ht="12.75" customHeight="1">
      <c r="C123" t="s" s="3">
        <v>114</v>
      </c>
      <c r="H123" s="87">
        <f>H121/H53</f>
        <v>4.182934891865601</v>
      </c>
      <c r="I123" s="87">
        <f>I121/I53</f>
        <v>3.879913663682183</v>
      </c>
      <c r="J123" s="87">
        <f>J121/J53</f>
        <v>3.532818044023708</v>
      </c>
      <c r="K123" s="87">
        <f>K121/K53</f>
        <v>3.1494800416508704</v>
      </c>
      <c r="L123" s="87">
        <f>L121/L53</f>
        <v>2.75347784513566</v>
      </c>
      <c r="M123" s="87">
        <f>M121/M53</f>
        <v>2.337967260472009</v>
      </c>
      <c r="N123" s="87">
        <f>N121/N53</f>
        <v>1.9629560454117478</v>
      </c>
      <c r="O123" s="87">
        <f>O121/O53</f>
        <v>1.5750604041783165</v>
      </c>
      <c r="P123" s="87">
        <f>P121/P53</f>
        <v>1.1764524719068699</v>
      </c>
      <c r="Q123" s="87">
        <f>Q121/Q53</f>
        <v>0.763874679164046</v>
      </c>
      <c r="R123" s="87">
        <f>R121/R53</f>
        <v>0.33475237382925394</v>
      </c>
    </row>
    <row r="124" s="3" customFormat="1" ht="12.75" customHeight="1">
      <c r="C124" t="s" s="3">
        <v>64</v>
      </c>
      <c r="H124" s="41"/>
      <c r="I124" s="41">
        <f>I101+I102+I110+I117</f>
        <v>917.7387103186642</v>
      </c>
      <c r="J124" s="41">
        <f>J101+J102+J110+J117</f>
        <v>868.1670566750206</v>
      </c>
      <c r="K124" s="41">
        <f>K101+K102+K110+K117</f>
        <v>815.1351911851541</v>
      </c>
      <c r="L124" s="41">
        <f>L101+L102+L110+L117</f>
        <v>751.106443855217</v>
      </c>
      <c r="M124" s="41">
        <f>M101+M102+M110+M117</f>
        <v>682.7798622683972</v>
      </c>
      <c r="N124" s="41">
        <f>N101+N102+N110+N117</f>
        <v>605.847912453162</v>
      </c>
      <c r="O124" s="41">
        <f>O101+O102+O110+O117</f>
        <v>518.3017005791415</v>
      </c>
      <c r="P124" s="41">
        <f>P101+P102+P110+P117</f>
        <v>423.7811431668138</v>
      </c>
      <c r="Q124" s="41">
        <f>Q101+Q102+Q110+Q117</f>
        <v>318.66323133922424</v>
      </c>
      <c r="R124" s="41">
        <f>R101+R102+R110+R117</f>
        <v>193.42978808491736</v>
      </c>
    </row>
    <row r="125" s="3" customFormat="1" ht="12.75" customHeight="1">
      <c r="C125" t="s" s="3">
        <v>115</v>
      </c>
      <c r="H125" s="41"/>
      <c r="I125" s="87">
        <f>I53/I124</f>
        <v>3.0534508177953765</v>
      </c>
      <c r="J125" s="87">
        <f>J53/J124</f>
        <v>3.3550235370753922</v>
      </c>
      <c r="K125" s="87">
        <f>K53/K124</f>
        <v>3.734126559738044</v>
      </c>
      <c r="L125" s="87">
        <f>L53/L124</f>
        <v>4.22841359238109</v>
      </c>
      <c r="M125" s="87">
        <f>M53/M124</f>
        <v>4.8603028640992125</v>
      </c>
      <c r="N125" s="87">
        <f>N53/N124</f>
        <v>5.614412087948943</v>
      </c>
      <c r="O125" s="87">
        <f>O53/O124</f>
        <v>6.7268095692494985</v>
      </c>
      <c r="P125" s="87">
        <f>P53/P124</f>
        <v>8.43284279590443</v>
      </c>
      <c r="Q125" s="87">
        <f>Q53/Q124</f>
        <v>11.494962060118883</v>
      </c>
      <c r="R125" s="87">
        <f>R53/R124</f>
        <v>19.410646804854846</v>
      </c>
    </row>
    <row r="126" s="3" customFormat="1" ht="12.75" customHeight="1"/>
    <row r="127" ht="12.75" customHeight="1"/>
    <row r="128" s="12" customFormat="1" ht="12.75" customHeight="1">
      <c r="C128" t="s" s="26">
        <v>65</v>
      </c>
      <c r="D128" s="26"/>
      <c r="E128" s="26"/>
      <c r="F128" s="26"/>
      <c r="G128" s="26"/>
      <c r="H128" s="26"/>
      <c r="I128" s="27">
        <f>I28</f>
        <v>46752</v>
      </c>
      <c r="J128" s="27">
        <f>J28</f>
        <v>47118</v>
      </c>
      <c r="K128" s="27">
        <f>K28</f>
        <v>47483</v>
      </c>
      <c r="L128" s="27">
        <f>L28</f>
        <v>47848</v>
      </c>
      <c r="M128" s="27">
        <f>M28</f>
        <v>48213</v>
      </c>
      <c r="N128" s="27">
        <f>N28</f>
        <v>48579</v>
      </c>
      <c r="O128" s="27">
        <f>O28</f>
        <v>48944</v>
      </c>
      <c r="P128" s="27">
        <f>P28</f>
        <v>49309</v>
      </c>
      <c r="Q128" s="27">
        <f>Q28</f>
        <v>49674</v>
      </c>
      <c r="R128" s="27">
        <f>R28</f>
        <v>50040</v>
      </c>
    </row>
    <row r="129" s="10" customFormat="1" ht="12.75" customHeight="1">
      <c r="C129" t="s" s="10">
        <v>66</v>
      </c>
      <c r="I129" s="88">
        <f>YEAR(I28)-YEAR($E$4)</f>
        <v>1</v>
      </c>
      <c r="J129" s="88">
        <f>YEAR(J28)-YEAR($E$4)</f>
        <v>2</v>
      </c>
      <c r="K129" s="88">
        <f>YEAR(K28)-YEAR($E$4)</f>
        <v>3</v>
      </c>
      <c r="L129" s="88">
        <f>YEAR(L28)-YEAR($E$4)</f>
        <v>4</v>
      </c>
      <c r="M129" s="88">
        <f>YEAR(M28)-YEAR($E$4)</f>
        <v>5</v>
      </c>
      <c r="N129" s="88">
        <f>YEAR(N28)-YEAR($E$4)</f>
        <v>6</v>
      </c>
      <c r="O129" s="88">
        <f>YEAR(O28)-YEAR($E$4)</f>
        <v>7</v>
      </c>
      <c r="P129" s="88">
        <f>YEAR(P28)-YEAR($E$4)</f>
        <v>8</v>
      </c>
      <c r="Q129" s="88">
        <f>YEAR(Q28)-YEAR($E$4)</f>
        <v>9</v>
      </c>
      <c r="R129" s="88">
        <f>YEAR(R28)-YEAR($E$4)</f>
        <v>10</v>
      </c>
    </row>
    <row r="130" s="3" customFormat="1" ht="12.75" customHeight="1"/>
    <row r="131" s="3" customFormat="1" ht="12.75" customHeight="1">
      <c r="C131" t="s" s="3">
        <v>281</v>
      </c>
      <c r="I131" s="41">
        <f>I53</f>
        <v>2802.2700155449993</v>
      </c>
      <c r="J131" s="41">
        <f>J53</f>
        <v>2912.72090925816</v>
      </c>
      <c r="K131" s="41">
        <f>K53</f>
        <v>3043.8179671816324</v>
      </c>
      <c r="L131" s="41">
        <f>L53</f>
        <v>3175.988696522423</v>
      </c>
      <c r="M131" s="41">
        <f>M53</f>
        <v>3318.516920132357</v>
      </c>
      <c r="N131" s="41">
        <f>N53</f>
        <v>3401.4798431356658</v>
      </c>
      <c r="O131" s="41">
        <f>O53</f>
        <v>3486.5168392140577</v>
      </c>
      <c r="P131" s="41">
        <f>P53</f>
        <v>3573.6797601944095</v>
      </c>
      <c r="Q131" s="41">
        <f>Q53</f>
        <v>3663.0217541992693</v>
      </c>
      <c r="R131" s="41">
        <f>R53</f>
        <v>3754.597298054251</v>
      </c>
    </row>
    <row r="132" s="3" customFormat="1" ht="12.75" customHeight="1">
      <c r="C132" t="s" s="3">
        <v>282</v>
      </c>
      <c r="I132" s="87">
        <f>IF('Driver Assumptions'!$D$3=4,Sensitivity!$C$177,$E$6)</f>
        <v>6</v>
      </c>
      <c r="J132" s="87">
        <f>IF('Driver Assumptions'!$D$3=4,Sensitivity!$C$177,$E$6)</f>
        <v>6</v>
      </c>
      <c r="K132" s="87">
        <f>IF('Driver Assumptions'!$D$3=4,Sensitivity!$C$177,$E$6)</f>
        <v>6</v>
      </c>
      <c r="L132" s="87">
        <f>IF('Driver Assumptions'!$D$3=4,Sensitivity!$C$177,$E$6)</f>
        <v>6</v>
      </c>
      <c r="M132" s="87">
        <f>IF('Driver Assumptions'!$D$3=4,Sensitivity!$C$177,$E$6)</f>
        <v>6</v>
      </c>
      <c r="N132" s="87">
        <f>IF('Driver Assumptions'!$D$3=4,Sensitivity!$C$177,$E$6)</f>
        <v>6</v>
      </c>
      <c r="O132" s="87">
        <f>IF('Driver Assumptions'!$D$3=4,Sensitivity!$C$177,$E$6)</f>
        <v>6</v>
      </c>
      <c r="P132" s="87">
        <f>IF('Driver Assumptions'!$D$3=4,Sensitivity!$C$177,$E$6)</f>
        <v>6</v>
      </c>
      <c r="Q132" s="87">
        <f>IF('Driver Assumptions'!$D$3=4,Sensitivity!$C$177,$E$6)</f>
        <v>6</v>
      </c>
      <c r="R132" s="87">
        <f>IF('Driver Assumptions'!$D$3=4,Sensitivity!$C$177,$E$6)</f>
        <v>6</v>
      </c>
    </row>
    <row r="133" s="3" customFormat="1" ht="12.75" customHeight="1">
      <c r="C133" t="s" s="28">
        <v>68</v>
      </c>
      <c r="D133" s="28"/>
      <c r="E133" s="28"/>
      <c r="F133" s="28"/>
      <c r="G133" s="28"/>
      <c r="H133" s="28"/>
      <c r="I133" s="84">
        <f>I131*I132</f>
        <v>16813.620093269994</v>
      </c>
      <c r="J133" s="84">
        <f>J131*J132</f>
        <v>17476.325455548962</v>
      </c>
      <c r="K133" s="84">
        <f>K131*K132</f>
        <v>18262.907803089794</v>
      </c>
      <c r="L133" s="84">
        <f>L131*L132</f>
        <v>19055.93217913454</v>
      </c>
      <c r="M133" s="84">
        <f>M131*M132</f>
        <v>19911.101520794142</v>
      </c>
      <c r="N133" s="84">
        <f>N131*N132</f>
        <v>20408.879058813996</v>
      </c>
      <c r="O133" s="84">
        <f>O131*O132</f>
        <v>20919.101035284344</v>
      </c>
      <c r="P133" s="84">
        <f>P131*P132</f>
        <v>21442.078561166458</v>
      </c>
      <c r="Q133" s="84">
        <f>Q131*Q132</f>
        <v>21978.130525195615</v>
      </c>
      <c r="R133" s="84">
        <f>R131*R132</f>
        <v>22527.583788325508</v>
      </c>
    </row>
    <row r="134" s="3" customFormat="1" ht="12.75" customHeight="1">
      <c r="C134" t="s" s="10">
        <v>283</v>
      </c>
      <c r="D134" s="10"/>
      <c r="E134" s="10"/>
      <c r="F134" s="10"/>
      <c r="G134" s="10"/>
      <c r="H134" s="10"/>
      <c r="I134" s="167">
        <f>I133/I42</f>
        <v>3.1951207498997043</v>
      </c>
      <c r="J134" s="167">
        <f>J133/J42</f>
        <v>3.2696792557340357</v>
      </c>
      <c r="K134" s="167">
        <f>K133/K42</f>
        <v>3.3438973271471504</v>
      </c>
      <c r="L134" s="167">
        <f>L133/L42</f>
        <v>3.401598149155708</v>
      </c>
      <c r="M134" s="167">
        <f>M133/M42</f>
        <v>3.452904339320304</v>
      </c>
      <c r="N134" s="167">
        <f>N133/N42</f>
        <v>3.4529043393203045</v>
      </c>
      <c r="O134" s="167">
        <f>O133/O42</f>
        <v>3.4529043393203036</v>
      </c>
      <c r="P134" s="167">
        <f>P133/P42</f>
        <v>3.4529043393203045</v>
      </c>
      <c r="Q134" s="167">
        <f>Q133/Q42</f>
        <v>3.452904339320304</v>
      </c>
      <c r="R134" s="167">
        <f>R133/R42</f>
        <v>3.452904339320304</v>
      </c>
    </row>
    <row r="135" s="3" customFormat="1" ht="12.75" customHeight="1">
      <c r="C135" t="s" s="3">
        <v>69</v>
      </c>
      <c r="I135" s="41">
        <f>-I121</f>
        <v>-10872.565722639927</v>
      </c>
      <c r="J135" s="41">
        <f>-J121</f>
        <v>-10290.11298543237</v>
      </c>
      <c r="K135" s="41">
        <f>-K121</f>
        <v>-9586.443938056875</v>
      </c>
      <c r="L135" s="41">
        <f>-L121</f>
        <v>-8745.014512275775</v>
      </c>
      <c r="M135" s="41">
        <f>-M121</f>
        <v>-7758.5839125918565</v>
      </c>
      <c r="N135" s="41">
        <f>-N121</f>
        <v>-6676.9554214293585</v>
      </c>
      <c r="O135" s="41">
        <f>-O121</f>
        <v>-5491.474621947</v>
      </c>
      <c r="P135" s="41">
        <f>-P121</f>
        <v>-4204.264387684263</v>
      </c>
      <c r="Q135" s="41">
        <f>-Q121</f>
        <v>-2798.089567259888</v>
      </c>
      <c r="R135" s="41">
        <f>-R121</f>
        <v>-1256.8603582965634</v>
      </c>
    </row>
    <row r="136" s="3" customFormat="1" ht="12.75" customHeight="1">
      <c r="C136" t="s" s="28">
        <v>70</v>
      </c>
      <c r="D136" s="28"/>
      <c r="E136" s="28"/>
      <c r="F136" s="28"/>
      <c r="G136" s="28"/>
      <c r="H136" s="28"/>
      <c r="I136" s="84">
        <f>I133+I135</f>
        <v>5941.054370630067</v>
      </c>
      <c r="J136" s="84">
        <f>J133+J135</f>
        <v>7186.212470116592</v>
      </c>
      <c r="K136" s="84">
        <f>K133+K135</f>
        <v>8676.46386503292</v>
      </c>
      <c r="L136" s="84">
        <f>L133+L135</f>
        <v>10310.917666858764</v>
      </c>
      <c r="M136" s="84">
        <f>M133+M135</f>
        <v>12152.517608202284</v>
      </c>
      <c r="N136" s="84">
        <f>N133+N135</f>
        <v>13731.923637384638</v>
      </c>
      <c r="O136" s="84">
        <f>O133+O135</f>
        <v>15427.626413337344</v>
      </c>
      <c r="P136" s="84">
        <f>P133+P135</f>
        <v>17237.814173482195</v>
      </c>
      <c r="Q136" s="84">
        <f>Q133+Q135</f>
        <v>19180.040957935726</v>
      </c>
      <c r="R136" s="84">
        <f>R133+R135</f>
        <v>21270.723430028946</v>
      </c>
    </row>
    <row r="137" s="12" customFormat="1" ht="12.75" customHeight="1">
      <c r="C137" t="s" s="12">
        <v>117</v>
      </c>
      <c r="I137" s="83">
        <f>-$E$7*MAX(0,I136-I139)</f>
        <v>-71.7774650315033</v>
      </c>
      <c r="J137" s="83">
        <f>-$E$7*MAX(0,J136-J139)</f>
        <v>-134.03537000582955</v>
      </c>
      <c r="K137" s="83">
        <f>-$E$7*MAX(0,K136-K139)</f>
        <v>-208.54793975164594</v>
      </c>
      <c r="L137" s="83">
        <f>-$E$7*MAX(0,L136-L139)</f>
        <v>-290.27062984293815</v>
      </c>
      <c r="M137" s="83">
        <f>-$E$7*MAX(0,M136-M139)</f>
        <v>-382.3506269101142</v>
      </c>
      <c r="N137" s="83">
        <f>-$E$7*MAX(0,N136-N139)</f>
        <v>-461.32092836923186</v>
      </c>
      <c r="O137" s="83">
        <f>-$E$7*MAX(0,O136-O139)</f>
        <v>-546.1060671668672</v>
      </c>
      <c r="P137" s="83">
        <f>-$E$7*MAX(0,P136-P139)</f>
        <v>-636.6154551741097</v>
      </c>
      <c r="Q137" s="83">
        <f>-$E$7*MAX(0,Q136-Q139)</f>
        <v>-733.7267943967863</v>
      </c>
      <c r="R137" s="83">
        <f>-$E$7*MAX(0,R136-R139)</f>
        <v>-838.2609180014472</v>
      </c>
    </row>
    <row r="138" s="12" customFormat="1" ht="12.75" customHeight="1">
      <c r="C138" t="s" s="28">
        <v>118</v>
      </c>
      <c r="D138" s="28"/>
      <c r="E138" s="28"/>
      <c r="F138" s="28"/>
      <c r="G138" s="28"/>
      <c r="H138" s="28"/>
      <c r="I138" s="84">
        <f>I136+I137</f>
        <v>5869.276905598564</v>
      </c>
      <c r="J138" s="84">
        <f>J136+J137</f>
        <v>7052.177100110763</v>
      </c>
      <c r="K138" s="84">
        <f>K136+K137</f>
        <v>8467.915925281273</v>
      </c>
      <c r="L138" s="84">
        <f>L136+L137</f>
        <v>10020.647037015826</v>
      </c>
      <c r="M138" s="84">
        <f>M136+M137</f>
        <v>11770.16698129217</v>
      </c>
      <c r="N138" s="84">
        <f>N136+N137</f>
        <v>13270.602709015406</v>
      </c>
      <c r="O138" s="84">
        <f>O136+O137</f>
        <v>14881.520346170477</v>
      </c>
      <c r="P138" s="84">
        <f>P136+P137</f>
        <v>16601.198718308086</v>
      </c>
      <c r="Q138" s="84">
        <f>Q136+Q137</f>
        <v>18446.31416353894</v>
      </c>
      <c r="R138" s="84">
        <f>R136+R137</f>
        <v>20432.462512027498</v>
      </c>
    </row>
    <row r="139" s="12" customFormat="1" ht="12.75" customHeight="1">
      <c r="C139" t="s" s="12">
        <v>119</v>
      </c>
      <c r="I139" s="83">
        <f>$E$22+$E$23</f>
        <v>4505.505070000001</v>
      </c>
      <c r="J139" s="83">
        <f>$E$22+$E$23</f>
        <v>4505.505070000001</v>
      </c>
      <c r="K139" s="83">
        <f>$E$22+$E$23</f>
        <v>4505.505070000001</v>
      </c>
      <c r="L139" s="83">
        <f>$E$22+$E$23</f>
        <v>4505.505070000001</v>
      </c>
      <c r="M139" s="83">
        <f>$E$22+$E$23</f>
        <v>4505.505070000001</v>
      </c>
      <c r="N139" s="83">
        <f>$E$22+$E$23</f>
        <v>4505.505070000001</v>
      </c>
      <c r="O139" s="83">
        <f>$E$22+$E$23</f>
        <v>4505.505070000001</v>
      </c>
      <c r="P139" s="83">
        <f>$E$22+$E$23</f>
        <v>4505.505070000001</v>
      </c>
      <c r="Q139" s="83">
        <f>$E$22+$E$23</f>
        <v>4505.505070000001</v>
      </c>
      <c r="R139" s="83">
        <f>$E$22+$E$23</f>
        <v>4505.505070000001</v>
      </c>
    </row>
    <row r="140" ht="12.75" customHeight="1">
      <c r="C140" t="s" s="89">
        <v>71</v>
      </c>
      <c r="D140" s="89"/>
      <c r="E140" s="89"/>
      <c r="F140" s="89"/>
      <c r="G140" s="89"/>
      <c r="H140" s="89"/>
      <c r="I140" s="90">
        <f>(I138/I139)^(1/I129)-1</f>
        <v>0.30269011229823395</v>
      </c>
      <c r="J140" s="90">
        <f>(J138/J139)^(1/J129)-1</f>
        <v>0.2510937764266119</v>
      </c>
      <c r="K140" s="90">
        <f>(K138/K139)^(1/K129)-1</f>
        <v>0.23408294826494513</v>
      </c>
      <c r="L140" s="90">
        <f>(L138/L139)^(1/L129)-1</f>
        <v>0.22120358502909432</v>
      </c>
      <c r="M140" s="90">
        <f>(M138/M139)^(1/M129)-1</f>
        <v>0.211735490955125</v>
      </c>
      <c r="N140" s="90">
        <f>(N138/N139)^(1/N129)-1</f>
        <v>0.1972675012892826</v>
      </c>
      <c r="O140" s="90">
        <f>(O138/O139)^(1/O129)-1</f>
        <v>0.18612133332410363</v>
      </c>
      <c r="P140" s="90">
        <f>(P138/P139)^(1/P129)-1</f>
        <v>0.17706242392282578</v>
      </c>
      <c r="Q140" s="90">
        <f>(Q138/Q139)^(1/Q129)-1</f>
        <v>0.1695490959690218</v>
      </c>
      <c r="R140" s="90">
        <f>(R138/R139)^(1/R129)-1</f>
        <v>0.16320891709384555</v>
      </c>
    </row>
    <row r="141" ht="12.75" customHeight="1">
      <c r="C141" t="s" s="91">
        <v>72</v>
      </c>
      <c r="D141" s="91"/>
      <c r="E141" s="91"/>
      <c r="F141" s="91"/>
      <c r="G141" s="91"/>
      <c r="H141" s="91"/>
      <c r="I141" s="92">
        <f>I138/I139</f>
        <v>1.302690112298234</v>
      </c>
      <c r="J141" s="92">
        <f>J138/J139</f>
        <v>1.5652356374134013</v>
      </c>
      <c r="K141" s="92">
        <f>K138/K139</f>
        <v>1.87945985937627</v>
      </c>
      <c r="L141" s="92">
        <f>L138/L139</f>
        <v>2.224089615110748</v>
      </c>
      <c r="M141" s="92">
        <f>M138/M139</f>
        <v>2.6123967897992326</v>
      </c>
      <c r="N141" s="92">
        <f>N138/N139</f>
        <v>2.9454195484936836</v>
      </c>
      <c r="O141" s="92">
        <f>O138/O139</f>
        <v>3.302963844222347</v>
      </c>
      <c r="P141" s="92">
        <f>P138/P139</f>
        <v>3.6846476611129595</v>
      </c>
      <c r="Q141" s="92">
        <f>Q138/Q139</f>
        <v>4.094172324067308</v>
      </c>
      <c r="R141" s="92">
        <f>R138/R139</f>
        <v>4.534999338493141</v>
      </c>
    </row>
    <row r="142" ht="12.75" customHeight="1">
      <c r="C142" t="s" s="6">
        <v>120</v>
      </c>
      <c r="I142" s="38">
        <f>I138*$E$23/I139</f>
        <v>5804.1423999836525</v>
      </c>
      <c r="J142" s="38">
        <f>J138*$E$23/J139</f>
        <v>6973.915318240093</v>
      </c>
      <c r="K142" s="38">
        <f>K138*$E$23/K139</f>
        <v>8373.94293231246</v>
      </c>
      <c r="L142" s="38">
        <f>L138*$E$23/L139</f>
        <v>9909.442556260288</v>
      </c>
      <c r="M142" s="38">
        <f>M138*$E$23/M139</f>
        <v>11639.547141802208</v>
      </c>
      <c r="N142" s="38">
        <f>N138*$E$23/N139</f>
        <v>13123.33173159072</v>
      </c>
      <c r="O142" s="38">
        <f>O138*$E$23/O139</f>
        <v>14716.372153959359</v>
      </c>
      <c r="P142" s="38">
        <f>P138*$E$23/P139</f>
        <v>16416.96633525244</v>
      </c>
      <c r="Q142" s="38">
        <f>Q138*$E$23/Q139</f>
        <v>18241.605547335574</v>
      </c>
      <c r="R142" s="38">
        <f>R138*$E$23/R139</f>
        <v>20205.71254510284</v>
      </c>
    </row>
    <row r="143" ht="12.75" customHeight="1"/>
    <row r="144" ht="12.75" customHeight="1">
      <c r="C144" t="s" s="26">
        <v>121</v>
      </c>
      <c r="D144" s="26"/>
      <c r="E144" s="26"/>
      <c r="F144" s="26"/>
      <c r="G144" s="26"/>
      <c r="H144" s="26"/>
      <c r="I144" s="27"/>
      <c r="J144" s="27"/>
      <c r="K144" s="27"/>
      <c r="L144" s="27"/>
      <c r="M144" s="27"/>
      <c r="N144" s="27"/>
      <c r="O144" s="27"/>
      <c r="P144" s="27"/>
      <c r="Q144" s="27"/>
      <c r="R144" s="27"/>
    </row>
    <row r="145" ht="12.75" customHeight="1"/>
    <row r="146" ht="12.75" customHeight="1">
      <c r="D146" t="s" s="183">
        <v>296</v>
      </c>
      <c r="E146" s="184"/>
      <c r="F146" s="184"/>
      <c r="G146" s="184"/>
      <c r="H146" s="184"/>
      <c r="I146" s="184"/>
      <c r="J146" s="184"/>
      <c r="L146" t="s" s="183">
        <v>298</v>
      </c>
      <c r="M146" s="184"/>
      <c r="N146" s="184"/>
      <c r="O146" s="184"/>
      <c r="P146" s="184"/>
      <c r="Q146" s="184"/>
      <c r="R146" s="184"/>
    </row>
    <row r="147" ht="12.75" customHeight="1">
      <c r="F147" t="s" s="5">
        <v>260</v>
      </c>
      <c r="N147" t="s" s="5">
        <v>260</v>
      </c>
    </row>
    <row r="148" ht="12.75" customHeight="1">
      <c r="E148" s="95">
        <f>M140</f>
        <v>0.211735490955125</v>
      </c>
      <c r="F148" s="185">
        <v>9</v>
      </c>
      <c r="G148" s="185">
        <v>9.5</v>
      </c>
      <c r="H148" s="185">
        <v>10</v>
      </c>
      <c r="I148" s="185">
        <v>10.5</v>
      </c>
      <c r="J148" s="185">
        <v>11</v>
      </c>
      <c r="M148" s="189">
        <f>M141</f>
        <v>2.6123967897992326</v>
      </c>
      <c r="N148" s="185">
        <v>9</v>
      </c>
      <c r="O148" s="185">
        <v>9.5</v>
      </c>
      <c r="P148" s="185">
        <v>10</v>
      </c>
      <c r="Q148" s="185">
        <v>10.5</v>
      </c>
      <c r="R148" s="185">
        <v>11</v>
      </c>
    </row>
    <row r="149" ht="12.75" customHeight="1">
      <c r="D149" t="s" s="5">
        <v>297</v>
      </c>
      <c r="E149" s="186">
        <v>5</v>
      </c>
      <c r="F149" s="187">
        <f t="dataTable" ref="F149:J153" dt2D="1" dtr="1" r1="E5" r2="E6"/>
        <v>0.18029641045713185</v>
      </c>
      <c r="G149" s="187">
        <v>0.1582168553624015</v>
      </c>
      <c r="H149" s="187">
        <v>0.13848765810496078</v>
      </c>
      <c r="I149" s="187">
        <v>0.12069239600432313</v>
      </c>
      <c r="J149" s="187">
        <v>0.1045139028078923</v>
      </c>
      <c r="L149" t="s" s="5">
        <v>297</v>
      </c>
      <c r="M149" s="186">
        <v>5</v>
      </c>
      <c r="N149" s="190">
        <f t="dataTable" ref="N149:R153" dt2D="1" dtr="1" r1="E5" r2="E6"/>
        <v>2.290632570727352</v>
      </c>
      <c r="O149" s="190">
        <v>2.084248052364272</v>
      </c>
      <c r="P149" s="190">
        <v>1.9126769969801478</v>
      </c>
      <c r="Q149" s="190">
        <v>1.767795915349737</v>
      </c>
      <c r="R149" s="190">
        <v>1.6438263361441288</v>
      </c>
    </row>
    <row r="150" ht="12.75" customHeight="1">
      <c r="E150" s="186">
        <v>5.5</v>
      </c>
      <c r="F150" s="187">
        <v>0.22079111868355872</v>
      </c>
      <c r="G150" s="187">
        <v>0.19787185554935038</v>
      </c>
      <c r="H150" s="187">
        <v>0.17738672250432508</v>
      </c>
      <c r="I150" s="187">
        <v>0.1589045804674487</v>
      </c>
      <c r="J150" s="187">
        <v>0.1420970451685819</v>
      </c>
      <c r="M150" s="186">
        <v>5.5</v>
      </c>
      <c r="N150" s="190">
        <v>2.711482498201317</v>
      </c>
      <c r="O150" s="190">
        <v>2.4663335207655672</v>
      </c>
      <c r="P150" s="190">
        <v>2.26253689338969</v>
      </c>
      <c r="Q150" s="190">
        <v>2.09044332119162</v>
      </c>
      <c r="R150" s="190">
        <v>1.9431889834319924</v>
      </c>
    </row>
    <row r="151" ht="12.75" customHeight="1">
      <c r="E151" s="186">
        <v>6</v>
      </c>
      <c r="F151" s="187">
        <v>0.25653204642455973</v>
      </c>
      <c r="G151" s="187">
        <v>0.2328799064211835</v>
      </c>
      <c r="H151" s="188">
        <v>0.211735490955125</v>
      </c>
      <c r="I151" s="187">
        <v>0.1926547169488222</v>
      </c>
      <c r="J151" s="187">
        <v>0.1752993342244229</v>
      </c>
      <c r="M151" s="186">
        <v>6</v>
      </c>
      <c r="N151" s="190">
        <v>3.132332425675282</v>
      </c>
      <c r="O151" s="190">
        <v>2.8484189891668628</v>
      </c>
      <c r="P151" s="191">
        <v>2.6123967897992326</v>
      </c>
      <c r="Q151" s="190">
        <v>2.4130907270335036</v>
      </c>
      <c r="R151" s="190">
        <v>2.2425516307198565</v>
      </c>
    </row>
    <row r="152" ht="12.75" customHeight="1">
      <c r="E152" s="186">
        <v>6.5</v>
      </c>
      <c r="F152" s="187">
        <v>0.28861594029243576</v>
      </c>
      <c r="G152" s="187">
        <v>0.26431144378106697</v>
      </c>
      <c r="H152" s="187">
        <v>0.242580510869856</v>
      </c>
      <c r="I152" s="187">
        <v>0.2229674686292744</v>
      </c>
      <c r="J152" s="187">
        <v>0.20512523377588776</v>
      </c>
      <c r="M152" s="186">
        <v>6.5</v>
      </c>
      <c r="N152" s="190">
        <v>3.5531823531492477</v>
      </c>
      <c r="O152" s="190">
        <v>3.2305044575681587</v>
      </c>
      <c r="P152" s="190">
        <v>2.9622566862087756</v>
      </c>
      <c r="Q152" s="190">
        <v>2.735738132875387</v>
      </c>
      <c r="R152" s="190">
        <v>2.5419142780077206</v>
      </c>
    </row>
    <row r="153" ht="12.75" customHeight="1">
      <c r="E153" s="186">
        <v>7</v>
      </c>
      <c r="F153" s="187">
        <v>0.31779021393855333</v>
      </c>
      <c r="G153" s="187">
        <v>0.2928964211902114</v>
      </c>
      <c r="H153" s="187">
        <v>0.2706359042880413</v>
      </c>
      <c r="I153" s="187">
        <v>0.2505424722854508</v>
      </c>
      <c r="J153" s="187">
        <v>0.23226102614588684</v>
      </c>
      <c r="M153" s="186">
        <v>7</v>
      </c>
      <c r="N153" s="190">
        <v>3.974032280623212</v>
      </c>
      <c r="O153" s="190">
        <v>3.6125899259694534</v>
      </c>
      <c r="P153" s="190">
        <v>3.3121165826183177</v>
      </c>
      <c r="Q153" s="190">
        <v>3.0583855387172703</v>
      </c>
      <c r="R153" s="190">
        <v>2.8412769252955843</v>
      </c>
    </row>
    <row r="154" ht="12.75" customHeight="1"/>
    <row r="155" ht="12.75" customHeight="1">
      <c r="D155" t="s" s="183">
        <v>299</v>
      </c>
      <c r="E155" s="184"/>
      <c r="F155" s="184"/>
      <c r="G155" s="184"/>
      <c r="H155" s="184"/>
      <c r="I155" s="184"/>
      <c r="J155" s="184"/>
      <c r="L155" t="s" s="183">
        <v>301</v>
      </c>
      <c r="M155" s="184"/>
      <c r="N155" s="184"/>
      <c r="O155" s="184"/>
      <c r="P155" s="184"/>
      <c r="Q155" s="184"/>
      <c r="R155" s="184"/>
    </row>
    <row r="156" ht="12.75" customHeight="1">
      <c r="F156" t="s" s="5">
        <v>260</v>
      </c>
      <c r="N156" t="s" s="5">
        <v>260</v>
      </c>
    </row>
    <row r="157" ht="12.75" customHeight="1">
      <c r="E157" s="95">
        <f>M140</f>
        <v>0.211735490955125</v>
      </c>
      <c r="F157" s="185">
        <v>9</v>
      </c>
      <c r="G157" s="185">
        <v>9.5</v>
      </c>
      <c r="H157" s="185">
        <v>10</v>
      </c>
      <c r="I157" s="185">
        <v>10.5</v>
      </c>
      <c r="J157" s="185">
        <v>11</v>
      </c>
      <c r="M157" s="189">
        <f>M141</f>
        <v>2.6123967897992326</v>
      </c>
      <c r="N157" s="185">
        <v>9</v>
      </c>
      <c r="O157" s="185">
        <v>9.5</v>
      </c>
      <c r="P157" s="185">
        <v>10</v>
      </c>
      <c r="Q157" s="185">
        <v>10.5</v>
      </c>
      <c r="R157" s="185">
        <v>11</v>
      </c>
    </row>
    <row r="158" ht="12.75" customHeight="1">
      <c r="D158" t="s" s="5">
        <v>300</v>
      </c>
      <c r="E158" s="192">
        <v>3.25</v>
      </c>
      <c r="F158" s="187">
        <f t="dataTable" ref="F158:J162" dt2D="1" dtr="1" r1="E5" r2="I7"/>
        <v>0.19281675045586733</v>
      </c>
      <c r="G158" s="187">
        <v>0.17938810107039216</v>
      </c>
      <c r="H158" s="187">
        <v>0.16684829727696182</v>
      </c>
      <c r="I158" s="187">
        <v>0.15509629452329188</v>
      </c>
      <c r="J158" s="187">
        <v>0.1440469231365873</v>
      </c>
      <c r="L158" t="s" s="5">
        <v>300</v>
      </c>
      <c r="M158" s="192">
        <v>3.25</v>
      </c>
      <c r="N158" s="190">
        <f t="dataTable" ref="N158:R162" dt2D="1" dtr="1" r1="E5" r2="I7"/>
        <v>2.414730379335085</v>
      </c>
      <c r="O158" s="190">
        <v>2.2818322252756227</v>
      </c>
      <c r="P158" s="190">
        <v>2.1630770225127716</v>
      </c>
      <c r="Q158" s="190">
        <v>2.0563212017044257</v>
      </c>
      <c r="R158" s="190">
        <v>1.9598335461867713</v>
      </c>
    </row>
    <row r="159" ht="12.75" customHeight="1">
      <c r="E159" s="192">
        <v>3.75</v>
      </c>
      <c r="F159" s="187">
        <v>0.21795538947897342</v>
      </c>
      <c r="G159" s="187">
        <v>0.20079108182313155</v>
      </c>
      <c r="H159" s="187">
        <v>0.18502541320885113</v>
      </c>
      <c r="I159" s="187">
        <v>0.1704647275414144</v>
      </c>
      <c r="J159" s="187">
        <v>0.15695203969330174</v>
      </c>
      <c r="M159" s="192">
        <v>3.75</v>
      </c>
      <c r="N159" s="190">
        <v>2.6801364646370573</v>
      </c>
      <c r="O159" s="190">
        <v>2.4965327574781377</v>
      </c>
      <c r="P159" s="190">
        <v>2.336890268643781</v>
      </c>
      <c r="Q159" s="190">
        <v>2.1968057310847944</v>
      </c>
      <c r="R159" s="190">
        <v>2.072892500795221</v>
      </c>
    </row>
    <row r="160" ht="12.75" customHeight="1">
      <c r="E160" s="192">
        <v>4.25</v>
      </c>
      <c r="F160" s="187">
        <v>0.25653204642455973</v>
      </c>
      <c r="G160" s="187">
        <v>0.2328799064211835</v>
      </c>
      <c r="H160" s="188">
        <v>0.211735490955125</v>
      </c>
      <c r="I160" s="187">
        <v>0.1926547169488222</v>
      </c>
      <c r="J160" s="187">
        <v>0.1752993342244229</v>
      </c>
      <c r="M160" s="192">
        <v>4.25</v>
      </c>
      <c r="N160" s="190">
        <v>3.132332425675282</v>
      </c>
      <c r="O160" s="190">
        <v>2.8484189891668628</v>
      </c>
      <c r="P160" s="191">
        <v>2.6123967897992326</v>
      </c>
      <c r="Q160" s="190">
        <v>2.4130907270335036</v>
      </c>
      <c r="R160" s="190">
        <v>2.2425516307198565</v>
      </c>
    </row>
    <row r="161" ht="12.75" customHeight="1">
      <c r="E161" s="192">
        <v>4.75</v>
      </c>
      <c r="F161" s="187">
        <v>0.3244567918975565</v>
      </c>
      <c r="G161" s="187">
        <v>0.2869813545413744</v>
      </c>
      <c r="H161" s="187">
        <v>0.25519857028545245</v>
      </c>
      <c r="I161" s="187">
        <v>0.2277095685957924</v>
      </c>
      <c r="J161" s="187">
        <v>0.20356531870022798</v>
      </c>
      <c r="M161" s="192">
        <v>4.75</v>
      </c>
      <c r="N161" s="190">
        <v>4.075575790506051</v>
      </c>
      <c r="O161" s="190">
        <v>3.530703718875678</v>
      </c>
      <c r="P161" s="190">
        <v>3.1157469568158627</v>
      </c>
      <c r="Q161" s="190">
        <v>2.789190667652401</v>
      </c>
      <c r="R161" s="190">
        <v>2.5255055325454654</v>
      </c>
    </row>
    <row r="162" ht="12.75" customHeight="1">
      <c r="E162" s="192">
        <v>5.25</v>
      </c>
      <c r="F162" s="187">
        <v>0.48657419170751437</v>
      </c>
      <c r="G162" s="187">
        <v>0.40219301001862795</v>
      </c>
      <c r="H162" s="187">
        <v>0.34052370786624997</v>
      </c>
      <c r="I162" s="187">
        <v>0.29242624622159563</v>
      </c>
      <c r="J162" s="187">
        <v>0.2532892751780462</v>
      </c>
      <c r="M162" s="192">
        <v>5.25</v>
      </c>
      <c r="N162" s="190">
        <v>7.259938536175257</v>
      </c>
      <c r="O162" s="190">
        <v>5.420495510315907</v>
      </c>
      <c r="P162" s="190">
        <v>4.328849584664555</v>
      </c>
      <c r="Q162" s="190">
        <v>3.6060259259968483</v>
      </c>
      <c r="R162" s="190">
        <v>3.092121969241407</v>
      </c>
    </row>
    <row r="163" ht="12.75" customHeight="1"/>
    <row r="164" ht="12.75" customHeight="1">
      <c r="D164" t="s" s="183">
        <v>302</v>
      </c>
      <c r="E164" s="184"/>
      <c r="F164" s="184"/>
      <c r="G164" s="184"/>
      <c r="H164" s="184"/>
      <c r="I164" s="184"/>
      <c r="J164" s="184"/>
      <c r="L164" t="s" s="183">
        <v>304</v>
      </c>
      <c r="M164" s="184"/>
      <c r="N164" s="184"/>
      <c r="O164" s="184"/>
      <c r="P164" s="184"/>
      <c r="Q164" s="184"/>
      <c r="R164" s="184"/>
    </row>
    <row r="165" ht="12.75" customHeight="1">
      <c r="F165" t="s" s="5">
        <v>297</v>
      </c>
      <c r="N165" t="s" s="5">
        <v>297</v>
      </c>
    </row>
    <row r="166" ht="12.75" customHeight="1">
      <c r="E166" s="95">
        <f>M140</f>
        <v>0.211735490955125</v>
      </c>
      <c r="F166" s="193">
        <v>5</v>
      </c>
      <c r="G166" s="193">
        <v>5.5</v>
      </c>
      <c r="H166" s="193">
        <v>6</v>
      </c>
      <c r="I166" s="193">
        <v>6.5</v>
      </c>
      <c r="J166" s="193">
        <v>7</v>
      </c>
      <c r="M166" s="189">
        <f>M141</f>
        <v>2.6123967897992326</v>
      </c>
      <c r="N166" s="193">
        <v>5</v>
      </c>
      <c r="O166" s="193">
        <v>5.5</v>
      </c>
      <c r="P166" s="193">
        <v>6</v>
      </c>
      <c r="Q166" s="193">
        <v>6.5</v>
      </c>
      <c r="R166" s="193">
        <v>7</v>
      </c>
    </row>
    <row r="167" ht="12.75" customHeight="1">
      <c r="D167" t="s" s="5">
        <v>303</v>
      </c>
      <c r="E167" s="194">
        <v>-0.02</v>
      </c>
      <c r="F167" s="187">
        <f t="dataTable" ref="F167:J171" dt2D="1" dtr="1" r1="E6" r2="M8"/>
        <v>0.1944745546783364</v>
      </c>
      <c r="G167" s="187">
        <v>0.2304811061583103</v>
      </c>
      <c r="H167" s="187">
        <v>0.2627082655772346</v>
      </c>
      <c r="I167" s="187">
        <v>0.29194614099186067</v>
      </c>
      <c r="J167" s="187">
        <v>0.318754386570153</v>
      </c>
      <c r="L167" t="s" s="5">
        <v>303</v>
      </c>
      <c r="M167" s="194">
        <v>-0.02</v>
      </c>
      <c r="N167" s="190">
        <f t="dataTable" ref="N167:R171" dt2D="1" dtr="1" r1="E6" r2="M8"/>
        <v>2.4315573271214332</v>
      </c>
      <c r="O167" s="190">
        <v>2.8208159318331782</v>
      </c>
      <c r="P167" s="190">
        <v>3.210074536544924</v>
      </c>
      <c r="Q167" s="190">
        <v>3.5993331412566696</v>
      </c>
      <c r="R167" s="190">
        <v>3.9885917459684146</v>
      </c>
    </row>
    <row r="168" ht="12.75" customHeight="1">
      <c r="E168" s="194">
        <v>-0.01</v>
      </c>
      <c r="F168" s="187">
        <v>0.16724381179269732</v>
      </c>
      <c r="G168" s="187">
        <v>0.20455169347092683</v>
      </c>
      <c r="H168" s="187">
        <v>0.23773919111524844</v>
      </c>
      <c r="I168" s="187">
        <v>0.26770731995362906</v>
      </c>
      <c r="J168" s="187">
        <v>0.29508348980427446</v>
      </c>
      <c r="M168" s="194">
        <v>-0.01</v>
      </c>
      <c r="N168" s="190">
        <v>2.1667454879804033</v>
      </c>
      <c r="O168" s="190">
        <v>2.5358713239713038</v>
      </c>
      <c r="P168" s="190">
        <v>2.9049971599622038</v>
      </c>
      <c r="Q168" s="190">
        <v>3.274122995953105</v>
      </c>
      <c r="R168" s="190">
        <v>3.6432488319440046</v>
      </c>
    </row>
    <row r="169" ht="12.75" customHeight="1">
      <c r="E169" s="194">
        <v>0</v>
      </c>
      <c r="F169" s="187">
        <v>0.13848765810496078</v>
      </c>
      <c r="G169" s="187">
        <v>0.17738672250432508</v>
      </c>
      <c r="H169" s="188">
        <v>0.211735490955125</v>
      </c>
      <c r="I169" s="187">
        <v>0.242580510869856</v>
      </c>
      <c r="J169" s="187">
        <v>0.2706359042880413</v>
      </c>
      <c r="M169" s="194">
        <v>0</v>
      </c>
      <c r="N169" s="190">
        <v>1.9126769969801478</v>
      </c>
      <c r="O169" s="190">
        <v>2.26253689338969</v>
      </c>
      <c r="P169" s="191">
        <v>2.6123967897992326</v>
      </c>
      <c r="Q169" s="190">
        <v>2.9622566862087756</v>
      </c>
      <c r="R169" s="190">
        <v>3.3121165826183177</v>
      </c>
    </row>
    <row r="170" ht="12.75" customHeight="1">
      <c r="E170" s="194">
        <v>0.01</v>
      </c>
      <c r="F170" s="187">
        <v>0.10787575300740215</v>
      </c>
      <c r="G170" s="187">
        <v>0.148747400466118</v>
      </c>
      <c r="H170" s="187">
        <v>0.18451460903634098</v>
      </c>
      <c r="I170" s="187">
        <v>0.21642030613761287</v>
      </c>
      <c r="J170" s="187">
        <v>0.24529214198789462</v>
      </c>
      <c r="M170" s="194">
        <v>0.01</v>
      </c>
      <c r="N170" s="190">
        <v>1.6689959679220339</v>
      </c>
      <c r="O170" s="190">
        <v>2.000427002068856</v>
      </c>
      <c r="P170" s="190">
        <v>2.3318580362156784</v>
      </c>
      <c r="Q170" s="190">
        <v>2.6632890703625</v>
      </c>
      <c r="R170" s="190">
        <v>2.9947201045093226</v>
      </c>
    </row>
    <row r="171" ht="12.75" customHeight="1">
      <c r="E171" s="194">
        <v>0.02</v>
      </c>
      <c r="F171" s="187">
        <v>0.07495897931922535</v>
      </c>
      <c r="G171" s="187">
        <v>0.11832025340982466</v>
      </c>
      <c r="H171" s="187">
        <v>0.15584296266994868</v>
      </c>
      <c r="I171" s="187">
        <v>0.189044268533493</v>
      </c>
      <c r="J171" s="187">
        <v>0.21890459315182254</v>
      </c>
      <c r="M171" s="194">
        <v>0.02</v>
      </c>
      <c r="N171" s="190">
        <v>1.4353554378086506</v>
      </c>
      <c r="O171" s="190">
        <v>1.749165695621191</v>
      </c>
      <c r="P171" s="190">
        <v>2.0629759534337313</v>
      </c>
      <c r="Q171" s="190">
        <v>2.376786211246271</v>
      </c>
      <c r="R171" s="190">
        <v>2.6905964690588116</v>
      </c>
    </row>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sheetData>
  <pageMargins left="0.7" right="0.7" top="0.75" bottom="0.75" header="0.3" footer="0.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dimension ref="A2:AN92"/>
  <sheetViews>
    <sheetView showGridLines="0" zoomScale="75" workbookViewId="0">
      <selection activeCell="A1" sqref="A1"/>
    </sheetView>
  </sheetViews>
  <sheetFormatPr defaultColWidth="8.73046875" defaultRowHeight="12.75"/>
  <cols>
    <col min="1" max="2" width="2.19921875" customWidth="1" style="3"/>
    <col min="3" max="3" width="28.53125" customWidth="1" style="3"/>
    <col min="4" max="4" width="1.796875" customWidth="1" style="3"/>
    <col min="5" max="7" width="10.33203125" customWidth="1" style="3"/>
    <col min="8" max="8" width="9.796875" customWidth="1" style="3"/>
    <col min="9" max="9" width="30.33203125" customWidth="1" style="3"/>
    <col min="10" max="20" width="9.796875" customWidth="1" style="3"/>
    <col min="21" max="21" width="2.796875" customWidth="1" style="3"/>
    <col min="22" max="33" width="9.06640625" customWidth="1" style="3"/>
    <col min="34" max="34" width="9.06640625" customWidth="1" bestFit="1" style="3"/>
    <col min="35" max="36" width="9.06640625" customWidth="1" style="3"/>
    <col min="37" max="37" width="1.33203125" customWidth="1" style="3"/>
    <col min="38" max="136" width="8.73046875" customWidth="0" style="3"/>
  </cols>
  <sheetData>
    <row r="1" ht="12.75" customHeight="1"/>
    <row r="2" ht="12.75" customHeight="1">
      <c r="C2" t="s" s="104">
        <v>305</v>
      </c>
    </row>
    <row r="3" ht="12.75" customHeight="1">
      <c r="C3" t="s" s="10">
        <v>306</v>
      </c>
    </row>
    <row r="4" ht="12.75" customHeight="1">
      <c r="C4" t="str" s="124">
        <f>"Base 5-yr IRR "&amp;TEXT(Model!M140,"0.0%")&amp;" vs. "&amp;TEXT(Model!M5,"0%")&amp;" hurdle; walk-away "&amp;TEXT(F88,"$0.00")&amp;"/sh"</f>
        <v>Base 5-yr IRR 21.2% vs. 20% hurdle; walk-away $10.34/sh</v>
      </c>
    </row>
    <row r="5" ht="12.75" customHeight="1">
      <c r="C5" t="s" s="26">
        <v>26</v>
      </c>
      <c r="D5" s="26"/>
      <c r="E5" t="s" s="96">
        <v>265</v>
      </c>
      <c r="F5" t="s" s="96">
        <v>17</v>
      </c>
      <c r="G5" t="s" s="96">
        <v>132</v>
      </c>
      <c r="I5" t="s" s="26">
        <v>134</v>
      </c>
      <c r="J5" s="26"/>
      <c r="K5" t="s" s="96">
        <v>123</v>
      </c>
      <c r="L5" t="s" s="96">
        <v>124</v>
      </c>
      <c r="M5" t="s" s="96">
        <v>125</v>
      </c>
      <c r="N5" t="s" s="96">
        <v>284</v>
      </c>
    </row>
    <row r="6" ht="12.75" customHeight="1">
      <c r="C6" t="s" s="3">
        <v>107</v>
      </c>
      <c r="E6" s="111">
        <f>Model!G13</f>
        <v>3.25</v>
      </c>
      <c r="F6" s="110">
        <f>Model!E20</f>
        <v>8741.986499999999</v>
      </c>
      <c r="G6" s="250">
        <f>F6/$F$10</f>
        <v>0.5485225280379193</v>
      </c>
      <c r="I6" t="s" s="3">
        <v>135</v>
      </c>
      <c r="K6" s="99">
        <f>Model!Y13</f>
        <v>15429.697</v>
      </c>
      <c r="L6" s="140">
        <f>$K6</f>
        <v>15429.697</v>
      </c>
      <c r="M6" s="140">
        <f>$K6</f>
        <v>15429.697</v>
      </c>
      <c r="N6" s="140">
        <f>$K6</f>
        <v>15429.697</v>
      </c>
    </row>
    <row r="7" ht="12.75" customHeight="1">
      <c r="C7" t="s" s="3">
        <v>108</v>
      </c>
      <c r="E7" s="111">
        <f>Model!G14</f>
        <v>1</v>
      </c>
      <c r="F7" s="110">
        <f>Model!E21</f>
        <v>2689.8419999999996</v>
      </c>
      <c r="G7" s="250">
        <f>F7/$F$10</f>
        <v>0.16877616247320595</v>
      </c>
      <c r="I7" t="s" s="3">
        <v>260</v>
      </c>
      <c r="K7" s="195">
        <f>Model!E5</f>
        <v>10</v>
      </c>
      <c r="L7" s="251">
        <f>$K7</f>
        <v>10</v>
      </c>
      <c r="M7" s="251">
        <f>$K7</f>
        <v>10</v>
      </c>
      <c r="N7" s="251">
        <f>$K7</f>
        <v>10</v>
      </c>
    </row>
    <row r="8" ht="12.75" customHeight="1">
      <c r="C8" t="s" s="3">
        <v>103</v>
      </c>
      <c r="E8" s="111">
        <f>F8/Model!$Y$4</f>
        <v>0.018588452407241766</v>
      </c>
      <c r="F8" s="110">
        <f>Model!E22</f>
        <v>50</v>
      </c>
      <c r="G8" s="250">
        <f>F8/$F$10</f>
        <v>0.0031372876636100925</v>
      </c>
      <c r="I8" t="s" s="3">
        <v>277</v>
      </c>
      <c r="K8" s="171">
        <f>Model!Y15</f>
        <v>5.736283766853221</v>
      </c>
      <c r="L8" s="179">
        <f>$K8</f>
        <v>5.736283766853221</v>
      </c>
      <c r="M8" s="179">
        <f>$K8</f>
        <v>5.736283766853221</v>
      </c>
      <c r="N8" s="179">
        <f>$K8</f>
        <v>5.736283766853221</v>
      </c>
    </row>
    <row r="9" ht="12.75" customHeight="1">
      <c r="C9" t="s" s="3">
        <v>279</v>
      </c>
      <c r="E9" s="111">
        <f>F9/Model!$Y$4</f>
        <v>1.6564188788783882</v>
      </c>
      <c r="F9" s="110">
        <f>Model!E23</f>
        <v>4455.505070000001</v>
      </c>
      <c r="G9" s="250">
        <f>F9/$F$10</f>
        <v>0.2795640218252645</v>
      </c>
      <c r="I9" t="s" s="3">
        <v>270</v>
      </c>
      <c r="K9" s="100">
        <f>Model!Y7</f>
        <v>0.4556040756914119</v>
      </c>
      <c r="L9" s="118">
        <f>$K9</f>
        <v>0.4556040756914119</v>
      </c>
      <c r="M9" s="118">
        <f>$K9</f>
        <v>0.4556040756914119</v>
      </c>
      <c r="N9" s="118">
        <f>$K9</f>
        <v>0.4556040756914119</v>
      </c>
    </row>
    <row r="10" ht="12.75" customHeight="1">
      <c r="C10" t="s" s="85">
        <v>30</v>
      </c>
      <c r="D10" s="85"/>
      <c r="E10" s="252">
        <f>F10/Model!$Y$4</f>
        <v>5.925007331285631</v>
      </c>
      <c r="F10" s="134">
        <f>SUM(F6:F9)</f>
        <v>15937.33357</v>
      </c>
      <c r="G10" s="253">
        <f>SUM(G6:G9)</f>
        <v>0.9999999999999999</v>
      </c>
      <c r="I10" t="s" s="3">
        <v>307</v>
      </c>
      <c r="K10" s="172">
        <f>Model!G16</f>
        <v>4.25</v>
      </c>
      <c r="L10" s="180">
        <f>$K10</f>
        <v>4.25</v>
      </c>
      <c r="M10" s="180">
        <f>$K10</f>
        <v>4.25</v>
      </c>
      <c r="N10" s="180">
        <f>$K10</f>
        <v>4.25</v>
      </c>
    </row>
    <row r="11" ht="12.75" customHeight="1">
      <c r="E11" s="105"/>
      <c r="F11" s="40"/>
      <c r="G11" s="108"/>
      <c r="I11" t="s" s="3">
        <v>119</v>
      </c>
      <c r="K11" s="99">
        <f>Model!I139</f>
        <v>4505.505070000001</v>
      </c>
      <c r="L11" s="140">
        <f>$K11</f>
        <v>4505.505070000001</v>
      </c>
      <c r="M11" s="140">
        <f>$K11</f>
        <v>4505.505070000001</v>
      </c>
      <c r="N11" s="140">
        <f>$K11</f>
        <v>4505.505070000001</v>
      </c>
    </row>
    <row r="12" ht="12.75" customHeight="1">
      <c r="C12" t="s" s="26">
        <v>27</v>
      </c>
      <c r="D12" s="26"/>
      <c r="E12" t="s" s="106">
        <v>265</v>
      </c>
      <c r="F12" t="s" s="107">
        <v>17</v>
      </c>
      <c r="G12" t="s" s="109">
        <v>132</v>
      </c>
      <c r="I12" t="s" s="3">
        <v>136</v>
      </c>
      <c r="K12" s="99">
        <f>Model!M53</f>
        <v>3318.516920132357</v>
      </c>
      <c r="L12" s="99">
        <f>'Driver Assumptions'!E49</f>
        <v>2511.942150782561</v>
      </c>
      <c r="M12" s="99">
        <f>'Driver Assumptions'!F49</f>
        <v>3318.516920132357</v>
      </c>
      <c r="N12" s="99">
        <f>'Driver Assumptions'!G49</f>
        <v>3719.4089746247964</v>
      </c>
    </row>
    <row r="13" ht="12.75" customHeight="1">
      <c r="C13" t="s" s="3">
        <v>28</v>
      </c>
      <c r="E13" s="111">
        <f>F13/Model!$Y$4</f>
        <v>2.8254447659007487</v>
      </c>
      <c r="F13" s="110">
        <f>Model!I19</f>
        <v>7600</v>
      </c>
      <c r="G13" s="250">
        <f>F13/$F$18</f>
        <v>0.4768677248687341</v>
      </c>
      <c r="I13" t="s" s="3">
        <v>137</v>
      </c>
      <c r="K13" s="99">
        <f>Model!M133</f>
        <v>19911.101520794142</v>
      </c>
      <c r="L13" s="99">
        <f>'Driver Assumptions'!E54</f>
        <v>15071.652904695366</v>
      </c>
      <c r="M13" s="99">
        <f>'Driver Assumptions'!F54</f>
        <v>19911.101520794142</v>
      </c>
      <c r="N13" s="99">
        <f>'Driver Assumptions'!G54</f>
        <v>22316.45384774878</v>
      </c>
    </row>
    <row r="14" ht="12.75" customHeight="1">
      <c r="C14" t="s" s="3">
        <v>280</v>
      </c>
      <c r="E14" s="111">
        <f>F14/Model!$Y$4</f>
        <v>2.9108390009524725</v>
      </c>
      <c r="F14" s="110">
        <f>Model!I20</f>
        <v>7829.696999999999</v>
      </c>
      <c r="G14" s="250">
        <f>F14/$F$18</f>
        <v>0.491280236158099</v>
      </c>
      <c r="I14" t="s" s="3">
        <v>308</v>
      </c>
      <c r="K14" s="99">
        <f>Model!M138</f>
        <v>11770.16698129217</v>
      </c>
      <c r="L14" s="99">
        <f>'Driver Assumptions'!E55</f>
        <v>5283.487541235487</v>
      </c>
      <c r="M14" s="99">
        <f>'Driver Assumptions'!F55</f>
        <v>11770.16698129217</v>
      </c>
      <c r="N14" s="99">
        <f>'Driver Assumptions'!G55</f>
        <v>15217.789629278317</v>
      </c>
    </row>
    <row r="15" ht="12.75" customHeight="1">
      <c r="C15" t="s" s="3">
        <v>11</v>
      </c>
      <c r="E15" s="111">
        <f>F15/Model!$Y$4</f>
        <v>0.03717690481448353</v>
      </c>
      <c r="F15" s="110">
        <f>Model!I21</f>
        <v>100</v>
      </c>
      <c r="G15" s="250">
        <f>F15/$F$18</f>
        <v>0.006274575327220185</v>
      </c>
      <c r="I15" t="s" s="85">
        <v>73</v>
      </c>
      <c r="J15" s="85"/>
      <c r="K15" s="113">
        <f>Model!M140</f>
        <v>0.211735490955125</v>
      </c>
      <c r="L15" s="113">
        <f>'Driver Assumptions'!E56</f>
        <v>0.03237015509973906</v>
      </c>
      <c r="M15" s="113">
        <f>'Driver Assumptions'!F56</f>
        <v>0.211735490955125</v>
      </c>
      <c r="N15" s="113">
        <f>'Driver Assumptions'!G56</f>
        <v>0.2756208779409446</v>
      </c>
    </row>
    <row r="16" ht="12.75" customHeight="1">
      <c r="C16" t="s" s="3">
        <v>10</v>
      </c>
      <c r="E16" s="111">
        <f>F16/Model!$Y$4</f>
        <v>0.06505958342534618</v>
      </c>
      <c r="F16" s="110">
        <f>Model!I22</f>
        <v>175</v>
      </c>
      <c r="G16" s="250">
        <f>F16/$F$18</f>
        <v>0.010980506822635324</v>
      </c>
      <c r="I16" t="s" s="259">
        <v>74</v>
      </c>
      <c r="J16" s="259"/>
      <c r="K16" s="260">
        <f>Model!M141</f>
        <v>2.6123967897992326</v>
      </c>
      <c r="L16" s="260">
        <f>'Driver Assumptions'!E57</f>
        <v>1.172673753363568</v>
      </c>
      <c r="M16" s="260">
        <f>'Driver Assumptions'!F57</f>
        <v>2.6123967897992326</v>
      </c>
      <c r="N16" s="260">
        <f>'Driver Assumptions'!G57</f>
        <v>3.3775990466876364</v>
      </c>
    </row>
    <row r="17" ht="12.75" customHeight="1">
      <c r="C17" t="s" s="3">
        <v>29</v>
      </c>
      <c r="E17" s="111">
        <f>F17/Model!$Y$4</f>
        <v>0.08648707619257934</v>
      </c>
      <c r="F17" s="110">
        <f>Model!I23</f>
        <v>232.63656999999998</v>
      </c>
      <c r="G17" s="250">
        <f>F17/$F$18</f>
        <v>0.014596956823311314</v>
      </c>
      <c r="I17" t="s" s="259">
        <v>294</v>
      </c>
      <c r="J17" s="259"/>
      <c r="K17" s="261">
        <f>Model!R140</f>
        <v>0.16320891709384555</v>
      </c>
      <c r="L17" s="261">
        <f>'Driver Assumptions'!E59</f>
        <v>0.022288864399205632</v>
      </c>
      <c r="M17" s="261">
        <f>'Driver Assumptions'!F59</f>
        <v>0.16320891707981322</v>
      </c>
      <c r="N17" s="261">
        <f>'Driver Assumptions'!G59</f>
        <v>0.20222988548418086</v>
      </c>
    </row>
    <row r="18" ht="12.75" customHeight="1">
      <c r="C18" t="s" s="85">
        <v>31</v>
      </c>
      <c r="D18" s="85"/>
      <c r="E18" s="252">
        <f>F18/Model!$Y$4</f>
        <v>5.925007331285631</v>
      </c>
      <c r="F18" s="134">
        <f>SUM(F13:F17)</f>
        <v>15937.33357</v>
      </c>
      <c r="G18" s="253">
        <f>SUM(G13:G17)</f>
        <v>0.9999999999999999</v>
      </c>
      <c r="I18" t="s" s="259">
        <v>295</v>
      </c>
      <c r="J18" s="259"/>
      <c r="K18" s="260">
        <f>Model!R141</f>
        <v>4.534999338493141</v>
      </c>
      <c r="L18" s="260">
        <f>'Driver Assumptions'!E60</f>
        <v>1.246626347026308</v>
      </c>
      <c r="M18" s="260">
        <f>'Driver Assumptions'!F60</f>
        <v>4.534999337946058</v>
      </c>
      <c r="N18" s="260">
        <f>'Driver Assumptions'!G60</f>
        <v>6.307760514967179</v>
      </c>
    </row>
    <row r="19" ht="12.75" customHeight="1">
      <c r="C19" t="s" s="10">
        <v>133</v>
      </c>
      <c r="D19" s="10"/>
      <c r="E19" s="10"/>
      <c r="F19" s="254">
        <f>F10-F18</f>
        <v>0</v>
      </c>
    </row>
    <row r="20" ht="12.75" customHeight="1"/>
    <row r="21" ht="12.75" customHeight="1">
      <c r="I21" t="s" s="26">
        <v>76</v>
      </c>
      <c r="J21" s="26"/>
      <c r="K21" s="26"/>
      <c r="L21" s="26"/>
      <c r="M21" s="26"/>
      <c r="N21" s="26"/>
      <c r="O21" s="26"/>
      <c r="P21" s="26"/>
      <c r="Q21" s="26"/>
      <c r="R21" s="26"/>
      <c r="S21" s="26"/>
      <c r="T21" s="26"/>
      <c r="V21" t="s" s="26">
        <v>138</v>
      </c>
      <c r="W21" s="26"/>
      <c r="X21" s="26"/>
      <c r="Y21" s="26"/>
      <c r="Z21" s="26"/>
      <c r="AA21" s="26"/>
      <c r="AB21" s="26"/>
      <c r="AC21" s="26"/>
      <c r="AD21" s="26"/>
      <c r="AE21" s="26"/>
      <c r="AF21" s="26"/>
      <c r="AG21" s="26"/>
      <c r="AH21" s="26"/>
      <c r="AI21" s="26"/>
      <c r="AJ21" s="26"/>
    </row>
    <row r="22" ht="12.75" customHeight="1">
      <c r="J22" t="s" s="114">
        <v>77</v>
      </c>
      <c r="K22" s="114"/>
      <c r="L22" s="114"/>
      <c r="M22" t="s" s="114">
        <v>78</v>
      </c>
      <c r="N22" s="114"/>
      <c r="O22" s="114"/>
      <c r="P22" s="114"/>
      <c r="Q22" s="114"/>
      <c r="R22" s="114"/>
      <c r="S22" t="s" s="114">
        <v>34</v>
      </c>
      <c r="T22" s="114"/>
    </row>
    <row r="23" ht="12.75" customHeight="1">
      <c r="I23" t="s" s="115">
        <v>75</v>
      </c>
      <c r="J23" s="255">
        <f>Model!E28</f>
        <v>45291</v>
      </c>
      <c r="K23" s="255">
        <f>Model!F28</f>
        <v>45657</v>
      </c>
      <c r="L23" s="255">
        <f>Model!G28</f>
        <v>46022</v>
      </c>
      <c r="M23" s="138">
        <f>Model!H28</f>
        <v>46387</v>
      </c>
      <c r="N23" s="138">
        <f>Model!I28</f>
        <v>46752</v>
      </c>
      <c r="O23" s="138">
        <f>Model!J28</f>
        <v>47118</v>
      </c>
      <c r="P23" s="138">
        <f>Model!K28</f>
        <v>47483</v>
      </c>
      <c r="Q23" s="138">
        <f>Model!L28</f>
        <v>47848</v>
      </c>
      <c r="R23" s="138">
        <f>Model!M28</f>
        <v>48213</v>
      </c>
      <c r="S23" t="str" s="256">
        <f>Model!S28</f>
        <v>FY23–25</v>
      </c>
      <c r="T23" t="str" s="256">
        <f>Model!T28</f>
        <v>FY26–31</v>
      </c>
      <c r="V23" t="str" s="124">
        <f>Model!D146</f>
        <v>5-Year IRR: Exit Multiple vs. Offer Price</v>
      </c>
      <c r="W23" s="33"/>
      <c r="X23" s="33"/>
      <c r="Y23" s="33"/>
      <c r="Z23" s="33"/>
      <c r="AA23" s="33"/>
      <c r="AB23" s="33"/>
      <c r="AD23" t="str" s="124">
        <f>Model!L146</f>
        <v>5-Year MOIC: Exit Multiple vs. Offer Price</v>
      </c>
      <c r="AE23" s="33"/>
      <c r="AF23" s="33"/>
      <c r="AG23" s="33"/>
      <c r="AH23" s="33"/>
      <c r="AI23" s="33"/>
      <c r="AJ23" s="33"/>
    </row>
    <row r="24" ht="12.75" customHeight="1">
      <c r="I24" t="s" s="198">
        <v>35</v>
      </c>
      <c r="J24" s="199">
        <f>Model!E42</f>
        <v>4653</v>
      </c>
      <c r="K24" s="199">
        <f>Model!F42</f>
        <v>4898</v>
      </c>
      <c r="L24" s="199">
        <f>Model!G42</f>
        <v>5129</v>
      </c>
      <c r="M24" s="199">
        <f>Model!H42</f>
        <v>5209.161000000001</v>
      </c>
      <c r="N24" s="199">
        <f>Model!I42</f>
        <v>5262.280023</v>
      </c>
      <c r="O24" s="199">
        <f>Model!J42</f>
        <v>5344.96630668</v>
      </c>
      <c r="P24" s="199">
        <f>Model!K42</f>
        <v>5461.563563816361</v>
      </c>
      <c r="Q24" s="199">
        <f>Model!L42</f>
        <v>5602.052724500778</v>
      </c>
      <c r="R24" s="199">
        <f>Model!M42</f>
        <v>5766.479335686894</v>
      </c>
      <c r="S24" s="206">
        <f>Model!S42</f>
        <v>0.04990456312052194</v>
      </c>
      <c r="T24" s="206">
        <f>Model!T42</f>
        <v>0.020536617115164413</v>
      </c>
      <c r="V24" s="33"/>
      <c r="W24" s="33"/>
      <c r="X24" t="str" s="125">
        <f>Model!F147</f>
        <v>Offer Price / Share</v>
      </c>
      <c r="Y24" s="33"/>
      <c r="Z24" s="33"/>
      <c r="AA24" s="33"/>
      <c r="AB24" s="33"/>
      <c r="AD24" s="33"/>
      <c r="AE24" s="33"/>
      <c r="AF24" t="str" s="125">
        <f>Model!N147</f>
        <v>Offer Price / Share</v>
      </c>
      <c r="AG24" s="33"/>
      <c r="AH24" s="33"/>
      <c r="AI24" s="33"/>
      <c r="AJ24" s="33"/>
    </row>
    <row r="25" ht="12.75" customHeight="1">
      <c r="I25" t="s" s="200">
        <v>36</v>
      </c>
      <c r="J25" t="str" s="201">
        <f>Model!E43</f>
        <v>n.a.</v>
      </c>
      <c r="K25" s="201">
        <f>Model!F43</f>
        <v>0.05265420159037171</v>
      </c>
      <c r="L25" s="201">
        <f>Model!G43</f>
        <v>0.04716210698244172</v>
      </c>
      <c r="M25" s="201">
        <f>Model!H43</f>
        <v>0.01562897250926132</v>
      </c>
      <c r="N25" s="201">
        <f>Model!I43</f>
        <v>0.010197231953475772</v>
      </c>
      <c r="O25" s="201">
        <f>Model!J43</f>
        <v>0.015713014761396416</v>
      </c>
      <c r="P25" s="201">
        <f>Model!K43</f>
        <v>0.021814404515635655</v>
      </c>
      <c r="Q25" s="201">
        <f>Model!L43</f>
        <v>0.025723249220274136</v>
      </c>
      <c r="R25" s="201">
        <f>Model!M43</f>
        <v>0.0293511359625358</v>
      </c>
      <c r="S25" s="206"/>
      <c r="T25" s="206"/>
      <c r="V25" s="33"/>
      <c r="W25" s="257">
        <f>Model!E148</f>
        <v>0.211735490955125</v>
      </c>
      <c r="X25" s="211">
        <f>Model!F148</f>
        <v>9</v>
      </c>
      <c r="Y25" s="211">
        <f>Model!G148</f>
        <v>9.5</v>
      </c>
      <c r="Z25" s="211">
        <f>Model!H148</f>
        <v>10</v>
      </c>
      <c r="AA25" s="211">
        <f>Model!I148</f>
        <v>10.5</v>
      </c>
      <c r="AB25" s="211">
        <f>Model!J148</f>
        <v>11</v>
      </c>
      <c r="AD25" s="33"/>
      <c r="AE25" s="258">
        <f>Model!M148</f>
        <v>2.6123967897992326</v>
      </c>
      <c r="AF25" s="211">
        <f>Model!N148</f>
        <v>9</v>
      </c>
      <c r="AG25" s="211">
        <f>Model!O148</f>
        <v>9.5</v>
      </c>
      <c r="AH25" s="211">
        <f>Model!P148</f>
        <v>10</v>
      </c>
      <c r="AI25" s="211">
        <f>Model!Q148</f>
        <v>10.5</v>
      </c>
      <c r="AJ25" s="211">
        <f>Model!R148</f>
        <v>11</v>
      </c>
    </row>
    <row r="26" s="10" customFormat="1" ht="12.75" customHeight="1">
      <c r="I26" t="s" s="196">
        <v>38</v>
      </c>
      <c r="J26" s="197">
        <f>Model!E48</f>
        <v>3902</v>
      </c>
      <c r="K26" s="197">
        <f>Model!F48</f>
        <v>4051</v>
      </c>
      <c r="L26" s="197">
        <f>Model!G48</f>
        <v>4146</v>
      </c>
      <c r="M26" s="197">
        <f>Model!H48</f>
        <v>4193.672535000001</v>
      </c>
      <c r="N26" s="197">
        <f>Model!I48</f>
        <v>4249.39702187</v>
      </c>
      <c r="O26" s="197">
        <f>Model!J48</f>
        <v>4329.13698052836</v>
      </c>
      <c r="P26" s="197">
        <f>Model!K48</f>
        <v>4436.516675954805</v>
      </c>
      <c r="Q26" s="197">
        <f>Model!L48</f>
        <v>4565.297772198616</v>
      </c>
      <c r="R26" s="197">
        <f>Model!M48</f>
        <v>4714.004919368585</v>
      </c>
      <c r="S26" s="207"/>
      <c r="T26" s="207"/>
      <c r="V26" t="s" s="14">
        <v>376</v>
      </c>
      <c r="W26" s="212">
        <f>Model!E149</f>
        <v>5</v>
      </c>
      <c r="X26" s="126">
        <f>Model!F149</f>
        <v>0.18029641045713185</v>
      </c>
      <c r="Y26" s="126">
        <f>Model!G149</f>
        <v>0.1582168553624015</v>
      </c>
      <c r="Z26" s="126">
        <f>Model!H149</f>
        <v>0.13848765810496078</v>
      </c>
      <c r="AA26" s="126">
        <f>Model!I149</f>
        <v>0.12069239600432313</v>
      </c>
      <c r="AB26" s="126">
        <f>Model!J149</f>
        <v>0.1045139028078923</v>
      </c>
      <c r="AC26" s="3"/>
      <c r="AD26" t="s" s="14">
        <v>376</v>
      </c>
      <c r="AE26" s="212">
        <f>Model!M149</f>
        <v>5</v>
      </c>
      <c r="AF26" s="209">
        <f>Model!N149</f>
        <v>2.290632570727352</v>
      </c>
      <c r="AG26" s="209">
        <f>Model!O149</f>
        <v>2.084248052364272</v>
      </c>
      <c r="AH26" s="209">
        <f>Model!P149</f>
        <v>1.9126769969801478</v>
      </c>
      <c r="AI26" s="209">
        <f>Model!Q149</f>
        <v>1.767795915349737</v>
      </c>
      <c r="AJ26" s="209">
        <f>Model!R149</f>
        <v>1.6438263361441288</v>
      </c>
    </row>
    <row r="27" customFormat="1" ht="12.75" customHeight="1">
      <c r="A27" s="4"/>
      <c r="B27" s="4"/>
      <c r="C27" s="4"/>
      <c r="D27" s="4"/>
      <c r="E27" s="4"/>
      <c r="F27" s="4"/>
      <c r="G27" s="4"/>
      <c r="H27" s="4"/>
      <c r="I27" t="s" s="202">
        <v>39</v>
      </c>
      <c r="J27" s="201">
        <f>Model!E49</f>
        <v>0.8385987534923706</v>
      </c>
      <c r="K27" s="201">
        <f>Model!F49</f>
        <v>0.8270722743977134</v>
      </c>
      <c r="L27" s="201">
        <f>Model!G49</f>
        <v>0.8083447065704816</v>
      </c>
      <c r="M27" s="201">
        <f>Model!H49</f>
        <v>0.805057193471271</v>
      </c>
      <c r="N27" s="201">
        <f>Model!I49</f>
        <v>0.8075201249832842</v>
      </c>
      <c r="O27" s="201">
        <f>Model!J49</f>
        <v>0.8099465426223392</v>
      </c>
      <c r="P27" s="201">
        <f>Model!K49</f>
        <v>0.8123162211911917</v>
      </c>
      <c r="Q27" s="201">
        <f>Model!L49</f>
        <v>0.8149330248592848</v>
      </c>
      <c r="R27" s="201">
        <f>Model!M49</f>
        <v>0.8174840565533841</v>
      </c>
      <c r="S27" s="206"/>
      <c r="T27" s="206"/>
      <c r="U27" s="4"/>
      <c r="V27" s="33"/>
      <c r="W27" s="212">
        <f>Model!E150</f>
        <v>5.5</v>
      </c>
      <c r="X27" s="126">
        <f>Model!F150</f>
        <v>0.22079111868355872</v>
      </c>
      <c r="Y27" s="126">
        <f>Model!G150</f>
        <v>0.19787185554935038</v>
      </c>
      <c r="Z27" s="126">
        <f>Model!H150</f>
        <v>0.17738672250432508</v>
      </c>
      <c r="AA27" s="126">
        <f>Model!I150</f>
        <v>0.1589045804674487</v>
      </c>
      <c r="AB27" s="126">
        <f>Model!J150</f>
        <v>0.1420970451685819</v>
      </c>
      <c r="AC27" s="4"/>
      <c r="AD27" s="33"/>
      <c r="AE27" s="212">
        <f>Model!M150</f>
        <v>5.5</v>
      </c>
      <c r="AF27" s="209">
        <f>Model!N150</f>
        <v>2.711482498201317</v>
      </c>
      <c r="AG27" s="209">
        <f>Model!O150</f>
        <v>2.4663335207655672</v>
      </c>
      <c r="AH27" s="209">
        <f>Model!P150</f>
        <v>2.26253689338969</v>
      </c>
      <c r="AI27" s="209">
        <f>Model!Q150</f>
        <v>2.09044332119162</v>
      </c>
      <c r="AJ27" s="209">
        <f>Model!R150</f>
        <v>1.9431889834319924</v>
      </c>
      <c r="AK27" s="4"/>
      <c r="AL27" s="4"/>
      <c r="AM27" s="4"/>
      <c r="AN27" s="4"/>
    </row>
    <row r="28" customFormat="1" ht="12.75" customHeight="1">
      <c r="A28" s="4"/>
      <c r="B28" s="4"/>
      <c r="C28" s="4"/>
      <c r="D28" s="4"/>
      <c r="E28" s="4"/>
      <c r="F28" s="4"/>
      <c r="G28" s="4"/>
      <c r="H28" s="4"/>
      <c r="I28" t="s" s="203">
        <v>241</v>
      </c>
      <c r="J28" s="199">
        <f>Model!E51</f>
        <v>-1421</v>
      </c>
      <c r="K28" s="199">
        <f>Model!F51</f>
        <v>-1473</v>
      </c>
      <c r="L28" s="199">
        <f>Model!G51</f>
        <v>-1466</v>
      </c>
      <c r="M28" s="199">
        <f>Model!H51</f>
        <v>-1484.610885</v>
      </c>
      <c r="N28" s="199">
        <f>Model!I51</f>
        <v>-1447.1270063250001</v>
      </c>
      <c r="O28" s="199">
        <f>Model!J51</f>
        <v>-1416.4160712702</v>
      </c>
      <c r="P28" s="199">
        <f>Model!K51</f>
        <v>-1392.698708773172</v>
      </c>
      <c r="Q28" s="199">
        <f>Model!L51</f>
        <v>-1389.3090756761928</v>
      </c>
      <c r="R28" s="199">
        <f>Model!M51</f>
        <v>-1395.4879992362282</v>
      </c>
      <c r="S28" s="206"/>
      <c r="T28" s="206"/>
      <c r="U28" s="4"/>
      <c r="V28" s="33"/>
      <c r="W28" s="212">
        <f>Model!E151</f>
        <v>6</v>
      </c>
      <c r="X28" s="126">
        <f>Model!F151</f>
        <v>0.25653204642455973</v>
      </c>
      <c r="Y28" s="126">
        <f>Model!G151</f>
        <v>0.2328799064211835</v>
      </c>
      <c r="Z28" s="127">
        <f>Model!H151</f>
        <v>0.211735490955125</v>
      </c>
      <c r="AA28" s="126">
        <f>Model!I151</f>
        <v>0.1926547169488222</v>
      </c>
      <c r="AB28" s="126">
        <f>Model!J151</f>
        <v>0.1752993342244229</v>
      </c>
      <c r="AC28" s="4"/>
      <c r="AD28" s="33"/>
      <c r="AE28" s="212">
        <f>Model!M151</f>
        <v>6</v>
      </c>
      <c r="AF28" s="209">
        <f>Model!N151</f>
        <v>3.132332425675282</v>
      </c>
      <c r="AG28" s="209">
        <f>Model!O151</f>
        <v>2.8484189891668628</v>
      </c>
      <c r="AH28" s="210">
        <f>Model!P151</f>
        <v>2.6123967897992326</v>
      </c>
      <c r="AI28" s="209">
        <f>Model!Q151</f>
        <v>2.4130907270335036</v>
      </c>
      <c r="AJ28" s="209">
        <f>Model!R151</f>
        <v>2.2425516307198565</v>
      </c>
      <c r="AK28" s="4"/>
      <c r="AL28" s="4"/>
      <c r="AM28" s="4"/>
      <c r="AN28" s="4"/>
    </row>
    <row r="29" ht="12.75" customHeight="1">
      <c r="I29" t="s" s="196">
        <v>90</v>
      </c>
      <c r="J29" s="197">
        <f>Model!E53</f>
        <v>2481</v>
      </c>
      <c r="K29" s="197">
        <f>Model!F53</f>
        <v>2578</v>
      </c>
      <c r="L29" s="197">
        <f>Model!G53</f>
        <v>2680</v>
      </c>
      <c r="M29" s="197">
        <f>Model!H53</f>
        <v>2709.0616500000006</v>
      </c>
      <c r="N29" s="197">
        <f>Model!I53</f>
        <v>2802.2700155449993</v>
      </c>
      <c r="O29" s="197">
        <f>Model!J53</f>
        <v>2912.72090925816</v>
      </c>
      <c r="P29" s="197">
        <f>Model!K53</f>
        <v>3043.8179671816324</v>
      </c>
      <c r="Q29" s="197">
        <f>Model!L53</f>
        <v>3175.988696522423</v>
      </c>
      <c r="R29" s="197">
        <f>Model!M53</f>
        <v>3318.516920132357</v>
      </c>
      <c r="S29" s="207">
        <f>Model!S53</f>
        <v>0.03933132008329587</v>
      </c>
      <c r="T29" s="207">
        <f>Model!T53</f>
        <v>0.04141787958923726</v>
      </c>
      <c r="V29" s="33"/>
      <c r="W29" s="212">
        <f>Model!E152</f>
        <v>6.5</v>
      </c>
      <c r="X29" s="126">
        <f>Model!F152</f>
        <v>0.28861594029243576</v>
      </c>
      <c r="Y29" s="126">
        <f>Model!G152</f>
        <v>0.26431144378106697</v>
      </c>
      <c r="Z29" s="126">
        <f>Model!H152</f>
        <v>0.242580510869856</v>
      </c>
      <c r="AA29" s="126">
        <f>Model!I152</f>
        <v>0.2229674686292744</v>
      </c>
      <c r="AB29" s="126">
        <f>Model!J152</f>
        <v>0.20512523377588776</v>
      </c>
      <c r="AD29" s="33"/>
      <c r="AE29" s="212">
        <f>Model!M152</f>
        <v>6.5</v>
      </c>
      <c r="AF29" s="209">
        <f>Model!N152</f>
        <v>3.5531823531492477</v>
      </c>
      <c r="AG29" s="209">
        <f>Model!O152</f>
        <v>3.2305044575681587</v>
      </c>
      <c r="AH29" s="209">
        <f>Model!P152</f>
        <v>2.9622566862087756</v>
      </c>
      <c r="AI29" s="209">
        <f>Model!Q152</f>
        <v>2.735738132875387</v>
      </c>
      <c r="AJ29" s="209">
        <f>Model!R152</f>
        <v>2.5419142780077206</v>
      </c>
    </row>
    <row r="30" s="10" customFormat="1" ht="12.75" customHeight="1">
      <c r="I30" t="s" s="204">
        <v>39</v>
      </c>
      <c r="J30" s="201">
        <f>Model!E54</f>
        <v>0.533204384268214</v>
      </c>
      <c r="K30" s="201">
        <f>Model!F54</f>
        <v>0.5263372805226623</v>
      </c>
      <c r="L30" s="201">
        <f>Model!G54</f>
        <v>0.5225190095535192</v>
      </c>
      <c r="M30" s="201">
        <f>Model!H54</f>
        <v>0.5200571934712711</v>
      </c>
      <c r="N30" s="201">
        <f>Model!I54</f>
        <v>0.5325201249832842</v>
      </c>
      <c r="O30" s="201">
        <f>Model!J54</f>
        <v>0.5449465426223393</v>
      </c>
      <c r="P30" s="201">
        <f>Model!K54</f>
        <v>0.5573162211911917</v>
      </c>
      <c r="Q30" s="201">
        <f>Model!L54</f>
        <v>0.5669330248592848</v>
      </c>
      <c r="R30" s="201">
        <f>Model!M54</f>
        <v>0.5754840565533841</v>
      </c>
      <c r="S30" s="201"/>
      <c r="T30" s="201"/>
      <c r="V30" s="33"/>
      <c r="W30" s="212">
        <f>Model!E153</f>
        <v>7</v>
      </c>
      <c r="X30" s="126">
        <f>Model!F153</f>
        <v>0.31779021393855333</v>
      </c>
      <c r="Y30" s="126">
        <f>Model!G153</f>
        <v>0.2928964211902114</v>
      </c>
      <c r="Z30" s="126">
        <f>Model!H153</f>
        <v>0.2706359042880413</v>
      </c>
      <c r="AA30" s="126">
        <f>Model!I153</f>
        <v>0.2505424722854508</v>
      </c>
      <c r="AB30" s="126">
        <f>Model!J153</f>
        <v>0.23226102614588684</v>
      </c>
      <c r="AC30" s="3"/>
      <c r="AD30" s="33"/>
      <c r="AE30" s="212">
        <f>Model!M153</f>
        <v>7</v>
      </c>
      <c r="AF30" s="209">
        <f>Model!N153</f>
        <v>3.974032280623212</v>
      </c>
      <c r="AG30" s="209">
        <f>Model!O153</f>
        <v>3.6125899259694534</v>
      </c>
      <c r="AH30" s="209">
        <f>Model!P153</f>
        <v>3.3121165826183177</v>
      </c>
      <c r="AI30" s="209">
        <f>Model!Q153</f>
        <v>3.0583855387172703</v>
      </c>
      <c r="AJ30" s="209">
        <f>Model!R153</f>
        <v>2.8412769252955843</v>
      </c>
    </row>
    <row r="31" ht="12.75" customHeight="1">
      <c r="I31" t="s" s="198">
        <v>40</v>
      </c>
      <c r="J31" s="199">
        <f>Model!E55</f>
        <v>-1335</v>
      </c>
      <c r="K31" s="199">
        <f>Model!F55</f>
        <v>-1343</v>
      </c>
      <c r="L31" s="199">
        <f>Model!G55</f>
        <v>-1367</v>
      </c>
      <c r="M31" s="199">
        <f>Model!H55</f>
        <v>-1380.4276650000004</v>
      </c>
      <c r="N31" s="199">
        <f>Model!I55</f>
        <v>-1394.5042060950002</v>
      </c>
      <c r="O31" s="199">
        <f>Model!J55</f>
        <v>-1416.4160712702</v>
      </c>
      <c r="P31" s="199">
        <f>Model!K55</f>
        <v>-1447.3143444113357</v>
      </c>
      <c r="Q31" s="199">
        <f>Model!L55</f>
        <v>-1484.5439719927062</v>
      </c>
      <c r="R31" s="199">
        <f>Model!M55</f>
        <v>-1528.117023957027</v>
      </c>
      <c r="S31" s="206"/>
      <c r="T31" s="206"/>
    </row>
    <row r="32" ht="12.75" customHeight="1">
      <c r="I32" t="s" s="196">
        <v>41</v>
      </c>
      <c r="J32" s="197">
        <f>Model!E57</f>
        <v>1146</v>
      </c>
      <c r="K32" s="197">
        <f>Model!F57</f>
        <v>1235</v>
      </c>
      <c r="L32" s="197">
        <f>Model!G57</f>
        <v>1313</v>
      </c>
      <c r="M32" s="197">
        <f>Model!H57</f>
        <v>1328.6339850000002</v>
      </c>
      <c r="N32" s="197">
        <f>Model!I57</f>
        <v>1407.765809449999</v>
      </c>
      <c r="O32" s="197">
        <f>Model!J57</f>
        <v>1496.3048379879601</v>
      </c>
      <c r="P32" s="197">
        <f>Model!K57</f>
        <v>1596.5036227702967</v>
      </c>
      <c r="Q32" s="197">
        <f>Model!L57</f>
        <v>1691.444724529717</v>
      </c>
      <c r="R32" s="197">
        <f>Model!M57</f>
        <v>1790.39989617533</v>
      </c>
      <c r="S32" s="207"/>
      <c r="T32" s="207"/>
      <c r="V32" t="str" s="124">
        <f>Model!D155</f>
        <v>5-Year IRR: Total Leverage vs. Offer Price</v>
      </c>
      <c r="W32" s="33"/>
      <c r="X32" s="33"/>
      <c r="Y32" s="33"/>
      <c r="Z32" s="33"/>
      <c r="AA32" s="33"/>
      <c r="AB32" s="33"/>
      <c r="AD32" t="str" s="124">
        <f>Model!L155</f>
        <v>5-Year MOIC: Total Leverage vs. Offer Price</v>
      </c>
      <c r="AE32" s="33"/>
      <c r="AF32" s="33"/>
      <c r="AG32" s="33"/>
      <c r="AH32" s="33"/>
      <c r="AI32" s="33"/>
      <c r="AJ32" s="33"/>
    </row>
    <row r="33" ht="12.75" customHeight="1">
      <c r="I33" t="s" s="198">
        <v>309</v>
      </c>
      <c r="J33" s="199">
        <f>Model!E59</f>
        <v>-570</v>
      </c>
      <c r="K33" s="199">
        <f>Model!F59</f>
        <v>-441</v>
      </c>
      <c r="L33" s="199">
        <f>Model!G59</f>
        <v>-459</v>
      </c>
      <c r="M33" s="199">
        <f>Model!H59</f>
        <v>-459</v>
      </c>
      <c r="N33" s="199">
        <f>Model!I59</f>
        <v>-917.7387103186642</v>
      </c>
      <c r="O33" s="199">
        <f>Model!J59</f>
        <v>-868.1670566750206</v>
      </c>
      <c r="P33" s="199">
        <f>Model!K59</f>
        <v>-815.1351911851541</v>
      </c>
      <c r="Q33" s="199">
        <f>Model!L59</f>
        <v>-751.106443855217</v>
      </c>
      <c r="R33" s="199">
        <f>Model!M59</f>
        <v>-682.7798622683972</v>
      </c>
      <c r="S33" s="206"/>
      <c r="T33" s="206"/>
      <c r="V33" s="33"/>
      <c r="W33" s="33"/>
      <c r="X33" t="str" s="125">
        <f>Model!F156</f>
        <v>Offer Price / Share</v>
      </c>
      <c r="Y33" s="33"/>
      <c r="Z33" s="33"/>
      <c r="AA33" s="33"/>
      <c r="AB33" s="33"/>
      <c r="AD33" s="33"/>
      <c r="AE33" s="33"/>
      <c r="AF33" t="str" s="125">
        <f>Model!N156</f>
        <v>Offer Price / Share</v>
      </c>
      <c r="AG33" s="33"/>
      <c r="AH33" s="33"/>
      <c r="AI33" s="33"/>
      <c r="AJ33" s="33"/>
    </row>
    <row r="34" ht="12.75" customHeight="1">
      <c r="I34" t="s" s="198">
        <v>310</v>
      </c>
      <c r="J34" s="199">
        <f>Model!E60</f>
        <v>0</v>
      </c>
      <c r="K34" s="199">
        <f>Model!F60</f>
        <v>0</v>
      </c>
      <c r="L34" s="199">
        <f>Model!G60</f>
        <v>0</v>
      </c>
      <c r="M34" s="199">
        <f>Model!H60</f>
        <v>0</v>
      </c>
      <c r="N34" s="199">
        <f>Model!I60</f>
        <v>-33.23379571428571</v>
      </c>
      <c r="O34" s="199">
        <f>Model!J60</f>
        <v>-33.23379571428571</v>
      </c>
      <c r="P34" s="199">
        <f>Model!K60</f>
        <v>-33.23379571428571</v>
      </c>
      <c r="Q34" s="199">
        <f>Model!L60</f>
        <v>-33.23379571428571</v>
      </c>
      <c r="R34" s="199">
        <f>Model!M60</f>
        <v>-33.23379571428571</v>
      </c>
      <c r="S34" s="206"/>
      <c r="T34" s="206"/>
      <c r="V34" s="33"/>
      <c r="W34" s="257">
        <f>Model!E157</f>
        <v>0.211735490955125</v>
      </c>
      <c r="X34" s="211">
        <f>Model!F157</f>
        <v>9</v>
      </c>
      <c r="Y34" s="211">
        <f>Model!G157</f>
        <v>9.5</v>
      </c>
      <c r="Z34" s="211">
        <f>Model!H157</f>
        <v>10</v>
      </c>
      <c r="AA34" s="211">
        <f>Model!I157</f>
        <v>10.5</v>
      </c>
      <c r="AB34" s="211">
        <f>Model!J157</f>
        <v>11</v>
      </c>
      <c r="AD34" s="33"/>
      <c r="AE34" s="258">
        <f>Model!M157</f>
        <v>2.6123967897992326</v>
      </c>
      <c r="AF34" s="211">
        <f>Model!N157</f>
        <v>9</v>
      </c>
      <c r="AG34" s="211">
        <f>Model!O157</f>
        <v>9.5</v>
      </c>
      <c r="AH34" s="211">
        <f>Model!P157</f>
        <v>10</v>
      </c>
      <c r="AI34" s="211">
        <f>Model!Q157</f>
        <v>10.5</v>
      </c>
      <c r="AJ34" s="211">
        <f>Model!R157</f>
        <v>11</v>
      </c>
    </row>
    <row r="35" ht="12.75" customHeight="1">
      <c r="I35" t="s" s="198">
        <v>45</v>
      </c>
      <c r="J35" s="199">
        <f>Model!E62</f>
        <v>-161</v>
      </c>
      <c r="K35" s="199">
        <f>Model!F62</f>
        <v>-196</v>
      </c>
      <c r="L35" s="199">
        <f>Model!G62</f>
        <v>-233</v>
      </c>
      <c r="M35" s="199">
        <f>Model!H62</f>
        <v>-217.40849625000004</v>
      </c>
      <c r="N35" s="199">
        <f>Model!I62</f>
        <v>-114.19832585426231</v>
      </c>
      <c r="O35" s="199">
        <f>Model!J62</f>
        <v>-148.72599639966344</v>
      </c>
      <c r="P35" s="199">
        <f>Model!K62</f>
        <v>-187.03365896771422</v>
      </c>
      <c r="Q35" s="199">
        <f>Model!L62</f>
        <v>-226.77612124005356</v>
      </c>
      <c r="R35" s="199">
        <f>Model!M62</f>
        <v>-268.5965595481618</v>
      </c>
      <c r="S35" s="206"/>
      <c r="T35" s="206"/>
      <c r="V35" t="s" s="14">
        <v>377</v>
      </c>
      <c r="W35" s="213">
        <f>Model!E158</f>
        <v>3.25</v>
      </c>
      <c r="X35" s="126">
        <f>Model!F158</f>
        <v>0.19281675045586733</v>
      </c>
      <c r="Y35" s="126">
        <f>Model!G158</f>
        <v>0.17938810107039216</v>
      </c>
      <c r="Z35" s="126">
        <f>Model!H158</f>
        <v>0.16684829727696182</v>
      </c>
      <c r="AA35" s="126">
        <f>Model!I158</f>
        <v>0.15509629452329188</v>
      </c>
      <c r="AB35" s="126">
        <f>Model!J158</f>
        <v>0.1440469231365873</v>
      </c>
      <c r="AD35" t="s" s="14">
        <v>377</v>
      </c>
      <c r="AE35" s="213">
        <f>Model!M158</f>
        <v>3.25</v>
      </c>
      <c r="AF35" s="209">
        <f>Model!N158</f>
        <v>2.414730379335085</v>
      </c>
      <c r="AG35" s="209">
        <f>Model!O158</f>
        <v>2.2818322252756227</v>
      </c>
      <c r="AH35" s="209">
        <f>Model!P158</f>
        <v>2.1630770225127716</v>
      </c>
      <c r="AI35" s="209">
        <f>Model!Q158</f>
        <v>2.0563212017044257</v>
      </c>
      <c r="AJ35" s="209">
        <f>Model!R158</f>
        <v>1.9598335461867713</v>
      </c>
    </row>
    <row r="36" ht="12.75" customHeight="1">
      <c r="I36" t="s" s="262">
        <v>46</v>
      </c>
      <c r="J36" s="197">
        <f>Model!E63</f>
        <v>415</v>
      </c>
      <c r="K36" s="197">
        <f>Model!F63</f>
        <v>598</v>
      </c>
      <c r="L36" s="197">
        <f>Model!G63</f>
        <v>621</v>
      </c>
      <c r="M36" s="197">
        <f>Model!H63</f>
        <v>652.2254887500001</v>
      </c>
      <c r="N36" s="197">
        <f>Model!I63</f>
        <v>342.59497756278694</v>
      </c>
      <c r="O36" s="197">
        <f>Model!J63</f>
        <v>446.1779891989903</v>
      </c>
      <c r="P36" s="197">
        <f>Model!K63</f>
        <v>561.1009769031426</v>
      </c>
      <c r="Q36" s="197">
        <f>Model!L63</f>
        <v>680.3283637201607</v>
      </c>
      <c r="R36" s="197">
        <f>Model!M63</f>
        <v>805.7896786444853</v>
      </c>
      <c r="S36" s="207"/>
      <c r="T36" s="207"/>
      <c r="V36" s="33"/>
      <c r="W36" s="213">
        <f>Model!E159</f>
        <v>3.75</v>
      </c>
      <c r="X36" s="126">
        <f>Model!F159</f>
        <v>0.21795538947897342</v>
      </c>
      <c r="Y36" s="126">
        <f>Model!G159</f>
        <v>0.20079108182313155</v>
      </c>
      <c r="Z36" s="126">
        <f>Model!H159</f>
        <v>0.18502541320885113</v>
      </c>
      <c r="AA36" s="126">
        <f>Model!I159</f>
        <v>0.1704647275414144</v>
      </c>
      <c r="AB36" s="126">
        <f>Model!J159</f>
        <v>0.15695203969330174</v>
      </c>
      <c r="AD36" s="33"/>
      <c r="AE36" s="213">
        <f>Model!M159</f>
        <v>3.75</v>
      </c>
      <c r="AF36" s="209">
        <f>Model!N159</f>
        <v>2.6801364646370573</v>
      </c>
      <c r="AG36" s="209">
        <f>Model!O159</f>
        <v>2.4965327574781377</v>
      </c>
      <c r="AH36" s="209">
        <f>Model!P159</f>
        <v>2.336890268643781</v>
      </c>
      <c r="AI36" s="209">
        <f>Model!Q159</f>
        <v>2.1968057310847944</v>
      </c>
      <c r="AJ36" s="209">
        <f>Model!R159</f>
        <v>2.072892500795221</v>
      </c>
    </row>
    <row r="37" ht="12.75" customHeight="1">
      <c r="I37" t="s" s="198">
        <v>230</v>
      </c>
      <c r="J37" s="205">
        <f>Model!E34</f>
        <v>353</v>
      </c>
      <c r="K37" s="205">
        <f>Model!F34</f>
        <v>359</v>
      </c>
      <c r="L37" s="205">
        <f>Model!G34</f>
        <v>359</v>
      </c>
      <c r="M37" s="205">
        <f>Model!H34</f>
        <v>359.35900000000004</v>
      </c>
      <c r="N37" s="205">
        <f>Model!I34</f>
        <v>361.51515400000005</v>
      </c>
      <c r="O37" s="205">
        <f>Model!J34</f>
        <v>365.8533358480001</v>
      </c>
      <c r="P37" s="205">
        <f>Model!K34</f>
        <v>372.4386958932641</v>
      </c>
      <c r="Q37" s="205">
        <f>Model!L34</f>
        <v>380.6323472029159</v>
      </c>
      <c r="R37" s="205">
        <f>Model!M34</f>
        <v>390.1481558829888</v>
      </c>
      <c r="S37" s="206">
        <f>Model!S34</f>
        <v>0.008462774295020958</v>
      </c>
      <c r="T37" s="206">
        <f>Model!T34</f>
        <v>0.01657682887784695</v>
      </c>
      <c r="V37" s="33"/>
      <c r="W37" s="213">
        <f>Model!E160</f>
        <v>4.25</v>
      </c>
      <c r="X37" s="126">
        <f>Model!F160</f>
        <v>0.25653204642455973</v>
      </c>
      <c r="Y37" s="126">
        <f>Model!G160</f>
        <v>0.2328799064211835</v>
      </c>
      <c r="Z37" s="127">
        <f>Model!H160</f>
        <v>0.211735490955125</v>
      </c>
      <c r="AA37" s="126">
        <f>Model!I160</f>
        <v>0.1926547169488222</v>
      </c>
      <c r="AB37" s="126">
        <f>Model!J160</f>
        <v>0.1752993342244229</v>
      </c>
      <c r="AD37" s="33"/>
      <c r="AE37" s="213">
        <f>Model!M160</f>
        <v>4.25</v>
      </c>
      <c r="AF37" s="209">
        <f>Model!N160</f>
        <v>3.132332425675282</v>
      </c>
      <c r="AG37" s="209">
        <f>Model!O160</f>
        <v>2.8484189891668628</v>
      </c>
      <c r="AH37" s="210">
        <f>Model!P160</f>
        <v>2.6123967897992326</v>
      </c>
      <c r="AI37" s="209">
        <f>Model!Q160</f>
        <v>2.4130907270335036</v>
      </c>
      <c r="AJ37" s="209">
        <f>Model!R160</f>
        <v>2.2425516307198565</v>
      </c>
    </row>
    <row r="38" ht="12.75" customHeight="1">
      <c r="I38" t="s" s="204">
        <v>229</v>
      </c>
      <c r="J38" s="201">
        <f>Model!E33</f>
        <v>0.129</v>
      </c>
      <c r="K38" s="201">
        <f>Model!F33</f>
        <v>0.127</v>
      </c>
      <c r="L38" s="201">
        <f>Model!G33</f>
        <v>0.131</v>
      </c>
      <c r="M38" s="201">
        <f>Model!H33</f>
        <v>0.131</v>
      </c>
      <c r="N38" s="201">
        <f>Model!I33</f>
        <v>0.128</v>
      </c>
      <c r="O38" s="201">
        <f>Model!J33</f>
        <v>0.124</v>
      </c>
      <c r="P38" s="201">
        <f>Model!K33</f>
        <v>0.12</v>
      </c>
      <c r="Q38" s="201">
        <f>Model!L33</f>
        <v>0.117</v>
      </c>
      <c r="R38" s="201">
        <f>Model!M33</f>
        <v>0.115</v>
      </c>
      <c r="S38" s="206"/>
      <c r="T38" s="206"/>
      <c r="V38" s="33"/>
      <c r="W38" s="213">
        <f>Model!E161</f>
        <v>4.75</v>
      </c>
      <c r="X38" s="126">
        <f>Model!F161</f>
        <v>0.3244567918975565</v>
      </c>
      <c r="Y38" s="126">
        <f>Model!G161</f>
        <v>0.2869813545413744</v>
      </c>
      <c r="Z38" s="126">
        <f>Model!H161</f>
        <v>0.25519857028545245</v>
      </c>
      <c r="AA38" s="126">
        <f>Model!I161</f>
        <v>0.2277095685957924</v>
      </c>
      <c r="AB38" s="126">
        <f>Model!J161</f>
        <v>0.20356531870022798</v>
      </c>
      <c r="AD38" s="33"/>
      <c r="AE38" s="213">
        <f>Model!M161</f>
        <v>4.75</v>
      </c>
      <c r="AF38" s="209">
        <f>Model!N161</f>
        <v>4.075575790506051</v>
      </c>
      <c r="AG38" s="209">
        <f>Model!O161</f>
        <v>3.530703718875678</v>
      </c>
      <c r="AH38" s="209">
        <f>Model!P161</f>
        <v>3.1157469568158627</v>
      </c>
      <c r="AI38" s="209">
        <f>Model!Q161</f>
        <v>2.789190667652401</v>
      </c>
      <c r="AJ38" s="209">
        <f>Model!R161</f>
        <v>2.5255055325454654</v>
      </c>
    </row>
    <row r="39" customFormat="1" ht="12.75" customHeight="1">
      <c r="A39" s="4"/>
      <c r="B39" s="4"/>
      <c r="C39" s="4"/>
      <c r="D39" s="4"/>
      <c r="E39" s="4"/>
      <c r="F39" s="4"/>
      <c r="G39" s="4"/>
      <c r="H39" s="4"/>
      <c r="I39" t="s" s="203">
        <v>242</v>
      </c>
      <c r="J39" s="199">
        <f>Model!E65</f>
        <v>-1317</v>
      </c>
      <c r="K39" s="199">
        <f>Model!F65</f>
        <v>-1223</v>
      </c>
      <c r="L39" s="199">
        <f>Model!G65</f>
        <v>-1148</v>
      </c>
      <c r="M39" s="199">
        <f>Model!H65</f>
        <v>-1137.3120000000001</v>
      </c>
      <c r="N39" s="199">
        <f>Model!I65</f>
        <v>-1131.621491</v>
      </c>
      <c r="O39" s="199">
        <f>Model!J65</f>
        <v>-1130.8194017120002</v>
      </c>
      <c r="P39" s="199">
        <f>Model!K65</f>
        <v>-1151.1209359121476</v>
      </c>
      <c r="Q39" s="199">
        <f>Model!L65</f>
        <v>-1164.8020214061835</v>
      </c>
      <c r="R39" s="199">
        <f>Model!M65</f>
        <v>-1183.0053351066629</v>
      </c>
      <c r="S39" s="206"/>
      <c r="T39" s="206"/>
      <c r="U39" s="4"/>
      <c r="V39" s="33"/>
      <c r="W39" s="213">
        <f>Model!E162</f>
        <v>5.25</v>
      </c>
      <c r="X39" s="126">
        <f>Model!F162</f>
        <v>0.48657419170751437</v>
      </c>
      <c r="Y39" s="126">
        <f>Model!G162</f>
        <v>0.40219301001862795</v>
      </c>
      <c r="Z39" s="126">
        <f>Model!H162</f>
        <v>0.34052370786624997</v>
      </c>
      <c r="AA39" s="126">
        <f>Model!I162</f>
        <v>0.29242624622159563</v>
      </c>
      <c r="AB39" s="126">
        <f>Model!J162</f>
        <v>0.2532892751780462</v>
      </c>
      <c r="AC39" s="4"/>
      <c r="AD39" s="33"/>
      <c r="AE39" s="213">
        <f>Model!M162</f>
        <v>5.25</v>
      </c>
      <c r="AF39" s="209">
        <f>Model!N162</f>
        <v>7.259938536175257</v>
      </c>
      <c r="AG39" s="209">
        <f>Model!O162</f>
        <v>5.420495510315907</v>
      </c>
      <c r="AH39" s="209">
        <f>Model!P162</f>
        <v>4.328849584664555</v>
      </c>
      <c r="AI39" s="209">
        <f>Model!Q162</f>
        <v>3.6060259259968483</v>
      </c>
      <c r="AJ39" s="209">
        <f>Model!R162</f>
        <v>3.092121969241407</v>
      </c>
      <c r="AK39" s="4"/>
      <c r="AL39" s="4"/>
      <c r="AM39" s="4"/>
      <c r="AN39" s="4"/>
    </row>
    <row r="40" ht="12.75" customHeight="1">
      <c r="I40" t="s" s="196">
        <v>244</v>
      </c>
      <c r="J40" s="197">
        <f>Model!E69</f>
        <v>988</v>
      </c>
      <c r="K40" s="197">
        <f>Model!F69</f>
        <v>1191</v>
      </c>
      <c r="L40" s="197">
        <f>Model!G69</f>
        <v>1356</v>
      </c>
      <c r="M40" s="197">
        <f>Model!H69</f>
        <v>1394.6381760000004</v>
      </c>
      <c r="N40" s="197">
        <f>Model!I69</f>
        <v>1491.731003762999</v>
      </c>
      <c r="O40" s="197">
        <f>Model!J69</f>
        <v>1600.17265311904</v>
      </c>
      <c r="P40" s="197">
        <f>Model!K69</f>
        <v>1707.0038700997284</v>
      </c>
      <c r="Q40" s="197">
        <f>Model!L69</f>
        <v>1820.7168824832133</v>
      </c>
      <c r="R40" s="197">
        <f>Model!M69</f>
        <v>1939.45128761234</v>
      </c>
      <c r="S40" s="207">
        <f>Model!S69</f>
        <v>0.17152449211594822</v>
      </c>
      <c r="T40" s="207">
        <f>Model!T69</f>
        <v>0.06817759739458507</v>
      </c>
    </row>
    <row r="41" ht="12.75" customHeight="1">
      <c r="I41" t="s" s="204">
        <v>146</v>
      </c>
      <c r="J41" s="201">
        <f>Model!E70</f>
        <v>0.39822652156388555</v>
      </c>
      <c r="K41" s="201">
        <f>Model!F70</f>
        <v>0.46198603568657876</v>
      </c>
      <c r="L41" s="201">
        <f>Model!G70</f>
        <v>0.5059701492537313</v>
      </c>
      <c r="M41" s="201">
        <f>Model!H70</f>
        <v>0.5148048867769399</v>
      </c>
      <c r="N41" s="201">
        <f>Model!I70</f>
        <v>0.5323295026845869</v>
      </c>
      <c r="O41" s="201">
        <f>Model!J70</f>
        <v>0.5493738339409207</v>
      </c>
      <c r="P41" s="201">
        <f>Model!K70</f>
        <v>0.5608101037922111</v>
      </c>
      <c r="Q41" s="201">
        <f>Model!L70</f>
        <v>0.5732756179128796</v>
      </c>
      <c r="R41" s="201">
        <f>Model!M70</f>
        <v>0.5844331471828043</v>
      </c>
      <c r="S41" s="206"/>
      <c r="T41" s="206"/>
      <c r="V41" t="str" s="124">
        <f>Model!D164</f>
        <v>5-Year IRR: Attrition Change vs. Exit Multiple</v>
      </c>
      <c r="W41" s="33"/>
      <c r="X41" s="33"/>
      <c r="Y41" s="33"/>
      <c r="Z41" s="33"/>
      <c r="AA41" s="33"/>
      <c r="AB41" s="33"/>
      <c r="AD41" t="str" s="124">
        <f>Model!L164</f>
        <v>5-Year MOIC: Attrition Change vs. Exit Multiple</v>
      </c>
      <c r="AE41" s="33"/>
      <c r="AF41" s="33"/>
      <c r="AG41" s="33"/>
      <c r="AH41" s="33"/>
      <c r="AI41" s="33"/>
      <c r="AJ41" s="33"/>
    </row>
    <row r="42" ht="12.75" customHeight="1">
      <c r="J42" s="119"/>
      <c r="K42" s="119"/>
      <c r="L42" s="119"/>
      <c r="M42" s="119"/>
      <c r="N42" s="119"/>
      <c r="O42" s="119"/>
      <c r="P42" s="119"/>
      <c r="Q42" s="119"/>
      <c r="R42" s="119"/>
      <c r="S42" s="119"/>
      <c r="T42" s="119"/>
      <c r="V42" s="33"/>
      <c r="W42" s="33"/>
      <c r="X42" t="str" s="125">
        <f>Model!F165</f>
        <v>Exit EV / EBITDA</v>
      </c>
      <c r="Y42" s="33"/>
      <c r="Z42" s="33"/>
      <c r="AA42" s="33"/>
      <c r="AB42" s="33"/>
      <c r="AD42" s="33"/>
      <c r="AE42" s="33"/>
      <c r="AF42" t="str" s="125">
        <f>Model!N165</f>
        <v>Exit EV / EBITDA</v>
      </c>
      <c r="AG42" s="33"/>
      <c r="AH42" s="33"/>
      <c r="AI42" s="33"/>
      <c r="AJ42" s="33"/>
    </row>
    <row r="43" ht="12.75" customHeight="1">
      <c r="I43" t="s" s="13">
        <v>86</v>
      </c>
      <c r="J43" s="119"/>
      <c r="K43" s="119"/>
      <c r="L43" s="119"/>
      <c r="M43" s="119"/>
      <c r="N43" s="119"/>
      <c r="O43" s="119"/>
      <c r="P43" s="119"/>
      <c r="Q43" s="119"/>
      <c r="R43" s="119"/>
      <c r="S43" s="119"/>
      <c r="T43" s="119"/>
      <c r="V43" s="33"/>
      <c r="W43" s="257">
        <f>Model!E166</f>
        <v>0.211735490955125</v>
      </c>
      <c r="X43" s="214">
        <f>Model!F166</f>
        <v>5</v>
      </c>
      <c r="Y43" s="214">
        <f>Model!G166</f>
        <v>5.5</v>
      </c>
      <c r="Z43" s="214">
        <f>Model!H166</f>
        <v>6</v>
      </c>
      <c r="AA43" s="214">
        <f>Model!I166</f>
        <v>6.5</v>
      </c>
      <c r="AB43" s="214">
        <f>Model!J166</f>
        <v>7</v>
      </c>
      <c r="AD43" s="33"/>
      <c r="AE43" s="258">
        <f>Model!M166</f>
        <v>2.6123967897992326</v>
      </c>
      <c r="AF43" s="214">
        <f>Model!N166</f>
        <v>5</v>
      </c>
      <c r="AG43" s="214">
        <f>Model!O166</f>
        <v>5.5</v>
      </c>
      <c r="AH43" s="214">
        <f>Model!P166</f>
        <v>6</v>
      </c>
      <c r="AI43" s="214">
        <f>Model!Q166</f>
        <v>6.5</v>
      </c>
      <c r="AJ43" s="214">
        <f>Model!R166</f>
        <v>7</v>
      </c>
    </row>
    <row r="44" ht="12.75" customHeight="1">
      <c r="I44" t="s" s="198">
        <v>46</v>
      </c>
      <c r="J44" s="208"/>
      <c r="K44" s="208"/>
      <c r="L44" s="208"/>
      <c r="M44" s="208"/>
      <c r="N44" s="199">
        <f>Model!I73</f>
        <v>342.59497756278694</v>
      </c>
      <c r="O44" s="199">
        <f>Model!J73</f>
        <v>446.1779891989903</v>
      </c>
      <c r="P44" s="199">
        <f>Model!K73</f>
        <v>561.1009769031426</v>
      </c>
      <c r="Q44" s="199">
        <f>Model!L73</f>
        <v>680.3283637201607</v>
      </c>
      <c r="R44" s="199">
        <f>Model!M73</f>
        <v>805.7896786444853</v>
      </c>
      <c r="S44" s="119"/>
      <c r="T44" s="119"/>
      <c r="V44" t="s" s="14">
        <v>378</v>
      </c>
      <c r="W44" s="215">
        <f>Model!E167</f>
        <v>-0.02</v>
      </c>
      <c r="X44" s="126">
        <f>Model!F167</f>
        <v>0.1944745546783364</v>
      </c>
      <c r="Y44" s="126">
        <f>Model!G167</f>
        <v>0.2304811061583103</v>
      </c>
      <c r="Z44" s="126">
        <f>Model!H167</f>
        <v>0.2627082655772346</v>
      </c>
      <c r="AA44" s="126">
        <f>Model!I167</f>
        <v>0.29194614099186067</v>
      </c>
      <c r="AB44" s="126">
        <f>Model!J167</f>
        <v>0.318754386570153</v>
      </c>
      <c r="AD44" t="s" s="14">
        <v>378</v>
      </c>
      <c r="AE44" s="215">
        <f>Model!M167</f>
        <v>-0.02</v>
      </c>
      <c r="AF44" s="209">
        <f>Model!N167</f>
        <v>2.4315573271214332</v>
      </c>
      <c r="AG44" s="209">
        <f>Model!O167</f>
        <v>2.8208159318331782</v>
      </c>
      <c r="AH44" s="209">
        <f>Model!P167</f>
        <v>3.210074536544924</v>
      </c>
      <c r="AI44" s="209">
        <f>Model!Q167</f>
        <v>3.5993331412566696</v>
      </c>
      <c r="AJ44" s="209">
        <f>Model!R167</f>
        <v>3.9885917459684146</v>
      </c>
    </row>
    <row r="45" ht="12.75" customHeight="1">
      <c r="I45" t="s" s="198">
        <v>47</v>
      </c>
      <c r="J45" s="208"/>
      <c r="K45" s="208"/>
      <c r="L45" s="208"/>
      <c r="M45" s="208"/>
      <c r="N45" s="199">
        <f>Model!I74</f>
        <v>1394.5042060950002</v>
      </c>
      <c r="O45" s="199">
        <f>Model!J74</f>
        <v>1416.4160712702</v>
      </c>
      <c r="P45" s="199">
        <f>Model!K74</f>
        <v>1447.3143444113357</v>
      </c>
      <c r="Q45" s="199">
        <f>Model!L74</f>
        <v>1484.5439719927062</v>
      </c>
      <c r="R45" s="199">
        <f>Model!M74</f>
        <v>1528.117023957027</v>
      </c>
      <c r="S45" s="119"/>
      <c r="T45" s="119"/>
      <c r="V45" s="33"/>
      <c r="W45" s="215">
        <f>Model!E168</f>
        <v>-0.01</v>
      </c>
      <c r="X45" s="126">
        <f>Model!F168</f>
        <v>0.16724381179269732</v>
      </c>
      <c r="Y45" s="126">
        <f>Model!G168</f>
        <v>0.20455169347092683</v>
      </c>
      <c r="Z45" s="126">
        <f>Model!H168</f>
        <v>0.23773919111524844</v>
      </c>
      <c r="AA45" s="126">
        <f>Model!I168</f>
        <v>0.26770731995362906</v>
      </c>
      <c r="AB45" s="126">
        <f>Model!J168</f>
        <v>0.29508348980427446</v>
      </c>
      <c r="AD45" s="33"/>
      <c r="AE45" s="215">
        <f>Model!M168</f>
        <v>-0.01</v>
      </c>
      <c r="AF45" s="209">
        <f>Model!N168</f>
        <v>2.1667454879804033</v>
      </c>
      <c r="AG45" s="209">
        <f>Model!O168</f>
        <v>2.5358713239713038</v>
      </c>
      <c r="AH45" s="209">
        <f>Model!P168</f>
        <v>2.9049971599622038</v>
      </c>
      <c r="AI45" s="209">
        <f>Model!Q168</f>
        <v>3.274122995953105</v>
      </c>
      <c r="AJ45" s="209">
        <f>Model!R168</f>
        <v>3.6432488319440046</v>
      </c>
    </row>
    <row r="46" ht="12.75" customHeight="1">
      <c r="I46" t="s" s="198">
        <v>242</v>
      </c>
      <c r="J46" s="208"/>
      <c r="K46" s="208"/>
      <c r="L46" s="208"/>
      <c r="M46" s="208"/>
      <c r="N46" s="199">
        <f>Model!I75</f>
        <v>-1131.621491</v>
      </c>
      <c r="O46" s="199">
        <f>Model!J75</f>
        <v>-1130.8194017120002</v>
      </c>
      <c r="P46" s="199">
        <f>Model!K75</f>
        <v>-1151.1209359121476</v>
      </c>
      <c r="Q46" s="199">
        <f>Model!L75</f>
        <v>-1164.8020214061835</v>
      </c>
      <c r="R46" s="199">
        <f>Model!M75</f>
        <v>-1183.0053351066629</v>
      </c>
      <c r="S46" s="119"/>
      <c r="T46" s="119"/>
      <c r="V46" s="33"/>
      <c r="W46" s="215">
        <f>Model!E169</f>
        <v>0</v>
      </c>
      <c r="X46" s="126">
        <f>Model!F169</f>
        <v>0.13848765810496078</v>
      </c>
      <c r="Y46" s="126">
        <f>Model!G169</f>
        <v>0.17738672250432508</v>
      </c>
      <c r="Z46" s="127">
        <f>Model!H169</f>
        <v>0.211735490955125</v>
      </c>
      <c r="AA46" s="126">
        <f>Model!I169</f>
        <v>0.242580510869856</v>
      </c>
      <c r="AB46" s="126">
        <f>Model!J169</f>
        <v>0.2706359042880413</v>
      </c>
      <c r="AD46" s="33"/>
      <c r="AE46" s="215">
        <f>Model!M169</f>
        <v>0</v>
      </c>
      <c r="AF46" s="209">
        <f>Model!N169</f>
        <v>1.9126769969801478</v>
      </c>
      <c r="AG46" s="209">
        <f>Model!O169</f>
        <v>2.26253689338969</v>
      </c>
      <c r="AH46" s="210">
        <f>Model!P169</f>
        <v>2.6123967897992326</v>
      </c>
      <c r="AI46" s="209">
        <f>Model!Q169</f>
        <v>2.9622566862087756</v>
      </c>
      <c r="AJ46" s="209">
        <f>Model!R169</f>
        <v>3.3121165826183177</v>
      </c>
    </row>
    <row r="47" ht="12.75" customHeight="1">
      <c r="I47" t="s" s="198">
        <v>80</v>
      </c>
      <c r="J47" s="208"/>
      <c r="K47" s="208"/>
      <c r="L47" s="208"/>
      <c r="M47" s="208"/>
      <c r="N47" s="199">
        <f>Model!I76</f>
        <v>33.23379571428571</v>
      </c>
      <c r="O47" s="199">
        <f>Model!J76</f>
        <v>33.23379571428571</v>
      </c>
      <c r="P47" s="199">
        <f>Model!K76</f>
        <v>33.23379571428571</v>
      </c>
      <c r="Q47" s="199">
        <f>Model!L76</f>
        <v>33.23379571428571</v>
      </c>
      <c r="R47" s="199">
        <f>Model!M76</f>
        <v>33.23379571428571</v>
      </c>
      <c r="S47" s="119"/>
      <c r="T47" s="119"/>
      <c r="V47" s="33"/>
      <c r="W47" s="215">
        <f>Model!E170</f>
        <v>0.01</v>
      </c>
      <c r="X47" s="126">
        <f>Model!F170</f>
        <v>0.10787575300740215</v>
      </c>
      <c r="Y47" s="126">
        <f>Model!G170</f>
        <v>0.148747400466118</v>
      </c>
      <c r="Z47" s="126">
        <f>Model!H170</f>
        <v>0.18451460903634098</v>
      </c>
      <c r="AA47" s="126">
        <f>Model!I170</f>
        <v>0.21642030613761287</v>
      </c>
      <c r="AB47" s="126">
        <f>Model!J170</f>
        <v>0.24529214198789462</v>
      </c>
      <c r="AD47" s="33"/>
      <c r="AE47" s="215">
        <f>Model!M170</f>
        <v>0.01</v>
      </c>
      <c r="AF47" s="209">
        <f>Model!N170</f>
        <v>1.6689959679220339</v>
      </c>
      <c r="AG47" s="209">
        <f>Model!O170</f>
        <v>2.000427002068856</v>
      </c>
      <c r="AH47" s="209">
        <f>Model!P170</f>
        <v>2.3318580362156784</v>
      </c>
      <c r="AI47" s="209">
        <f>Model!Q170</f>
        <v>2.6632890703625</v>
      </c>
      <c r="AJ47" s="209">
        <f>Model!R170</f>
        <v>2.9947201045093226</v>
      </c>
    </row>
    <row r="48" ht="12.75" customHeight="1">
      <c r="I48" t="s" s="198">
        <v>49</v>
      </c>
      <c r="J48" s="208"/>
      <c r="K48" s="208"/>
      <c r="L48" s="208"/>
      <c r="M48" s="208"/>
      <c r="N48" s="199">
        <f>Model!I77</f>
        <v>-0.5311902299999929</v>
      </c>
      <c r="O48" s="199">
        <f>Model!J77</f>
        <v>-0.8268628368000009</v>
      </c>
      <c r="P48" s="199">
        <f>Model!K77</f>
        <v>-1.1659725713636089</v>
      </c>
      <c r="Q48" s="199">
        <f>Model!L77</f>
        <v>-1.4048916068441668</v>
      </c>
      <c r="R48" s="199">
        <f>Model!M77</f>
        <v>-1.6442661118611615</v>
      </c>
      <c r="S48" s="119"/>
      <c r="T48" s="119"/>
      <c r="V48" s="33"/>
      <c r="W48" s="215">
        <f>Model!E171</f>
        <v>0.02</v>
      </c>
      <c r="X48" s="126">
        <f>Model!F171</f>
        <v>0.07495897931922535</v>
      </c>
      <c r="Y48" s="126">
        <f>Model!G171</f>
        <v>0.11832025340982466</v>
      </c>
      <c r="Z48" s="126">
        <f>Model!H171</f>
        <v>0.15584296266994868</v>
      </c>
      <c r="AA48" s="126">
        <f>Model!I171</f>
        <v>0.189044268533493</v>
      </c>
      <c r="AB48" s="126">
        <f>Model!J171</f>
        <v>0.21890459315182254</v>
      </c>
      <c r="AD48" s="33"/>
      <c r="AE48" s="215">
        <f>Model!M171</f>
        <v>0.02</v>
      </c>
      <c r="AF48" s="209">
        <f>Model!N171</f>
        <v>1.4353554378086506</v>
      </c>
      <c r="AG48" s="209">
        <f>Model!O171</f>
        <v>1.749165695621191</v>
      </c>
      <c r="AH48" s="209">
        <f>Model!P171</f>
        <v>2.0629759534337313</v>
      </c>
      <c r="AI48" s="209">
        <f>Model!Q171</f>
        <v>2.376786211246271</v>
      </c>
      <c r="AJ48" s="209">
        <f>Model!R171</f>
        <v>2.6905964690588116</v>
      </c>
    </row>
    <row r="49" ht="12.75" customHeight="1">
      <c r="I49" t="s" s="198">
        <v>243</v>
      </c>
      <c r="J49" s="208"/>
      <c r="K49" s="208"/>
      <c r="L49" s="208"/>
      <c r="M49" s="208"/>
      <c r="N49" s="199">
        <f>Model!I78</f>
        <v>-178.91752078200003</v>
      </c>
      <c r="O49" s="199">
        <f>Model!J78</f>
        <v>-181.72885442712</v>
      </c>
      <c r="P49" s="199">
        <f>Model!K78</f>
        <v>-185.6931611697563</v>
      </c>
      <c r="Q49" s="199">
        <f>Model!L78</f>
        <v>-190.46979263302646</v>
      </c>
      <c r="R49" s="199">
        <f>Model!M78</f>
        <v>-196.06029741335442</v>
      </c>
      <c r="S49" s="119"/>
      <c r="T49" s="119"/>
    </row>
    <row r="50" ht="12.75" customHeight="1">
      <c r="I50" t="s" s="198">
        <v>50</v>
      </c>
      <c r="J50" s="208"/>
      <c r="K50" s="208"/>
      <c r="L50" s="208"/>
      <c r="M50" s="208"/>
      <c r="N50" s="199">
        <f>Model!I79</f>
        <v>-87.41986499999999</v>
      </c>
      <c r="O50" s="199">
        <f>Model!J79</f>
        <v>-87.41986499999999</v>
      </c>
      <c r="P50" s="199">
        <f>Model!K79</f>
        <v>-87.41986499999999</v>
      </c>
      <c r="Q50" s="199">
        <f>Model!L79</f>
        <v>-87.41986499999999</v>
      </c>
      <c r="R50" s="199">
        <f>Model!M79</f>
        <v>-87.41986499999999</v>
      </c>
      <c r="S50" s="119"/>
      <c r="T50" s="119"/>
    </row>
    <row r="51" ht="12.75" customHeight="1">
      <c r="I51" t="s" s="85">
        <v>311</v>
      </c>
      <c r="J51" s="121"/>
      <c r="K51" s="121"/>
      <c r="L51" s="121"/>
      <c r="M51" s="121"/>
      <c r="N51" s="122">
        <f>Model!I80</f>
        <v>371.8429123600728</v>
      </c>
      <c r="O51" s="122">
        <f>Model!J80</f>
        <v>495.032872207556</v>
      </c>
      <c r="P51" s="122">
        <f>Model!K80</f>
        <v>616.2491823754965</v>
      </c>
      <c r="Q51" s="122">
        <f>Model!L80</f>
        <v>754.0095607810986</v>
      </c>
      <c r="R51" s="122">
        <f>Model!M80</f>
        <v>899.0107346839194</v>
      </c>
      <c r="S51" s="119"/>
      <c r="T51" s="119"/>
    </row>
    <row r="52" ht="12.75" customHeight="1">
      <c r="I52" t="s" s="198">
        <v>312</v>
      </c>
      <c r="J52" s="208"/>
      <c r="K52" s="208"/>
      <c r="L52" s="208"/>
      <c r="M52" s="208"/>
      <c r="N52" s="199">
        <f>Model!I81+Model!I83+Model!I85</f>
        <v>-371.8429123600728</v>
      </c>
      <c r="O52" s="199">
        <f>Model!J81+Model!J83+Model!J85</f>
        <v>-495.032872207556</v>
      </c>
      <c r="P52" s="199">
        <f>Model!K81+Model!K83+Model!K85</f>
        <v>-616.2491823754965</v>
      </c>
      <c r="Q52" s="199">
        <f>Model!L81+Model!L83+Model!L85</f>
        <v>-754.0095607810986</v>
      </c>
      <c r="R52" s="199">
        <f>Model!M81+Model!M83+Model!M85</f>
        <v>-899.0107346839194</v>
      </c>
      <c r="S52" s="119"/>
      <c r="T52" s="119"/>
    </row>
    <row r="53" ht="12.75" customHeight="1">
      <c r="J53" s="119"/>
      <c r="K53" s="119"/>
      <c r="L53" s="119"/>
      <c r="M53" s="119"/>
      <c r="N53" s="119"/>
      <c r="O53" s="119"/>
      <c r="P53" s="119"/>
      <c r="Q53" s="119"/>
      <c r="R53" s="119"/>
      <c r="S53" s="119"/>
      <c r="T53" s="119"/>
    </row>
    <row r="54" ht="12.75" customHeight="1">
      <c r="I54" t="s" s="13">
        <v>112</v>
      </c>
      <c r="J54" s="119"/>
      <c r="K54" s="119"/>
      <c r="L54" s="119"/>
      <c r="M54" s="119"/>
      <c r="N54" s="119"/>
      <c r="O54" s="119"/>
      <c r="P54" s="119"/>
      <c r="Q54" s="119"/>
      <c r="R54" s="119"/>
      <c r="S54" s="119"/>
      <c r="T54" s="119"/>
    </row>
    <row r="55" ht="12.75" customHeight="1">
      <c r="I55" t="s" s="3">
        <v>81</v>
      </c>
      <c r="J55" s="119"/>
      <c r="K55" s="119"/>
      <c r="L55" s="119"/>
      <c r="M55" s="99">
        <f>Model!H120</f>
        <v>11431.8285</v>
      </c>
      <c r="N55" s="99">
        <f>Model!I120</f>
        <v>10972.565722639927</v>
      </c>
      <c r="O55" s="99">
        <f>Model!J120</f>
        <v>10390.11298543237</v>
      </c>
      <c r="P55" s="99">
        <f>Model!K120</f>
        <v>9686.443938056875</v>
      </c>
      <c r="Q55" s="99">
        <f>Model!L120</f>
        <v>8845.014512275775</v>
      </c>
      <c r="R55" s="99">
        <f>Model!M120</f>
        <v>7858.5839125918565</v>
      </c>
      <c r="S55" s="119"/>
      <c r="T55" s="119"/>
    </row>
    <row r="56" ht="12.75" customHeight="1">
      <c r="I56" t="s" s="3">
        <v>113</v>
      </c>
      <c r="J56" s="119"/>
      <c r="K56" s="119"/>
      <c r="L56" s="119"/>
      <c r="M56" s="112">
        <f>Model!H122</f>
        <v>4.219848042217865</v>
      </c>
      <c r="N56" s="112">
        <f>Model!I122</f>
        <v>3.9155990185713523</v>
      </c>
      <c r="O56" s="112">
        <f>Model!J122</f>
        <v>3.5671502039234593</v>
      </c>
      <c r="P56" s="112">
        <f>Model!K122</f>
        <v>3.1823335174757053</v>
      </c>
      <c r="Q56" s="112">
        <f>Model!L122</f>
        <v>2.784964103291898</v>
      </c>
      <c r="R56" s="112">
        <f>Model!M122</f>
        <v>2.3681012035576487</v>
      </c>
      <c r="S56" s="119"/>
      <c r="T56" s="119"/>
    </row>
    <row r="57" ht="12.75" customHeight="1">
      <c r="I57" t="s" s="3">
        <v>114</v>
      </c>
      <c r="J57" s="119"/>
      <c r="K57" s="119"/>
      <c r="L57" s="119"/>
      <c r="M57" s="112">
        <f>Model!H123</f>
        <v>4.182934891865601</v>
      </c>
      <c r="N57" s="112">
        <f>Model!I123</f>
        <v>3.879913663682183</v>
      </c>
      <c r="O57" s="112">
        <f>Model!J123</f>
        <v>3.532818044023708</v>
      </c>
      <c r="P57" s="112">
        <f>Model!K123</f>
        <v>3.1494800416508704</v>
      </c>
      <c r="Q57" s="112">
        <f>Model!L123</f>
        <v>2.75347784513566</v>
      </c>
      <c r="R57" s="112">
        <f>Model!M123</f>
        <v>2.337967260472009</v>
      </c>
      <c r="S57" s="119"/>
      <c r="T57" s="119"/>
    </row>
    <row r="58" ht="12.75" customHeight="1">
      <c r="I58" t="s" s="3">
        <v>115</v>
      </c>
      <c r="J58" s="119"/>
      <c r="K58" s="119"/>
      <c r="L58" s="119"/>
      <c r="M58" s="112"/>
      <c r="N58" s="112">
        <f>Model!I125</f>
        <v>3.0534508177953765</v>
      </c>
      <c r="O58" s="112">
        <f>Model!J125</f>
        <v>3.3550235370753922</v>
      </c>
      <c r="P58" s="112">
        <f>Model!K125</f>
        <v>3.734126559738044</v>
      </c>
      <c r="Q58" s="112">
        <f>Model!L125</f>
        <v>4.22841359238109</v>
      </c>
      <c r="R58" s="112">
        <f>Model!M125</f>
        <v>4.8603028640992125</v>
      </c>
      <c r="S58" s="119"/>
      <c r="T58" s="119"/>
    </row>
    <row r="59" ht="12.75" customHeight="1"/>
    <row r="60" ht="12.75" customHeight="1"/>
    <row r="61" ht="12.75" customHeight="1">
      <c r="C61" t="s" s="26">
        <v>313</v>
      </c>
      <c r="D61" s="26"/>
      <c r="E61" s="26"/>
      <c r="F61" s="26"/>
      <c r="G61" s="26"/>
      <c r="H61" s="26"/>
      <c r="I61" t="s" s="26">
        <v>394</v>
      </c>
      <c r="J61" s="26"/>
      <c r="K61" s="26"/>
      <c r="L61" s="26"/>
    </row>
    <row r="62" ht="12.75" customHeight="1">
      <c r="C62" t="s" s="198">
        <v>267</v>
      </c>
      <c r="D62" s="198"/>
      <c r="E62" s="198"/>
      <c r="F62" s="263">
        <f>'Income Statement'!G21</f>
        <v>2689.8419999999996</v>
      </c>
      <c r="G62" s="264"/>
      <c r="H62" s="11"/>
      <c r="I62" t="s" s="198">
        <v>119</v>
      </c>
      <c r="J62" s="198"/>
      <c r="K62" s="198"/>
      <c r="L62" s="263">
        <f>Model!I139</f>
        <v>4505.505070000001</v>
      </c>
    </row>
    <row r="63" ht="12.75" customHeight="1">
      <c r="C63" t="s" s="198">
        <v>314</v>
      </c>
      <c r="D63" s="198"/>
      <c r="E63" s="198"/>
      <c r="F63" s="263">
        <f>(Model!M38-'Income Statement'!G5)*(1+'Income Statement'!G8/'Income Statement'!G5)</f>
        <v>281.8921022297166</v>
      </c>
      <c r="G63" s="264"/>
      <c r="H63" s="11"/>
      <c r="I63" t="s" s="198">
        <v>395</v>
      </c>
      <c r="J63" s="198"/>
      <c r="K63" s="198"/>
      <c r="L63" s="284">
        <f>-F87</f>
        <v>-407.63657</v>
      </c>
    </row>
    <row r="64" ht="12.75" customHeight="1">
      <c r="C64" t="s" s="198">
        <v>315</v>
      </c>
      <c r="D64" s="198"/>
      <c r="E64" s="198"/>
      <c r="F64" s="263">
        <f>-Model!M38*(Model!M45+'Income Statement'!G8/'Income Statement'!G5)</f>
        <v>121.28465707906564</v>
      </c>
      <c r="G64" s="264"/>
      <c r="H64" s="11"/>
      <c r="I64" t="s" s="198">
        <v>396</v>
      </c>
      <c r="J64" s="198"/>
      <c r="K64" s="198"/>
      <c r="L64" s="263">
        <f>(Model!M53-Model!Y4)*Model!Y15</f>
        <v>3606.2577389829867</v>
      </c>
    </row>
    <row r="65" ht="12.75" customHeight="1">
      <c r="C65" t="s" s="198">
        <v>316</v>
      </c>
      <c r="D65" s="198"/>
      <c r="E65" s="198"/>
      <c r="F65" s="263">
        <f>(Model!M40+Model!M46)-('Income Statement'!G6+'Income Statement'!G9)</f>
        <v>142.8281600598027</v>
      </c>
      <c r="G65" s="264"/>
      <c r="H65" s="11"/>
      <c r="I65" t="s" s="198">
        <v>397</v>
      </c>
      <c r="J65" s="198"/>
      <c r="K65" s="198"/>
      <c r="L65" s="263">
        <f>(Model!E6-Model!Y15)*Model!M53</f>
        <v>875.146781811155</v>
      </c>
    </row>
    <row r="66" ht="12.75" customHeight="1">
      <c r="C66" t="s" s="198">
        <v>317</v>
      </c>
      <c r="D66" s="198"/>
      <c r="E66" s="198"/>
      <c r="F66" s="263">
        <f>(Model!M42-'Income Statement'!G7)*'Income Statement'!G23/'Income Statement'!G7</f>
        <v>-171.81636350760127</v>
      </c>
      <c r="G66" s="264"/>
      <c r="H66" s="11"/>
      <c r="I66" t="s" s="198">
        <v>398</v>
      </c>
      <c r="J66" s="198"/>
      <c r="K66" s="198"/>
      <c r="L66" s="263">
        <f>Model!H121-Model!M121</f>
        <v>3573.244587408143</v>
      </c>
    </row>
    <row r="67" ht="12.75" customHeight="1">
      <c r="C67" t="s" s="198">
        <v>318</v>
      </c>
      <c r="D67" s="198"/>
      <c r="E67" s="198"/>
      <c r="F67" s="263">
        <f>-Model!M42*(Model!M52+'Income Statement'!G23/'Income Statement'!G7)</f>
        <v>254.48636427137328</v>
      </c>
      <c r="G67" s="264"/>
      <c r="H67" s="11"/>
      <c r="I67" t="s" s="198">
        <v>117</v>
      </c>
      <c r="J67" s="198"/>
      <c r="K67" s="198"/>
      <c r="L67" s="263">
        <f>Model!M137</f>
        <v>-382.3506269101142</v>
      </c>
    </row>
    <row r="68" ht="12.75" customHeight="1">
      <c r="C68" t="s" s="85">
        <v>136</v>
      </c>
      <c r="D68" s="85"/>
      <c r="E68" s="85"/>
      <c r="F68" s="139">
        <f>SUM(F62:F67)</f>
        <v>3318.516920132357</v>
      </c>
      <c r="G68" s="265"/>
      <c r="H68" s="11"/>
      <c r="I68" t="s" s="85">
        <v>399</v>
      </c>
      <c r="J68" s="85"/>
      <c r="K68" s="85"/>
      <c r="L68" s="139">
        <f>SUM(L62:L67)</f>
        <v>11770.16698129217</v>
      </c>
    </row>
    <row r="69" ht="12.75" customHeight="1">
      <c r="C69" t="s" s="204">
        <v>144</v>
      </c>
      <c r="D69" s="204"/>
      <c r="E69" s="204"/>
      <c r="F69" s="266">
        <f>Model!M53</f>
        <v>3318.516920132357</v>
      </c>
      <c r="G69" s="267"/>
      <c r="H69" s="11"/>
      <c r="I69" t="s" s="204">
        <v>400</v>
      </c>
      <c r="J69" s="204"/>
      <c r="K69" s="204"/>
      <c r="L69" s="266">
        <f>Model!M138</f>
        <v>11770.16698129217</v>
      </c>
    </row>
    <row r="70" ht="12.75" customHeight="1">
      <c r="C70" t="s" s="204">
        <v>93</v>
      </c>
      <c r="D70" s="204"/>
      <c r="E70" s="204"/>
      <c r="F70" s="268">
        <f>F68-F69</f>
        <v>0</v>
      </c>
      <c r="G70" s="267"/>
      <c r="H70" s="11"/>
      <c r="I70" t="s" s="204">
        <v>93</v>
      </c>
      <c r="J70" s="204"/>
      <c r="K70" s="204"/>
      <c r="L70" s="268">
        <f>L68-L69</f>
        <v>0</v>
      </c>
    </row>
    <row r="71" ht="12.75" customHeight="1">
      <c r="C71" t="s" s="26">
        <v>319</v>
      </c>
      <c r="D71" s="26"/>
      <c r="E71" s="26"/>
      <c r="F71" s="96"/>
      <c r="G71" s="96"/>
      <c r="H71" s="96"/>
      <c r="I71" s="96"/>
      <c r="J71" s="96"/>
      <c r="K71" s="96"/>
    </row>
    <row r="72" ht="12.75" customHeight="1">
      <c r="C72" s="116"/>
      <c r="D72" s="116"/>
      <c r="E72" s="116"/>
      <c r="F72" s="138">
        <f>Model!H28</f>
        <v>46387</v>
      </c>
      <c r="G72" s="138">
        <f>Model!I28</f>
        <v>46752</v>
      </c>
      <c r="H72" s="138">
        <f>Model!J28</f>
        <v>47118</v>
      </c>
      <c r="I72" s="138">
        <f>Model!K28</f>
        <v>47483</v>
      </c>
      <c r="J72" s="138">
        <f>Model!L28</f>
        <v>47848</v>
      </c>
      <c r="K72" s="138">
        <f>Model!M28</f>
        <v>48213</v>
      </c>
    </row>
    <row r="73" ht="12.75" customHeight="1">
      <c r="C73" t="s" s="198">
        <v>35</v>
      </c>
      <c r="D73" s="198"/>
      <c r="E73" s="198"/>
      <c r="F73" s="199">
        <f>Model!H42</f>
        <v>5209.161000000001</v>
      </c>
      <c r="G73" s="199">
        <f>Model!I42</f>
        <v>5262.280023</v>
      </c>
      <c r="H73" s="199">
        <f>Model!J42</f>
        <v>5344.96630668</v>
      </c>
      <c r="I73" s="199">
        <f>Model!K42</f>
        <v>5461.563563816361</v>
      </c>
      <c r="J73" s="199">
        <f>Model!L42</f>
        <v>5602.052724500778</v>
      </c>
      <c r="K73" s="199">
        <f>Model!M42</f>
        <v>5766.479335686894</v>
      </c>
    </row>
    <row r="74" ht="12.75" customHeight="1">
      <c r="C74" t="s" s="204">
        <v>36</v>
      </c>
      <c r="D74" s="204"/>
      <c r="E74" s="204"/>
      <c r="F74" s="201">
        <f>Model!H43</f>
        <v>0.01562897250926132</v>
      </c>
      <c r="G74" s="201">
        <f>Model!I43</f>
        <v>0.010197231953475772</v>
      </c>
      <c r="H74" s="201">
        <f>Model!J43</f>
        <v>0.015713014761396416</v>
      </c>
      <c r="I74" s="201">
        <f>Model!K43</f>
        <v>0.021814404515635655</v>
      </c>
      <c r="J74" s="201">
        <f>Model!L43</f>
        <v>0.025723249220274136</v>
      </c>
      <c r="K74" s="201">
        <f>Model!M43</f>
        <v>0.0293511359625358</v>
      </c>
    </row>
    <row r="75" ht="12.75" customHeight="1">
      <c r="C75" t="s" s="198">
        <v>38</v>
      </c>
      <c r="D75" s="198"/>
      <c r="E75" s="198"/>
      <c r="F75" s="199">
        <f>Model!H48</f>
        <v>4193.672535000001</v>
      </c>
      <c r="G75" s="199">
        <f>Model!I48</f>
        <v>4249.39702187</v>
      </c>
      <c r="H75" s="199">
        <f>Model!J48</f>
        <v>4329.13698052836</v>
      </c>
      <c r="I75" s="199">
        <f>Model!K48</f>
        <v>4436.516675954805</v>
      </c>
      <c r="J75" s="199">
        <f>Model!L48</f>
        <v>4565.297772198616</v>
      </c>
      <c r="K75" s="199">
        <f>Model!M48</f>
        <v>4714.004919368585</v>
      </c>
    </row>
    <row r="76" ht="12.75" customHeight="1">
      <c r="C76" t="s" s="198">
        <v>241</v>
      </c>
      <c r="D76" s="198"/>
      <c r="E76" s="198"/>
      <c r="F76" s="199">
        <f>Model!H51</f>
        <v>-1484.610885</v>
      </c>
      <c r="G76" s="199">
        <f>Model!I51</f>
        <v>-1447.1270063250001</v>
      </c>
      <c r="H76" s="199">
        <f>Model!J51</f>
        <v>-1416.4160712702</v>
      </c>
      <c r="I76" s="199">
        <f>Model!K51</f>
        <v>-1392.698708773172</v>
      </c>
      <c r="J76" s="199">
        <f>Model!L51</f>
        <v>-1389.3090756761928</v>
      </c>
      <c r="K76" s="199">
        <f>Model!M51</f>
        <v>-1395.4879992362282</v>
      </c>
    </row>
    <row r="77" ht="12.75" customHeight="1">
      <c r="C77" t="s" s="85">
        <v>90</v>
      </c>
      <c r="D77" s="85"/>
      <c r="E77" s="85"/>
      <c r="F77" s="137">
        <f>F75+F76</f>
        <v>2709.0616500000006</v>
      </c>
      <c r="G77" s="137">
        <f>G75+G76</f>
        <v>2802.2700155449993</v>
      </c>
      <c r="H77" s="137">
        <f>H75+H76</f>
        <v>2912.72090925816</v>
      </c>
      <c r="I77" s="137">
        <f>I75+I76</f>
        <v>3043.8179671816324</v>
      </c>
      <c r="J77" s="137">
        <f>J75+J76</f>
        <v>3175.988696522423</v>
      </c>
      <c r="K77" s="137">
        <f>K75+K76</f>
        <v>3318.516920132357</v>
      </c>
    </row>
    <row r="78" ht="12.75" customHeight="1">
      <c r="C78" t="s" s="269">
        <v>39</v>
      </c>
      <c r="D78" s="269"/>
      <c r="E78" s="269"/>
      <c r="F78" s="270">
        <f>F77/F73</f>
        <v>0.5200571934712711</v>
      </c>
      <c r="G78" s="270">
        <f>G77/G73</f>
        <v>0.5325201249832842</v>
      </c>
      <c r="H78" s="270">
        <f>H77/H73</f>
        <v>0.5449465426223393</v>
      </c>
      <c r="I78" s="270">
        <f>I77/I73</f>
        <v>0.5573162211911917</v>
      </c>
      <c r="J78" s="270">
        <f>J77/J73</f>
        <v>0.5669330248592848</v>
      </c>
      <c r="K78" s="270">
        <f>K77/K73</f>
        <v>0.5754840565533841</v>
      </c>
    </row>
    <row r="79" ht="12.75" customHeight="1">
      <c r="C79" t="s" s="198">
        <v>242</v>
      </c>
      <c r="D79" s="198"/>
      <c r="E79" s="198"/>
      <c r="F79" s="199">
        <f>Model!H65</f>
        <v>-1137.3120000000001</v>
      </c>
      <c r="G79" s="199">
        <f>Model!I65</f>
        <v>-1131.621491</v>
      </c>
      <c r="H79" s="199">
        <f>Model!J65</f>
        <v>-1130.8194017120002</v>
      </c>
      <c r="I79" s="199">
        <f>Model!K65</f>
        <v>-1151.1209359121476</v>
      </c>
      <c r="J79" s="199">
        <f>Model!L65</f>
        <v>-1164.8020214061835</v>
      </c>
      <c r="K79" s="199">
        <f>Model!M65</f>
        <v>-1183.0053351066629</v>
      </c>
    </row>
    <row r="80" ht="12.75" customHeight="1">
      <c r="C80" t="s" s="198">
        <v>243</v>
      </c>
      <c r="D80" s="198"/>
      <c r="E80" s="198"/>
      <c r="F80" s="199">
        <f>Model!H67</f>
        <v>-177.11147400000004</v>
      </c>
      <c r="G80" s="199">
        <f>Model!I67</f>
        <v>-178.91752078200003</v>
      </c>
      <c r="H80" s="199">
        <f>Model!J67</f>
        <v>-181.72885442712</v>
      </c>
      <c r="I80" s="199">
        <f>Model!K67</f>
        <v>-185.6931611697563</v>
      </c>
      <c r="J80" s="199">
        <f>Model!L67</f>
        <v>-190.46979263302646</v>
      </c>
      <c r="K80" s="199">
        <f>Model!M67</f>
        <v>-196.06029741335442</v>
      </c>
    </row>
    <row r="81" ht="12.75" customHeight="1">
      <c r="C81" t="s" s="198">
        <v>49</v>
      </c>
      <c r="D81" s="198"/>
      <c r="E81" s="198"/>
      <c r="F81" s="199">
        <f>-Model!$M$6*(Model!H42-Model!G42)</f>
        <v>-0.8016100000000097</v>
      </c>
      <c r="G81" s="199">
        <f>-Model!$M$6*(Model!I42-Model!H42)</f>
        <v>-0.5311902299999929</v>
      </c>
      <c r="H81" s="199">
        <f>-Model!$M$6*(Model!J42-Model!I42)</f>
        <v>-0.8268628368000009</v>
      </c>
      <c r="I81" s="199">
        <f>-Model!$M$6*(Model!K42-Model!J42)</f>
        <v>-1.1659725713636089</v>
      </c>
      <c r="J81" s="199">
        <f>-Model!$M$6*(Model!L42-Model!K42)</f>
        <v>-1.4048916068441668</v>
      </c>
      <c r="K81" s="199">
        <f>-Model!$M$6*(Model!M42-Model!L42)</f>
        <v>-1.6442661118611615</v>
      </c>
    </row>
    <row r="82" ht="12.75" customHeight="1">
      <c r="C82" t="s" s="85">
        <v>145</v>
      </c>
      <c r="D82" s="85"/>
      <c r="E82" s="85"/>
      <c r="F82" s="137">
        <f>F77+F79+F80+F81</f>
        <v>1393.8365660000004</v>
      </c>
      <c r="G82" s="137">
        <f>G77+G79+G80+G81</f>
        <v>1491.199813532999</v>
      </c>
      <c r="H82" s="137">
        <f>H77+H79+H80+H81</f>
        <v>1599.34579028224</v>
      </c>
      <c r="I82" s="137">
        <f>I77+I79+I80+I81</f>
        <v>1705.8378975283647</v>
      </c>
      <c r="J82" s="137">
        <f>J77+J79+J80+J81</f>
        <v>1819.3119908763692</v>
      </c>
      <c r="K82" s="137">
        <f>K77+K79+K80+K81</f>
        <v>1937.8070215004786</v>
      </c>
    </row>
    <row r="83" ht="12.75" customHeight="1">
      <c r="C83" t="s" s="204">
        <v>146</v>
      </c>
      <c r="D83" s="204"/>
      <c r="E83" s="204"/>
      <c r="F83" s="270">
        <f>F82/F77</f>
        <v>0.5145089872724011</v>
      </c>
      <c r="G83" s="270">
        <f>G82/G77</f>
        <v>0.5321399455658749</v>
      </c>
      <c r="H83" s="270">
        <f>H82/H77</f>
        <v>0.5490899540696389</v>
      </c>
      <c r="I83" s="270">
        <f>I82/I77</f>
        <v>0.5604270412753539</v>
      </c>
      <c r="J83" s="270">
        <f>J82/J77</f>
        <v>0.5728332701147334</v>
      </c>
      <c r="K83" s="270">
        <f>K82/K77</f>
        <v>0.5839376649684794</v>
      </c>
    </row>
    <row r="84" ht="12.75" customHeight="1">
      <c r="C84" t="s" s="204">
        <v>147</v>
      </c>
      <c r="D84" s="204"/>
      <c r="E84" s="204"/>
      <c r="F84" s="266">
        <f>F77-Model!H53</f>
        <v>0</v>
      </c>
      <c r="G84" s="266">
        <f>G77-Model!I53</f>
        <v>0</v>
      </c>
      <c r="H84" s="266">
        <f>H77-Model!J53</f>
        <v>0</v>
      </c>
      <c r="I84" s="266">
        <f>I77-Model!K53</f>
        <v>0</v>
      </c>
      <c r="J84" s="266">
        <f>J77-Model!L53</f>
        <v>0</v>
      </c>
      <c r="K84" s="266">
        <f>K77-Model!M53</f>
        <v>0</v>
      </c>
    </row>
    <row r="85" ht="12.75" customHeight="1">
      <c r="F85" s="11"/>
      <c r="G85" s="11"/>
      <c r="H85" s="11"/>
      <c r="I85" s="11"/>
      <c r="J85" s="11"/>
      <c r="K85" s="11"/>
    </row>
    <row r="86" ht="12.75" customHeight="1">
      <c r="C86" t="s" s="26">
        <v>148</v>
      </c>
      <c r="D86" s="26"/>
      <c r="E86" s="26"/>
      <c r="F86" s="96"/>
      <c r="G86" s="96"/>
      <c r="H86" s="96"/>
      <c r="I86" s="96"/>
      <c r="J86" s="96"/>
      <c r="K86" s="96"/>
    </row>
    <row r="87" ht="12.75" customHeight="1">
      <c r="C87" t="s" s="3">
        <v>149</v>
      </c>
      <c r="F87" s="140">
        <f>F16+F17</f>
        <v>407.63657</v>
      </c>
      <c r="G87" s="118">
        <f>F87/F18</f>
        <v>0.02557746364594664</v>
      </c>
      <c r="H87" s="11"/>
      <c r="I87" s="11"/>
      <c r="J87" s="11"/>
      <c r="K87" s="11"/>
    </row>
    <row r="88" ht="12.75" customHeight="1">
      <c r="C88" t="s" s="3">
        <v>320</v>
      </c>
      <c r="F88" s="195">
        <f>_xlfn.FORECAST.LINEAR(Model!M5,Model!F148:J148,Model!F151:J151)</f>
        <v>10.339647345028673</v>
      </c>
      <c r="G88" s="216">
        <f>F88/Model!E5-1</f>
        <v>0.0339647345028673</v>
      </c>
      <c r="H88" s="11"/>
      <c r="I88" s="11"/>
      <c r="J88" s="11"/>
      <c r="K88" s="11"/>
    </row>
    <row r="89" ht="12.75" customHeight="1">
      <c r="C89" t="s" s="3">
        <v>321</v>
      </c>
      <c r="F89" s="99">
        <f>F88*Model!Y9</f>
        <v>7858.131982221792</v>
      </c>
      <c r="G89" s="119"/>
      <c r="H89" s="11"/>
      <c r="I89" s="11"/>
      <c r="J89" s="11"/>
      <c r="K89" s="11"/>
    </row>
    <row r="90" ht="12.75" customHeight="1">
      <c r="C90" t="s" s="3">
        <v>322</v>
      </c>
      <c r="F90" s="171">
        <f>(F89+Model!Y11+Model!Y12)/Model!Y4</f>
        <v>5.832249248179556</v>
      </c>
      <c r="G90" s="101"/>
      <c r="H90" s="11"/>
      <c r="I90" s="11"/>
      <c r="J90" s="11"/>
      <c r="K90" s="11"/>
    </row>
    <row r="91" ht="12.75" customHeight="1"/>
    <row r="92" ht="12.75" customHeight="1">
      <c r="C92" t="s" s="12">
        <v>393</v>
      </c>
    </row>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9" tint="0.7999816888943144"/>
  </sheetPr>
  <dimension ref="A1:A1"/>
  <sheetViews>
    <sheetView showGridLines="0" workbookViewId="0">
      <selection activeCell="A1" sqref="A1"/>
    </sheetView>
  </sheetViews>
  <sheetFormatPr defaultRowHeight="12.7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x14="http://schemas.microsoft.com/office/spreadsheetml/2009/9/main" xmlns:xr="http://schemas.microsoft.com/office/spreadsheetml/2014/revision" xmlns:xr2="http://schemas.microsoft.com/office/spreadsheetml/2015/revision2" xmlns:xr3="http://schemas.microsoft.com/office/spreadsheetml/2016/revision3" mc:Ignorable="x14ac">
  <sheetPr>
    <tabColor theme="9" tint="0.7999816888943144"/>
    <outlinePr summaryBelow="0" summaryRight="0"/>
  </sheetPr>
  <dimension ref="A1:I120"/>
  <sheetViews>
    <sheetView showGridLines="0" workbookViewId="0">
      <pane ySplit="4" topLeftCell="A5" activePane="bottomLeft" state="frozen"/>
      <selection pane="bottomLeft" activeCell="A1" sqref="A1"/>
    </sheetView>
  </sheetViews>
  <sheetFormatPr defaultRowHeight="12.75"/>
  <cols>
    <col min="1" max="1" width="36.06640625" customWidth="1" style="17"/>
    <col min="2" max="7" width="11.796875" customWidth="1" style="17"/>
    <col min="8" max="8" width="43.796875" customWidth="1" style="17"/>
    <col min="9" max="109" width="9.06640625" customWidth="0" style="17"/>
  </cols>
  <sheetData>
    <row r="1" ht="12.75" customHeight="1">
      <c r="A1" s="18"/>
      <c r="B1" s="18"/>
      <c r="C1" s="18"/>
      <c r="D1" s="18"/>
      <c r="E1" s="18"/>
      <c r="F1" s="18"/>
      <c r="G1" s="18"/>
      <c r="H1" s="18"/>
      <c r="I1" s="18"/>
    </row>
    <row r="2" ht="12.75" customHeight="1">
      <c r="A2" t="s" s="19">
        <v>82</v>
      </c>
      <c r="B2" s="19"/>
      <c r="C2" s="19"/>
      <c r="D2" s="19"/>
      <c r="E2" s="19"/>
      <c r="F2" s="19"/>
      <c r="G2" s="19"/>
      <c r="H2" s="19"/>
      <c r="I2" s="18"/>
    </row>
    <row r="3" ht="12.75" customHeight="1">
      <c r="A3" t="s" s="20">
        <v>150</v>
      </c>
      <c r="B3" s="18"/>
      <c r="C3" s="18"/>
      <c r="D3" s="18"/>
      <c r="E3" s="18"/>
      <c r="F3" s="18"/>
      <c r="G3" s="18"/>
      <c r="H3" s="18"/>
      <c r="I3" s="18"/>
    </row>
    <row r="4" ht="12.75" customHeight="1">
      <c r="A4" s="141"/>
      <c r="B4" t="s" s="142">
        <v>94</v>
      </c>
      <c r="C4" t="s" s="142">
        <v>95</v>
      </c>
      <c r="D4" t="s" s="142">
        <v>96</v>
      </c>
      <c r="E4" t="s" s="142">
        <v>151</v>
      </c>
      <c r="F4" t="s" s="142">
        <v>152</v>
      </c>
      <c r="G4" t="s" s="142">
        <v>153</v>
      </c>
      <c r="H4" t="s" s="141">
        <v>97</v>
      </c>
      <c r="I4" s="18"/>
    </row>
    <row r="5" ht="12.75" customHeight="1">
      <c r="A5" t="s" s="18">
        <v>154</v>
      </c>
      <c r="B5" s="21">
        <v>4179</v>
      </c>
      <c r="C5" s="21">
        <v>4293</v>
      </c>
      <c r="D5" s="21">
        <v>4354</v>
      </c>
      <c r="E5" s="21">
        <v>2173</v>
      </c>
      <c r="F5" s="21">
        <v>2163</v>
      </c>
      <c r="G5" s="143">
        <f>D5+F5-E5</f>
        <v>4344</v>
      </c>
      <c r="H5" t="s" s="24">
        <v>169</v>
      </c>
      <c r="I5" s="18"/>
    </row>
    <row r="6" ht="12.75" customHeight="1">
      <c r="A6" t="s" s="18">
        <v>155</v>
      </c>
      <c r="B6" s="21">
        <v>474</v>
      </c>
      <c r="C6" s="21">
        <v>605</v>
      </c>
      <c r="D6" s="21">
        <v>775</v>
      </c>
      <c r="E6" s="21">
        <v>381</v>
      </c>
      <c r="F6" s="21">
        <v>428</v>
      </c>
      <c r="G6" s="143">
        <f>D6+F6-E6</f>
        <v>822</v>
      </c>
      <c r="H6" s="24"/>
      <c r="I6" s="18"/>
    </row>
    <row r="7" ht="12.75" customHeight="1">
      <c r="A7" t="s" s="144">
        <v>87</v>
      </c>
      <c r="B7" s="145">
        <f>B5+B6</f>
        <v>4653</v>
      </c>
      <c r="C7" s="145">
        <f>C5+C6</f>
        <v>4898</v>
      </c>
      <c r="D7" s="145">
        <f>D5+D6</f>
        <v>5129</v>
      </c>
      <c r="E7" s="145">
        <f>E5+E6</f>
        <v>2554</v>
      </c>
      <c r="F7" s="145">
        <f>F5+F6</f>
        <v>2591</v>
      </c>
      <c r="G7" s="145">
        <f>G5+G6</f>
        <v>5166</v>
      </c>
      <c r="H7" s="24"/>
      <c r="I7" s="18"/>
    </row>
    <row r="8" ht="12.75" customHeight="1">
      <c r="A8" t="s" s="18">
        <v>156</v>
      </c>
      <c r="B8" s="21">
        <v>-604</v>
      </c>
      <c r="C8" s="21">
        <v>-617</v>
      </c>
      <c r="D8" s="21">
        <v>-642</v>
      </c>
      <c r="E8" s="21">
        <v>-320</v>
      </c>
      <c r="F8" s="21">
        <v>-312</v>
      </c>
      <c r="G8" s="143">
        <f>D8+F8-E8</f>
        <v>-634</v>
      </c>
      <c r="H8" t="s" s="24">
        <v>170</v>
      </c>
      <c r="I8" s="18"/>
    </row>
    <row r="9" ht="12.75" customHeight="1">
      <c r="A9" t="s" s="18">
        <v>157</v>
      </c>
      <c r="B9" s="21">
        <v>-147</v>
      </c>
      <c r="C9" s="21">
        <v>-230</v>
      </c>
      <c r="D9" s="21">
        <v>-341</v>
      </c>
      <c r="E9" s="21">
        <v>-171</v>
      </c>
      <c r="F9" s="21">
        <v>-194</v>
      </c>
      <c r="G9" s="143">
        <f>D9+F9-E9</f>
        <v>-364</v>
      </c>
      <c r="H9" s="24"/>
      <c r="I9" s="18"/>
    </row>
    <row r="10" ht="12.75" customHeight="1">
      <c r="A10" t="s" s="144">
        <v>88</v>
      </c>
      <c r="B10" s="145">
        <f>SUM(B7:B9)</f>
        <v>3902</v>
      </c>
      <c r="C10" s="145">
        <f>SUM(C7:C9)</f>
        <v>4051</v>
      </c>
      <c r="D10" s="145">
        <f>SUM(D7:D9)</f>
        <v>4146</v>
      </c>
      <c r="E10" s="145">
        <f>SUM(E7:E9)</f>
        <v>2063</v>
      </c>
      <c r="F10" s="145">
        <f>SUM(F7:F9)</f>
        <v>2085</v>
      </c>
      <c r="G10" s="145">
        <f>SUM(G7:G9)</f>
        <v>4168</v>
      </c>
      <c r="H10" s="24"/>
      <c r="I10" s="18"/>
    </row>
    <row r="11" ht="12.75" customHeight="1">
      <c r="A11" t="s" s="20">
        <v>89</v>
      </c>
      <c r="B11" s="146">
        <f>B10/B7</f>
        <v>0.8385987534923706</v>
      </c>
      <c r="C11" s="146">
        <f>C10/C7</f>
        <v>0.8270722743977134</v>
      </c>
      <c r="D11" s="146">
        <f>D10/D7</f>
        <v>0.8083447065704816</v>
      </c>
      <c r="E11" s="146">
        <f>E10/E7</f>
        <v>0.807752545027408</v>
      </c>
      <c r="F11" s="146">
        <f>F10/F7</f>
        <v>0.8047086067155539</v>
      </c>
      <c r="G11" s="146">
        <f>G10/G7</f>
        <v>0.8068137824235385</v>
      </c>
      <c r="H11" s="24"/>
      <c r="I11" s="18"/>
    </row>
    <row r="12" ht="12.75" customHeight="1">
      <c r="A12" t="s" s="18">
        <v>158</v>
      </c>
      <c r="B12" s="21">
        <v>-1348</v>
      </c>
      <c r="C12" s="21">
        <v>-1476</v>
      </c>
      <c r="D12" s="21">
        <v>-1470</v>
      </c>
      <c r="E12" s="21">
        <v>-725</v>
      </c>
      <c r="F12" s="21">
        <v>-751</v>
      </c>
      <c r="G12" s="143">
        <f>D12+F12-E12</f>
        <v>-1496</v>
      </c>
      <c r="H12" t="s" s="24">
        <v>171</v>
      </c>
      <c r="I12" s="18"/>
    </row>
    <row r="13" ht="12.75" customHeight="1">
      <c r="A13" t="s" s="18">
        <v>79</v>
      </c>
      <c r="B13" s="21">
        <v>-1335</v>
      </c>
      <c r="C13" s="21">
        <v>-1343</v>
      </c>
      <c r="D13" s="21">
        <v>-1367</v>
      </c>
      <c r="E13" s="21">
        <v>-678</v>
      </c>
      <c r="F13" s="21">
        <v>-692</v>
      </c>
      <c r="G13" s="143">
        <f>D13+F13-E13</f>
        <v>-1381</v>
      </c>
      <c r="H13" s="24"/>
      <c r="I13" s="18"/>
    </row>
    <row r="14" ht="12.75" customHeight="1">
      <c r="A14" t="s" s="18">
        <v>159</v>
      </c>
      <c r="B14" s="21">
        <v>-39</v>
      </c>
      <c r="C14" s="21">
        <v>-24</v>
      </c>
      <c r="D14" s="21">
        <v>0</v>
      </c>
      <c r="E14" s="21">
        <v>0</v>
      </c>
      <c r="F14" s="21">
        <v>0</v>
      </c>
      <c r="G14" s="143">
        <f>D14+F14-E14</f>
        <v>0</v>
      </c>
      <c r="H14" t="s" s="24">
        <v>172</v>
      </c>
      <c r="I14" s="18"/>
    </row>
    <row r="15" ht="12.75" customHeight="1">
      <c r="A15" t="s" s="144">
        <v>160</v>
      </c>
      <c r="B15" s="145">
        <f>B10+B12+B13+B14</f>
        <v>1180</v>
      </c>
      <c r="C15" s="145">
        <f>C10+C12+C13+C14</f>
        <v>1208</v>
      </c>
      <c r="D15" s="145">
        <f>D10+D12+D13+D14</f>
        <v>1309</v>
      </c>
      <c r="E15" s="145">
        <f>E10+E12+E13+E14</f>
        <v>660</v>
      </c>
      <c r="F15" s="145">
        <f>F10+F12+F13+F14</f>
        <v>642</v>
      </c>
      <c r="G15" s="145">
        <f>G10+G12+G13+G14</f>
        <v>1291</v>
      </c>
      <c r="H15" s="24"/>
      <c r="I15" s="18"/>
    </row>
    <row r="16" ht="12.75" customHeight="1">
      <c r="A16" t="s" s="18">
        <v>161</v>
      </c>
      <c r="B16" s="21">
        <v>-570</v>
      </c>
      <c r="C16" s="21">
        <v>-441</v>
      </c>
      <c r="D16" s="21">
        <v>-459</v>
      </c>
      <c r="E16" s="21">
        <v>-237</v>
      </c>
      <c r="F16" s="21">
        <v>-201</v>
      </c>
      <c r="G16" s="143">
        <f>D16+F16-E16</f>
        <v>-423</v>
      </c>
      <c r="H16" s="24"/>
      <c r="I16" s="18"/>
    </row>
    <row r="17" ht="12.75" customHeight="1">
      <c r="A17" t="s" s="18">
        <v>162</v>
      </c>
      <c r="B17" s="143">
        <f>B19-B15-B16-B18</f>
        <v>1</v>
      </c>
      <c r="C17" s="143">
        <f>C19-C15-C16-C18</f>
        <v>48</v>
      </c>
      <c r="D17" s="143">
        <f>D19-D15-D16-D18</f>
        <v>-16</v>
      </c>
      <c r="E17" s="143">
        <f>E19-E15-E16-E18</f>
        <v>-2</v>
      </c>
      <c r="F17" s="143">
        <f>F19-F15-F16-F18</f>
        <v>2</v>
      </c>
      <c r="G17" s="143">
        <f>D17+F17-E17</f>
        <v>-12</v>
      </c>
      <c r="H17" t="s" s="24">
        <v>173</v>
      </c>
      <c r="I17" s="18"/>
    </row>
    <row r="18" ht="12.75" customHeight="1">
      <c r="A18" t="s" s="18">
        <v>163</v>
      </c>
      <c r="B18" s="21">
        <v>-161</v>
      </c>
      <c r="C18" s="21">
        <v>-196</v>
      </c>
      <c r="D18" s="21">
        <v>-233</v>
      </c>
      <c r="E18" s="21">
        <v>-110</v>
      </c>
      <c r="F18" s="21">
        <v>-119</v>
      </c>
      <c r="G18" s="143">
        <f>D18+F18-E18</f>
        <v>-242</v>
      </c>
      <c r="H18" s="24"/>
      <c r="I18" s="18"/>
    </row>
    <row r="19" ht="12.75" customHeight="1">
      <c r="A19" t="s" s="144">
        <v>164</v>
      </c>
      <c r="B19" s="275">
        <v>450</v>
      </c>
      <c r="C19" s="275">
        <v>619</v>
      </c>
      <c r="D19" s="275">
        <v>601</v>
      </c>
      <c r="E19" s="275">
        <v>311</v>
      </c>
      <c r="F19" s="275">
        <v>324</v>
      </c>
      <c r="G19" s="145">
        <f>D19+F19-E19</f>
        <v>614</v>
      </c>
      <c r="H19" t="s" s="24">
        <v>174</v>
      </c>
      <c r="I19" s="18"/>
    </row>
    <row r="20" ht="12.75" customHeight="1">
      <c r="A20" s="18"/>
      <c r="B20" s="143"/>
      <c r="C20" s="143"/>
      <c r="D20" s="143"/>
      <c r="E20" s="143"/>
      <c r="F20" s="143"/>
      <c r="G20" s="143"/>
      <c r="H20" s="24"/>
      <c r="I20" s="18"/>
    </row>
    <row r="21" ht="12.75" customHeight="1">
      <c r="A21" t="s" s="144">
        <v>92</v>
      </c>
      <c r="B21" s="275">
        <v>2481</v>
      </c>
      <c r="C21" s="275">
        <v>2578</v>
      </c>
      <c r="D21" s="275">
        <v>2680</v>
      </c>
      <c r="E21" s="275">
        <v>1334.425</v>
      </c>
      <c r="F21" s="275">
        <v>1344.267</v>
      </c>
      <c r="G21" s="145">
        <f>D21+F21-E21</f>
        <v>2689.8419999999996</v>
      </c>
      <c r="H21" t="s" s="24">
        <v>175</v>
      </c>
      <c r="I21" s="18"/>
    </row>
    <row r="22" ht="12.75" customHeight="1">
      <c r="A22" t="s" s="20">
        <v>91</v>
      </c>
      <c r="B22" s="146">
        <f>B21/B7</f>
        <v>0.533204384268214</v>
      </c>
      <c r="C22" s="146">
        <f>C21/C7</f>
        <v>0.5263372805226623</v>
      </c>
      <c r="D22" s="146">
        <f>D21/D7</f>
        <v>0.5225190095535192</v>
      </c>
      <c r="E22" s="146">
        <f>E21/E7</f>
        <v>0.5224843382928739</v>
      </c>
      <c r="F22" s="146">
        <f>F21/F7</f>
        <v>0.5188216904670012</v>
      </c>
      <c r="G22" s="146">
        <f>G21/G7</f>
        <v>0.5206817653890824</v>
      </c>
      <c r="H22" s="24"/>
      <c r="I22" s="18"/>
    </row>
    <row r="23" ht="12.75" customHeight="1">
      <c r="A23" t="s" s="18">
        <v>165</v>
      </c>
      <c r="B23" s="143">
        <f>B21-B10</f>
        <v>-1421</v>
      </c>
      <c r="C23" s="143">
        <f>C21-C10</f>
        <v>-1473</v>
      </c>
      <c r="D23" s="143">
        <f>D21-D10</f>
        <v>-1466</v>
      </c>
      <c r="E23" s="143">
        <f>E21-E10</f>
        <v>-728.575</v>
      </c>
      <c r="F23" s="143">
        <f>F21-F10</f>
        <v>-740.733</v>
      </c>
      <c r="G23" s="143">
        <f>G21-G10</f>
        <v>-1478.1580000000004</v>
      </c>
      <c r="H23" t="s" s="24">
        <v>176</v>
      </c>
      <c r="I23" s="18"/>
    </row>
    <row r="24" ht="12.75" customHeight="1">
      <c r="A24" s="18"/>
      <c r="B24" s="143"/>
      <c r="C24" s="143"/>
      <c r="D24" s="143"/>
      <c r="E24" s="143"/>
      <c r="F24" s="143"/>
      <c r="G24" s="143"/>
      <c r="H24" s="24"/>
      <c r="I24" s="18"/>
    </row>
    <row r="25" ht="12.75" customHeight="1">
      <c r="A25" t="s" s="18">
        <v>166</v>
      </c>
      <c r="B25" s="21">
        <v>353</v>
      </c>
      <c r="C25" s="21">
        <v>359</v>
      </c>
      <c r="D25" s="21">
        <v>359</v>
      </c>
      <c r="E25" s="21">
        <v>363</v>
      </c>
      <c r="F25" s="21">
        <v>360</v>
      </c>
      <c r="G25" s="143">
        <f>F25</f>
        <v>360</v>
      </c>
      <c r="H25" t="s" s="24">
        <v>177</v>
      </c>
      <c r="I25" s="18"/>
    </row>
    <row r="26" ht="12.75" customHeight="1">
      <c r="A26" t="s" s="18">
        <v>167</v>
      </c>
      <c r="B26" s="272">
        <v>0.129</v>
      </c>
      <c r="C26" s="272">
        <v>0.127</v>
      </c>
      <c r="D26" s="272">
        <v>0.131</v>
      </c>
      <c r="E26" s="272">
        <v>0.128</v>
      </c>
      <c r="F26" s="272">
        <v>0.131</v>
      </c>
      <c r="G26" s="147">
        <f>F26</f>
        <v>0.131</v>
      </c>
      <c r="H26" t="s" s="24">
        <v>178</v>
      </c>
      <c r="I26" s="18"/>
    </row>
    <row r="27" ht="12.75" customHeight="1">
      <c r="A27" t="s" s="18">
        <v>168</v>
      </c>
      <c r="B27" s="276">
        <v>2.1</v>
      </c>
      <c r="C27" s="276">
        <v>2.2</v>
      </c>
      <c r="D27" s="276">
        <v>2.3</v>
      </c>
      <c r="E27" s="276">
        <v>2.3</v>
      </c>
      <c r="F27" s="276">
        <v>2.3</v>
      </c>
      <c r="G27" s="148">
        <f>F27</f>
        <v>2.3</v>
      </c>
      <c r="H27" t="s" s="24">
        <v>178</v>
      </c>
      <c r="I27" s="18"/>
    </row>
    <row r="28" ht="12.75" customHeight="1">
      <c r="I28" s="18"/>
    </row>
    <row r="29" ht="12.75" customHeight="1">
      <c r="I29" s="18"/>
    </row>
    <row r="30" ht="12.75" customHeight="1">
      <c r="I30" s="18"/>
    </row>
    <row r="31" ht="12.75" customHeight="1">
      <c r="I31" s="18"/>
    </row>
    <row r="32" ht="12.75" customHeight="1">
      <c r="I32" s="18"/>
    </row>
    <row r="33" ht="12.75" customHeight="1">
      <c r="I33" s="18"/>
    </row>
    <row r="34" ht="12.75" customHeight="1">
      <c r="I34" s="18"/>
    </row>
    <row r="35" ht="12.75" customHeight="1">
      <c r="I35" s="18"/>
    </row>
    <row r="36" ht="12.75" customHeight="1">
      <c r="I36" s="18"/>
    </row>
    <row r="37" ht="12.75" customHeight="1">
      <c r="I37" s="18"/>
    </row>
    <row r="38" ht="12.75" customHeight="1">
      <c r="I38" s="18"/>
    </row>
    <row r="39" ht="12.75" customHeight="1">
      <c r="I39" s="18"/>
    </row>
    <row r="40" ht="12.75" customHeight="1">
      <c r="I40" s="18"/>
    </row>
    <row r="41" ht="12.75" customHeight="1">
      <c r="I41" s="18"/>
    </row>
    <row r="42" ht="12.75" customHeight="1">
      <c r="I42" s="18"/>
    </row>
    <row r="43" ht="12.75" customHeight="1">
      <c r="I43" s="18"/>
    </row>
    <row r="44" ht="12.75" customHeight="1">
      <c r="I44" s="18"/>
    </row>
    <row r="45" ht="12.75" customHeight="1">
      <c r="I45" s="18"/>
    </row>
    <row r="46" ht="12.75" customHeight="1">
      <c r="I46" s="18"/>
    </row>
    <row r="47" ht="12.75" customHeight="1">
      <c r="I47" s="18"/>
    </row>
    <row r="48" ht="12.75" customHeight="1">
      <c r="I48" s="18"/>
    </row>
    <row r="49" ht="12.75" customHeight="1">
      <c r="I49" s="18"/>
    </row>
    <row r="50" ht="12.75" customHeight="1">
      <c r="I50" s="18"/>
    </row>
    <row r="51" ht="12.75" customHeight="1">
      <c r="I51" s="18"/>
    </row>
    <row r="52" ht="12.75" customHeight="1">
      <c r="I52" s="18"/>
    </row>
    <row r="53" ht="12.75" customHeight="1">
      <c r="I53" s="18"/>
    </row>
    <row r="54" ht="12.75" customHeight="1">
      <c r="I54" s="18"/>
    </row>
    <row r="55" ht="12.75" customHeight="1">
      <c r="I55" s="18"/>
    </row>
    <row r="56" ht="12.75" customHeight="1">
      <c r="I56" s="18"/>
    </row>
    <row r="57" ht="12.75" customHeight="1">
      <c r="I57" s="18"/>
    </row>
    <row r="58" ht="12.75" customHeight="1">
      <c r="I58" s="18"/>
    </row>
    <row r="59" ht="12.75" customHeight="1">
      <c r="I59" s="18"/>
    </row>
    <row r="60" ht="12.75" customHeight="1">
      <c r="I60" s="18"/>
    </row>
    <row r="61" ht="12.75" customHeight="1">
      <c r="I61" s="18"/>
    </row>
    <row r="62" ht="12.75" customHeight="1">
      <c r="I62" s="18"/>
    </row>
    <row r="63" ht="12.75" customHeight="1">
      <c r="I63" s="18"/>
    </row>
    <row r="64" ht="12.75" customHeight="1">
      <c r="I64" s="18"/>
    </row>
    <row r="65" ht="12.75" customHeight="1">
      <c r="I65" s="18"/>
    </row>
    <row r="66" ht="12.75" customHeight="1">
      <c r="I66" s="18"/>
    </row>
    <row r="67" ht="12.75" customHeight="1">
      <c r="I67" s="18"/>
    </row>
    <row r="68" ht="12.75" customHeight="1">
      <c r="I68" s="18"/>
    </row>
    <row r="69" ht="12.75" customHeight="1">
      <c r="I69" s="18"/>
    </row>
    <row r="70" ht="12.75" customHeight="1">
      <c r="I70" s="18"/>
    </row>
    <row r="71" ht="12.75" customHeight="1">
      <c r="I71" s="18"/>
    </row>
    <row r="72" ht="12.75" customHeight="1">
      <c r="I72" s="18"/>
    </row>
    <row r="73" ht="12.75" customHeight="1">
      <c r="I73" s="18"/>
    </row>
    <row r="74" ht="12.75" customHeight="1">
      <c r="I74" s="18"/>
    </row>
    <row r="75" ht="12.75" customHeight="1">
      <c r="I75" s="18"/>
    </row>
    <row r="76" ht="12.75" customHeight="1">
      <c r="I76" s="18"/>
    </row>
    <row r="77" ht="12.75" customHeight="1">
      <c r="I77" s="18"/>
    </row>
    <row r="78" ht="12.75" customHeight="1">
      <c r="I78" s="18"/>
    </row>
    <row r="79" ht="12.75" customHeight="1">
      <c r="I79" s="18"/>
    </row>
    <row r="80" ht="12.75" customHeight="1">
      <c r="I80" s="18"/>
    </row>
    <row r="81" ht="12.75" customHeight="1">
      <c r="I81" s="18"/>
    </row>
    <row r="82" ht="12.75" customHeight="1">
      <c r="I82" s="18"/>
    </row>
    <row r="83" ht="12.75" customHeight="1">
      <c r="I83" s="18"/>
    </row>
    <row r="84" ht="12.75" customHeight="1">
      <c r="I84" s="18"/>
    </row>
    <row r="85" ht="12.75" customHeight="1">
      <c r="I85" s="18"/>
    </row>
    <row r="86" ht="12.75" customHeight="1">
      <c r="I86" s="18"/>
    </row>
    <row r="87" ht="12.75" customHeight="1">
      <c r="I87" s="18"/>
    </row>
    <row r="88" ht="12.75" customHeight="1">
      <c r="I88" s="18"/>
    </row>
    <row r="89" ht="12.75" customHeight="1">
      <c r="I89" s="18"/>
    </row>
    <row r="90" ht="12.75" customHeight="1">
      <c r="I90" s="18"/>
    </row>
    <row r="91" ht="12.75" customHeight="1">
      <c r="I91" s="18"/>
    </row>
    <row r="92" ht="12.75" customHeight="1">
      <c r="I92" s="18"/>
    </row>
    <row r="93" ht="12.75" customHeight="1">
      <c r="I93" s="18"/>
    </row>
    <row r="94" ht="12.75" customHeight="1">
      <c r="I94" s="18"/>
    </row>
    <row r="95" ht="12.75" customHeight="1">
      <c r="I95" s="18"/>
    </row>
    <row r="96" ht="12.75" customHeight="1">
      <c r="I96" s="18"/>
    </row>
    <row r="97" ht="12.75" customHeight="1">
      <c r="I97" s="18"/>
    </row>
    <row r="98" ht="12.75" customHeight="1">
      <c r="I98" s="18"/>
    </row>
    <row r="99" ht="12.75" customHeight="1">
      <c r="I99" s="18"/>
    </row>
    <row r="100" ht="12.75" customHeight="1">
      <c r="I100" s="18"/>
    </row>
    <row r="101" ht="12.75" customHeight="1">
      <c r="I101" s="18"/>
    </row>
    <row r="102" ht="12.75" customHeight="1">
      <c r="I102" s="18"/>
    </row>
    <row r="103" ht="12.75" customHeight="1">
      <c r="I103" s="18"/>
    </row>
    <row r="104" ht="12.75" customHeight="1">
      <c r="I104" s="18"/>
    </row>
    <row r="105" ht="12.75" customHeight="1">
      <c r="I105" s="18"/>
    </row>
    <row r="106" ht="12.75" customHeight="1">
      <c r="I106" s="18"/>
    </row>
    <row r="107" ht="12.75" customHeight="1">
      <c r="I107" s="18"/>
    </row>
    <row r="108" ht="12.75" customHeight="1">
      <c r="I108" s="18"/>
    </row>
    <row r="109" ht="12.75" customHeight="1">
      <c r="I109" s="18"/>
    </row>
    <row r="110" ht="12.75" customHeight="1">
      <c r="I110" s="18"/>
    </row>
    <row r="111" ht="12.75" customHeight="1">
      <c r="I111" s="18"/>
    </row>
    <row r="112" ht="12.75" customHeight="1">
      <c r="I112" s="18"/>
    </row>
    <row r="113" ht="12.75" customHeight="1">
      <c r="I113" s="18"/>
    </row>
    <row r="114" ht="12.75" customHeight="1">
      <c r="I114" s="18"/>
    </row>
    <row r="115" ht="12.75" customHeight="1">
      <c r="I115" s="18"/>
    </row>
    <row r="116" ht="12.75" customHeight="1">
      <c r="I116" s="18"/>
    </row>
    <row r="117" ht="12.75" customHeight="1">
      <c r="I117" s="18"/>
    </row>
    <row r="118" ht="12.75" customHeight="1">
      <c r="I118" s="18"/>
    </row>
    <row r="119" ht="12.75" customHeight="1">
      <c r="I119" s="18"/>
    </row>
    <row r="120" ht="12.75" customHeight="1">
      <c r="I120" s="18"/>
    </row>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sheetData>
  <pageMargins left="0.7" right="0.7" top="0.75" bottom="0.75" header="0.3" footer="0.3"/>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x14="http://schemas.microsoft.com/office/spreadsheetml/2009/9/main" xmlns:xr="http://schemas.microsoft.com/office/spreadsheetml/2014/revision" xmlns:xr2="http://schemas.microsoft.com/office/spreadsheetml/2015/revision2" xmlns:xr3="http://schemas.microsoft.com/office/spreadsheetml/2016/revision3" mc:Ignorable="x14ac">
  <sheetPr>
    <tabColor theme="9" tint="0.7999816888943144"/>
    <outlinePr summaryBelow="0" summaryRight="0"/>
  </sheetPr>
  <dimension ref="A1:I34"/>
  <sheetViews>
    <sheetView showGridLines="0" workbookViewId="0">
      <pane ySplit="4" topLeftCell="A5" activePane="bottomLeft" state="frozen"/>
      <selection pane="bottomLeft" activeCell="A1" sqref="A1"/>
    </sheetView>
  </sheetViews>
  <sheetFormatPr defaultRowHeight="12.75"/>
  <cols>
    <col min="1" max="1" width="36.06640625" customWidth="1" style="17"/>
    <col min="2" max="4" width="12.53125" customWidth="1" style="17"/>
    <col min="5" max="5" width="45.6640625" customWidth="1" style="17"/>
    <col min="6" max="7" width="14.796875" customWidth="1" style="17"/>
    <col min="8" max="109" width="9.06640625" customWidth="0" style="17"/>
  </cols>
  <sheetData>
    <row r="1" ht="12.75" customHeight="1">
      <c r="A1" s="18"/>
      <c r="B1" s="18"/>
      <c r="C1" s="18"/>
      <c r="D1" s="18"/>
      <c r="E1" s="18"/>
      <c r="F1" s="18"/>
      <c r="G1" s="18"/>
      <c r="H1" s="18"/>
      <c r="I1" s="18"/>
    </row>
    <row r="2" ht="12.75" customHeight="1">
      <c r="A2" t="s" s="19">
        <v>83</v>
      </c>
      <c r="B2" s="19"/>
      <c r="C2" s="19"/>
      <c r="D2" s="19"/>
      <c r="E2" s="19"/>
      <c r="F2" s="18"/>
      <c r="G2" s="18"/>
      <c r="H2" s="18"/>
      <c r="I2" s="18"/>
    </row>
    <row r="3" ht="12.75" customHeight="1">
      <c r="A3" t="s" s="20">
        <v>75</v>
      </c>
      <c r="B3" s="18"/>
      <c r="C3" s="18"/>
      <c r="D3" s="18"/>
      <c r="E3" s="18"/>
      <c r="F3" s="18"/>
      <c r="G3" s="18"/>
      <c r="H3" s="18"/>
      <c r="I3" s="18"/>
    </row>
    <row r="4" ht="12.75" customHeight="1">
      <c r="A4" s="149"/>
      <c r="B4" t="s" s="142">
        <v>95</v>
      </c>
      <c r="C4" t="s" s="142">
        <v>96</v>
      </c>
      <c r="D4" t="s" s="142">
        <v>191</v>
      </c>
      <c r="E4" t="s" s="149">
        <v>97</v>
      </c>
    </row>
    <row r="5" ht="12.75" customHeight="1">
      <c r="A5" t="s" s="18">
        <v>192</v>
      </c>
      <c r="B5" s="21">
        <v>96</v>
      </c>
      <c r="C5" s="21">
        <v>81</v>
      </c>
      <c r="D5" s="21">
        <v>4</v>
      </c>
      <c r="E5" t="s" s="24">
        <v>202</v>
      </c>
    </row>
    <row r="6" ht="12.75" customHeight="1">
      <c r="A6" t="s" s="18">
        <v>98</v>
      </c>
      <c r="B6" s="21">
        <v>394</v>
      </c>
      <c r="C6" s="21">
        <v>385</v>
      </c>
      <c r="D6" s="21">
        <v>373</v>
      </c>
      <c r="E6" s="24"/>
    </row>
    <row r="7" ht="12.75" customHeight="1">
      <c r="A7" t="s" s="18">
        <v>193</v>
      </c>
      <c r="B7" s="21">
        <v>197</v>
      </c>
      <c r="C7" s="21">
        <v>202</v>
      </c>
      <c r="D7" s="21">
        <v>184</v>
      </c>
      <c r="E7" s="24"/>
    </row>
    <row r="8" ht="12.75" customHeight="1">
      <c r="A8" t="s" s="18">
        <v>194</v>
      </c>
      <c r="B8" s="21">
        <v>2981</v>
      </c>
      <c r="C8" s="21">
        <v>2791</v>
      </c>
      <c r="D8" s="21">
        <v>2696</v>
      </c>
      <c r="E8" s="24"/>
    </row>
    <row r="9" ht="12.75" customHeight="1">
      <c r="A9" t="s" s="18">
        <v>195</v>
      </c>
      <c r="B9" s="21">
        <v>1324</v>
      </c>
      <c r="C9" s="21">
        <v>1452</v>
      </c>
      <c r="D9" s="21">
        <v>1509</v>
      </c>
      <c r="E9" s="24"/>
    </row>
    <row r="10" ht="12.75" customHeight="1">
      <c r="A10" t="s" s="18">
        <v>196</v>
      </c>
      <c r="B10" s="21">
        <v>4854</v>
      </c>
      <c r="C10" s="21">
        <v>4818</v>
      </c>
      <c r="D10" s="21">
        <v>4807</v>
      </c>
      <c r="E10" s="24"/>
    </row>
    <row r="11" ht="12.75" customHeight="1">
      <c r="A11" t="s" s="18">
        <v>84</v>
      </c>
      <c r="B11" s="21">
        <v>4904</v>
      </c>
      <c r="C11" s="21">
        <v>4886</v>
      </c>
      <c r="D11" s="21">
        <v>4992</v>
      </c>
      <c r="E11" s="24"/>
    </row>
    <row r="12" ht="12.75" customHeight="1">
      <c r="A12" t="s" s="144">
        <v>99</v>
      </c>
      <c r="B12" s="275">
        <v>16051</v>
      </c>
      <c r="C12" s="275">
        <v>15819</v>
      </c>
      <c r="D12" s="275">
        <v>15739</v>
      </c>
      <c r="E12" s="24"/>
    </row>
    <row r="13" ht="12.75" customHeight="1">
      <c r="A13" t="s" s="18">
        <v>197</v>
      </c>
      <c r="B13" s="21">
        <v>196</v>
      </c>
      <c r="C13" s="21">
        <v>310</v>
      </c>
      <c r="D13" s="21">
        <v>241</v>
      </c>
      <c r="E13" s="24"/>
    </row>
    <row r="14" ht="12.75" customHeight="1">
      <c r="A14" t="s" s="18">
        <v>198</v>
      </c>
      <c r="B14" s="21">
        <v>7511</v>
      </c>
      <c r="C14" s="21">
        <v>7379</v>
      </c>
      <c r="D14" s="21">
        <v>7447</v>
      </c>
      <c r="E14" s="24"/>
    </row>
    <row r="15" ht="12.75" customHeight="1">
      <c r="A15" t="s" s="18">
        <v>199</v>
      </c>
      <c r="B15" s="21">
        <v>2068</v>
      </c>
      <c r="C15" s="21">
        <v>2084</v>
      </c>
      <c r="D15" s="21">
        <v>2062</v>
      </c>
      <c r="E15" s="24"/>
    </row>
    <row r="16" ht="12.75" customHeight="1">
      <c r="A16" t="s" s="18">
        <v>200</v>
      </c>
      <c r="B16" s="21">
        <v>1167</v>
      </c>
      <c r="C16" s="21">
        <v>1267</v>
      </c>
      <c r="D16" s="21">
        <v>1298</v>
      </c>
      <c r="E16" s="24"/>
    </row>
    <row r="17" ht="12.75" customHeight="1">
      <c r="A17" t="s" s="144">
        <v>100</v>
      </c>
      <c r="B17" s="275">
        <v>12250</v>
      </c>
      <c r="C17" s="275">
        <v>12040</v>
      </c>
      <c r="D17" s="275">
        <v>12262</v>
      </c>
      <c r="E17" s="24"/>
    </row>
    <row r="18" ht="12.75" customHeight="1">
      <c r="A18" t="s" s="18">
        <v>201</v>
      </c>
      <c r="B18" s="21">
        <v>3801</v>
      </c>
      <c r="C18" s="21">
        <v>3779</v>
      </c>
      <c r="D18" s="21">
        <v>3477</v>
      </c>
      <c r="E18" s="24"/>
    </row>
    <row r="19" ht="12.75" customHeight="1">
      <c r="A19" s="18"/>
      <c r="B19" s="18"/>
      <c r="C19" s="18"/>
      <c r="D19" s="18"/>
      <c r="E19" s="24"/>
    </row>
    <row r="20" ht="12.75" customHeight="1">
      <c r="A20" t="s" s="149">
        <v>203</v>
      </c>
      <c r="B20" t="s" s="142">
        <v>204</v>
      </c>
      <c r="C20" t="s" s="142">
        <v>19</v>
      </c>
      <c r="D20" t="s" s="142">
        <v>205</v>
      </c>
      <c r="E20" t="s" s="150">
        <v>97</v>
      </c>
    </row>
    <row r="21" ht="12.75" customHeight="1">
      <c r="A21" t="s" s="18">
        <v>206</v>
      </c>
      <c r="B21" s="21">
        <v>1754.328</v>
      </c>
      <c r="C21" t="s" s="274">
        <v>219</v>
      </c>
      <c r="D21" t="s" s="274">
        <v>380</v>
      </c>
      <c r="E21" t="s" s="24">
        <v>223</v>
      </c>
    </row>
    <row r="22" ht="12.75" customHeight="1">
      <c r="A22" t="s" s="18">
        <v>207</v>
      </c>
      <c r="B22" s="21">
        <v>1434.725</v>
      </c>
      <c r="C22" t="s" s="274">
        <v>220</v>
      </c>
      <c r="D22" t="s" s="274">
        <v>381</v>
      </c>
      <c r="E22" s="24"/>
    </row>
    <row r="23" ht="12.75" customHeight="1">
      <c r="A23" t="s" s="18">
        <v>208</v>
      </c>
      <c r="B23" s="21">
        <v>420.313</v>
      </c>
      <c r="C23" t="s" s="274">
        <v>221</v>
      </c>
      <c r="D23" t="s" s="274">
        <v>380</v>
      </c>
      <c r="E23" s="24"/>
    </row>
    <row r="24" ht="12.75" customHeight="1">
      <c r="A24" t="s" s="18">
        <v>209</v>
      </c>
      <c r="B24" s="21">
        <v>1000</v>
      </c>
      <c r="C24" t="s" s="274">
        <v>382</v>
      </c>
      <c r="D24" t="s" s="274">
        <v>383</v>
      </c>
      <c r="E24" s="24"/>
    </row>
    <row r="25" ht="12.75" customHeight="1">
      <c r="A25" t="s" s="18">
        <v>210</v>
      </c>
      <c r="B25" s="21">
        <v>1000</v>
      </c>
      <c r="C25" t="s" s="274">
        <v>384</v>
      </c>
      <c r="D25" t="s" s="274">
        <v>385</v>
      </c>
      <c r="E25" s="24"/>
    </row>
    <row r="26" ht="12.75" customHeight="1">
      <c r="A26" t="s" s="18">
        <v>211</v>
      </c>
      <c r="B26" s="21">
        <v>1000</v>
      </c>
      <c r="C26" t="s" s="274">
        <v>386</v>
      </c>
      <c r="D26" t="s" s="274">
        <v>387</v>
      </c>
      <c r="E26" s="24"/>
    </row>
    <row r="27" ht="12.75" customHeight="1">
      <c r="A27" t="s" s="18">
        <v>212</v>
      </c>
      <c r="B27" s="21">
        <v>728.016</v>
      </c>
      <c r="C27" t="s" s="274">
        <v>388</v>
      </c>
      <c r="D27" t="s" s="274">
        <v>389</v>
      </c>
      <c r="E27" s="24"/>
    </row>
    <row r="28" ht="12.75" customHeight="1">
      <c r="A28" t="s" s="18">
        <v>213</v>
      </c>
      <c r="B28" s="21">
        <v>21.896</v>
      </c>
      <c r="C28" t="s" s="274">
        <v>388</v>
      </c>
      <c r="D28" t="s" s="274">
        <v>390</v>
      </c>
      <c r="E28" s="24"/>
    </row>
    <row r="29" ht="12.75" customHeight="1">
      <c r="A29" t="s" s="18">
        <v>214</v>
      </c>
      <c r="B29" s="21">
        <v>416.008</v>
      </c>
      <c r="C29" t="s" s="274">
        <v>222</v>
      </c>
      <c r="D29" t="s" s="274">
        <v>391</v>
      </c>
      <c r="E29" s="24"/>
    </row>
    <row r="30" ht="12.75" customHeight="1">
      <c r="A30" t="s" s="144">
        <v>215</v>
      </c>
      <c r="B30" s="145">
        <f>SUM(B21:B29)</f>
        <v>7775.285999999999</v>
      </c>
      <c r="C30" s="144"/>
      <c r="D30" s="144"/>
      <c r="E30" s="24"/>
    </row>
    <row r="31" ht="12.75" customHeight="1">
      <c r="A31" t="s" s="18">
        <v>216</v>
      </c>
      <c r="B31" s="21">
        <v>7775.286</v>
      </c>
      <c r="C31" s="18"/>
      <c r="D31" s="18"/>
      <c r="E31" s="24"/>
    </row>
    <row r="32" ht="12.75" customHeight="1">
      <c r="A32" t="s" s="20">
        <v>93</v>
      </c>
      <c r="B32" s="151">
        <f>B30-B31</f>
        <v>0</v>
      </c>
      <c r="C32" s="18"/>
      <c r="D32" s="18"/>
      <c r="E32" s="24"/>
    </row>
    <row r="33" ht="12.75" customHeight="1">
      <c r="A33" t="s" s="18">
        <v>217</v>
      </c>
      <c r="B33" s="21">
        <v>58.411</v>
      </c>
      <c r="C33" s="18"/>
      <c r="D33" s="18"/>
      <c r="E33" s="24"/>
    </row>
    <row r="34" ht="12.75" customHeight="1">
      <c r="A34" t="s" s="144">
        <v>218</v>
      </c>
      <c r="B34" s="145">
        <f>B30+B33</f>
        <v>7833.696999999999</v>
      </c>
      <c r="C34" s="144"/>
      <c r="D34" s="144"/>
      <c r="E34" t="s" s="24">
        <v>224</v>
      </c>
    </row>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sheetData>
  <pageMargins left="0.7" right="0.7" top="0.75" bottom="0.75" header="0.3" footer="0.3"/>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x14="http://schemas.microsoft.com/office/spreadsheetml/2009/9/main" xmlns:xr="http://schemas.microsoft.com/office/spreadsheetml/2014/revision" xmlns:xr2="http://schemas.microsoft.com/office/spreadsheetml/2015/revision2" xmlns:xr3="http://schemas.microsoft.com/office/spreadsheetml/2016/revision3" mc:Ignorable="x14ac">
  <sheetPr>
    <tabColor theme="9" tint="0.7999816888943144"/>
    <outlinePr summaryBelow="0" summaryRight="0"/>
  </sheetPr>
  <dimension ref="A1:I13"/>
  <sheetViews>
    <sheetView showGridLines="0" workbookViewId="0">
      <pane ySplit="4" topLeftCell="A5" activePane="bottomLeft" state="frozen"/>
      <selection pane="bottomLeft" activeCell="A1" sqref="A1"/>
    </sheetView>
  </sheetViews>
  <sheetFormatPr defaultRowHeight="12.75"/>
  <cols>
    <col min="1" max="1" width="36.06640625" customWidth="1" style="17"/>
    <col min="2" max="7" width="11.796875" customWidth="1" style="17"/>
    <col min="8" max="8" width="49.53125" customWidth="1" style="17"/>
    <col min="9" max="109" width="9.06640625" customWidth="0" style="17"/>
  </cols>
  <sheetData>
    <row r="1" ht="12.75" customHeight="1">
      <c r="A1" s="18"/>
      <c r="B1" s="18"/>
      <c r="C1" s="18"/>
      <c r="D1" s="18"/>
      <c r="E1" s="18"/>
      <c r="F1" s="18"/>
      <c r="G1" s="18"/>
      <c r="H1" s="18"/>
      <c r="I1" s="18"/>
    </row>
    <row r="2" ht="12.75" customHeight="1">
      <c r="A2" t="s" s="19">
        <v>86</v>
      </c>
      <c r="B2" s="19"/>
      <c r="C2" s="19"/>
      <c r="D2" s="19"/>
      <c r="E2" s="19"/>
      <c r="F2" s="19"/>
      <c r="G2" s="19"/>
      <c r="H2" s="19"/>
      <c r="I2" s="18"/>
    </row>
    <row r="3" ht="12.75" customHeight="1">
      <c r="A3" t="s" s="20">
        <v>150</v>
      </c>
      <c r="B3" s="18"/>
      <c r="C3" s="18"/>
      <c r="D3" s="18"/>
      <c r="E3" s="18"/>
      <c r="F3" s="18"/>
      <c r="G3" s="18"/>
      <c r="H3" s="18"/>
      <c r="I3" s="18"/>
    </row>
    <row r="4" ht="12.75" customHeight="1">
      <c r="A4" s="149"/>
      <c r="B4" t="s" s="142">
        <v>94</v>
      </c>
      <c r="C4" t="s" s="142">
        <v>95</v>
      </c>
      <c r="D4" t="s" s="142">
        <v>96</v>
      </c>
      <c r="E4" t="s" s="142">
        <v>151</v>
      </c>
      <c r="F4" t="s" s="142">
        <v>152</v>
      </c>
      <c r="G4" t="s" s="142">
        <v>153</v>
      </c>
      <c r="H4" t="s" s="149">
        <v>97</v>
      </c>
    </row>
    <row r="5" ht="12.75" customHeight="1">
      <c r="A5" t="s" s="18">
        <v>179</v>
      </c>
      <c r="B5" s="21">
        <v>1658</v>
      </c>
      <c r="C5" s="21">
        <v>1885</v>
      </c>
      <c r="D5" s="21">
        <v>1884</v>
      </c>
      <c r="E5" s="21">
        <v>1031</v>
      </c>
      <c r="F5" s="21">
        <v>1304</v>
      </c>
      <c r="G5" s="143">
        <f>D5+F5-E5</f>
        <v>2157</v>
      </c>
      <c r="H5" t="s" s="24">
        <v>187</v>
      </c>
    </row>
    <row r="6" ht="12.75" customHeight="1">
      <c r="A6" t="s" s="18">
        <v>180</v>
      </c>
      <c r="B6" s="21">
        <v>-589</v>
      </c>
      <c r="C6" s="21">
        <v>-586</v>
      </c>
      <c r="D6" s="21">
        <v>-596</v>
      </c>
      <c r="E6" s="21">
        <v>-331</v>
      </c>
      <c r="F6" s="21">
        <v>-239</v>
      </c>
      <c r="G6" s="143">
        <f>D6+F6-E6</f>
        <v>-504</v>
      </c>
      <c r="H6" s="24"/>
    </row>
    <row r="7" ht="12.75" customHeight="1">
      <c r="A7" t="s" s="18">
        <v>181</v>
      </c>
      <c r="B7" s="21">
        <v>-631</v>
      </c>
      <c r="C7" s="21">
        <v>-523</v>
      </c>
      <c r="D7" s="21">
        <v>-396</v>
      </c>
      <c r="E7" s="21">
        <v>-209</v>
      </c>
      <c r="F7" s="21">
        <v>-170</v>
      </c>
      <c r="G7" s="143">
        <f>D7+F7-E7</f>
        <v>-357</v>
      </c>
      <c r="H7" s="24"/>
    </row>
    <row r="8" ht="12.75" customHeight="1">
      <c r="A8" t="s" s="18">
        <v>182</v>
      </c>
      <c r="B8" s="21">
        <v>-176</v>
      </c>
      <c r="C8" s="21">
        <v>-164</v>
      </c>
      <c r="D8" s="21">
        <v>-176</v>
      </c>
      <c r="E8" s="21">
        <v>-83</v>
      </c>
      <c r="F8" s="21">
        <v>-95</v>
      </c>
      <c r="G8" s="143">
        <f>D8+F8-E8</f>
        <v>-188</v>
      </c>
      <c r="H8" s="24"/>
    </row>
    <row r="9" ht="12.75" customHeight="1">
      <c r="A9" t="s" s="144">
        <v>101</v>
      </c>
      <c r="B9" s="145">
        <f>SUM(B5:B8)</f>
        <v>262</v>
      </c>
      <c r="C9" s="145">
        <f>SUM(C5:C8)</f>
        <v>612</v>
      </c>
      <c r="D9" s="145">
        <f>SUM(D5:D8)</f>
        <v>716</v>
      </c>
      <c r="E9" s="145">
        <f>SUM(E5:E8)</f>
        <v>408</v>
      </c>
      <c r="F9" s="145">
        <f>SUM(F5:F8)</f>
        <v>800</v>
      </c>
      <c r="G9" s="145">
        <f>SUM(G5:G8)</f>
        <v>1108</v>
      </c>
      <c r="H9" t="s" s="24">
        <v>188</v>
      </c>
    </row>
    <row r="10" ht="12.75" customHeight="1">
      <c r="A10" t="s" s="18">
        <v>183</v>
      </c>
      <c r="B10" s="21">
        <v>-387</v>
      </c>
      <c r="C10" s="21">
        <v>-366</v>
      </c>
      <c r="D10" s="21">
        <v>-381</v>
      </c>
      <c r="E10" s="21">
        <v>-189</v>
      </c>
      <c r="F10" s="21">
        <v>-194</v>
      </c>
      <c r="G10" s="143">
        <f>D10+F10-E10</f>
        <v>-386</v>
      </c>
      <c r="H10" s="24"/>
    </row>
    <row r="11" ht="12.75" customHeight="1">
      <c r="A11" t="s" s="18">
        <v>184</v>
      </c>
      <c r="B11" s="21">
        <v>290</v>
      </c>
      <c r="C11" s="21">
        <v>252</v>
      </c>
      <c r="D11" s="21">
        <v>225</v>
      </c>
      <c r="E11" s="21">
        <v>115</v>
      </c>
      <c r="F11" s="21">
        <v>98</v>
      </c>
      <c r="G11" s="143">
        <f>D11+F11-E11</f>
        <v>208</v>
      </c>
      <c r="H11" s="24"/>
    </row>
    <row r="12" ht="12.75" customHeight="1">
      <c r="A12" t="s" s="144">
        <v>185</v>
      </c>
      <c r="B12" s="145">
        <f>B6+B7+B10+B11</f>
        <v>-1317</v>
      </c>
      <c r="C12" s="145">
        <f>C6+C7+C10+C11</f>
        <v>-1223</v>
      </c>
      <c r="D12" s="145">
        <f>D6+D7+D10+D11</f>
        <v>-1148</v>
      </c>
      <c r="E12" s="145">
        <f>E6+E7+E10+E11</f>
        <v>-614</v>
      </c>
      <c r="F12" s="145">
        <f>F6+F7+F10+F11</f>
        <v>-505</v>
      </c>
      <c r="G12" s="145">
        <f>G6+G7+G10+G11</f>
        <v>-1039</v>
      </c>
      <c r="H12" t="s" s="24">
        <v>189</v>
      </c>
    </row>
    <row r="13" ht="12.75" customHeight="1">
      <c r="A13" t="s" s="18">
        <v>186</v>
      </c>
      <c r="B13" s="21">
        <v>525</v>
      </c>
      <c r="C13" s="21">
        <v>744</v>
      </c>
      <c r="D13" s="21">
        <v>863</v>
      </c>
      <c r="E13" s="21">
        <v>500</v>
      </c>
      <c r="F13" s="21">
        <v>820</v>
      </c>
      <c r="G13" s="143">
        <f>D13+F13-E13</f>
        <v>1183</v>
      </c>
      <c r="H13" t="s" s="24">
        <v>190</v>
      </c>
    </row>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sheetData>
  <pageMargins left="0.7" right="0.7" top="0.75" bottom="0.75" header="0.3" footer="0.3"/>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dr="http://schemas.openxmlformats.org/drawingml/2006/spreadsheetDrawing" xmlns:x14="http://schemas.microsoft.com/office/spreadsheetml/2009/9/main" xmlns:xr="http://schemas.microsoft.com/office/spreadsheetml/2014/revision" xmlns:xr2="http://schemas.microsoft.com/office/spreadsheetml/2015/revision2" xmlns:xr3="http://schemas.microsoft.com/office/spreadsheetml/2016/revision3" mc:Ignorable="x14ac">
  <dimension ref="A1:Q36"/>
  <sheetViews>
    <sheetView showGridLines="0" topLeftCell="A13" zoomScale="80" workbookViewId="0">
      <selection activeCell="A1" sqref="A1"/>
    </sheetView>
  </sheetViews>
  <sheetFormatPr defaultRowHeight="14.25"/>
  <cols>
    <col min="1" max="1" width="28.53125" customWidth="1"/>
    <col min="2" max="2" width="9.53125" customWidth="1"/>
    <col min="3" max="13" width="12.53125" customWidth="1"/>
    <col min="14" max="14" width="57.06640625" customWidth="1"/>
    <col min="16" max="16" width="20.9296875" customWidth="1"/>
    <col min="17" max="17" width="13.19921875" customWidth="1"/>
  </cols>
  <sheetData>
    <row r="1" ht="12.75" customHeight="1">
      <c r="A1" s="4"/>
      <c r="B1" s="4"/>
      <c r="C1" s="4"/>
      <c r="D1" s="4"/>
      <c r="E1" s="4"/>
      <c r="F1" s="4"/>
      <c r="G1" s="4"/>
      <c r="H1" s="4"/>
      <c r="I1" s="4"/>
      <c r="J1" s="4"/>
      <c r="K1" s="4"/>
      <c r="L1" s="4"/>
      <c r="M1" s="4"/>
      <c r="N1" s="4"/>
    </row>
    <row r="2" ht="12.75" customHeight="1">
      <c r="A2" t="s" s="19">
        <v>141</v>
      </c>
      <c r="B2" s="19"/>
      <c r="C2" s="19"/>
      <c r="D2" s="19"/>
      <c r="E2" s="19"/>
      <c r="F2" s="19"/>
      <c r="G2" s="19"/>
      <c r="H2" s="19"/>
      <c r="I2" s="19"/>
      <c r="J2" s="19"/>
      <c r="K2" s="19"/>
      <c r="L2" s="19"/>
      <c r="M2" s="19"/>
      <c r="N2" s="19"/>
    </row>
    <row r="3" ht="12.75" customHeight="1">
      <c r="A3" t="s" s="14">
        <v>323</v>
      </c>
      <c r="B3" s="4"/>
      <c r="C3" s="4"/>
      <c r="D3" s="4"/>
      <c r="E3" s="4"/>
      <c r="F3" s="4"/>
      <c r="G3" s="4"/>
      <c r="H3" s="4"/>
      <c r="I3" s="4"/>
      <c r="J3" s="4"/>
      <c r="K3" s="4"/>
      <c r="L3" s="4"/>
      <c r="M3" s="4"/>
      <c r="N3" s="4"/>
    </row>
    <row r="4" ht="12.75" customHeight="1">
      <c r="A4" t="s" s="217">
        <v>142</v>
      </c>
      <c r="B4" t="s" s="217">
        <v>324</v>
      </c>
      <c r="C4" t="s" s="218">
        <v>325</v>
      </c>
      <c r="D4" t="s" s="218">
        <v>326</v>
      </c>
      <c r="E4" t="s" s="218">
        <v>327</v>
      </c>
      <c r="F4" t="s" s="218">
        <v>85</v>
      </c>
      <c r="G4" t="s" s="218">
        <v>328</v>
      </c>
      <c r="H4" t="s" s="218">
        <v>116</v>
      </c>
      <c r="I4" t="s" s="218">
        <v>329</v>
      </c>
      <c r="J4" t="s" s="218">
        <v>67</v>
      </c>
      <c r="K4" t="s" s="218">
        <v>330</v>
      </c>
      <c r="L4" t="s" s="218">
        <v>331</v>
      </c>
      <c r="M4" t="s" s="218">
        <v>332</v>
      </c>
      <c r="N4" t="s" s="217">
        <v>97</v>
      </c>
      <c r="P4" t="s" s="282">
        <v>392</v>
      </c>
      <c r="Q4" t="s" s="282">
        <v>332</v>
      </c>
    </row>
    <row r="5" ht="12.75" customHeight="1">
      <c r="A5" t="s" s="219">
        <v>333</v>
      </c>
      <c r="B5" s="4"/>
      <c r="C5" s="220"/>
      <c r="D5" s="131"/>
      <c r="E5" s="131"/>
      <c r="F5" s="131"/>
      <c r="G5" s="131"/>
      <c r="H5" s="131"/>
      <c r="I5" s="132"/>
      <c r="J5" s="131"/>
      <c r="K5" s="132"/>
      <c r="L5" s="221"/>
      <c r="M5" s="179"/>
      <c r="N5" s="24"/>
      <c r="P5" t="str" s="4">
        <f>A15</f>
        <v>Johnson Controls</v>
      </c>
      <c r="Q5" s="221">
        <f>M15</f>
        <v>27.63751896597554</v>
      </c>
    </row>
    <row r="6" ht="12.75" customHeight="1">
      <c r="A6" t="s" s="4">
        <v>334</v>
      </c>
      <c r="B6" t="s" s="4">
        <v>335</v>
      </c>
      <c r="C6" s="277">
        <v>10</v>
      </c>
      <c r="D6" s="133">
        <v>1031.467</v>
      </c>
      <c r="E6" s="131">
        <f>C6*D6</f>
        <v>10314.670000000002</v>
      </c>
      <c r="F6" s="131">
        <f>F27</f>
        <v>5172</v>
      </c>
      <c r="G6" s="131">
        <f>E6+F6</f>
        <v>15486.670000000002</v>
      </c>
      <c r="H6" s="133">
        <v>3940.6</v>
      </c>
      <c r="I6" s="278">
        <v>0.1031</v>
      </c>
      <c r="J6" s="133">
        <v>1539.8</v>
      </c>
      <c r="K6" s="132">
        <f>J6/H6</f>
        <v>0.3907526772572705</v>
      </c>
      <c r="L6" s="221">
        <f>G6/H6</f>
        <v>3.930028422067706</v>
      </c>
      <c r="M6" s="179">
        <f>IF(OR(J6&lt;=0,G6/J6&gt;50),"n.m.",G6/J6)</f>
        <v>10.057585400701392</v>
      </c>
      <c r="N6" t="s" s="24">
        <v>336</v>
      </c>
      <c r="P6" t="str" s="4">
        <f>A11</f>
        <v>Napco Security</v>
      </c>
      <c r="Q6" s="221">
        <f>M11</f>
        <v>26.99558750992768</v>
      </c>
    </row>
    <row r="7" ht="12.75" customHeight="1">
      <c r="A7" t="s" s="4">
        <v>337</v>
      </c>
      <c r="B7" t="s" s="4">
        <v>338</v>
      </c>
      <c r="C7" s="277">
        <v>100.19</v>
      </c>
      <c r="D7" s="133">
        <v>41.19</v>
      </c>
      <c r="E7" s="131">
        <f>C7*D7</f>
        <v>4126.826099999999</v>
      </c>
      <c r="F7" s="131">
        <f>F28</f>
        <v>2584.1000000000004</v>
      </c>
      <c r="G7" s="131">
        <f>E7+F7</f>
        <v>6710.9261</v>
      </c>
      <c r="H7" s="133">
        <v>5481.4</v>
      </c>
      <c r="I7" s="278">
        <v>0.08117</v>
      </c>
      <c r="J7" s="133">
        <v>895.1</v>
      </c>
      <c r="K7" s="132">
        <f>J7/H7</f>
        <v>0.16329769766847888</v>
      </c>
      <c r="L7" s="221">
        <f>G7/H7</f>
        <v>1.2243087714817382</v>
      </c>
      <c r="M7" s="179">
        <f>IF(OR(J7&lt;=0,G7/J7&gt;50),"n.m.",G7/J7)</f>
        <v>7.497403753770528</v>
      </c>
      <c r="N7" t="s" s="24">
        <v>339</v>
      </c>
      <c r="P7" t="str" s="4">
        <f>A18</f>
        <v>Rollins</v>
      </c>
      <c r="Q7" s="221">
        <f>M18</f>
        <v>19.300870319895715</v>
      </c>
    </row>
    <row r="8" ht="12.75" customHeight="1">
      <c r="A8" t="s" s="117">
        <v>143</v>
      </c>
      <c r="B8" s="117"/>
      <c r="C8" s="222"/>
      <c r="D8" s="134"/>
      <c r="E8" s="134"/>
      <c r="F8" s="134"/>
      <c r="G8" s="134"/>
      <c r="H8" s="134"/>
      <c r="I8" s="135">
        <f>MEDIAN(I6:I7)</f>
        <v>0.092135</v>
      </c>
      <c r="J8" s="134"/>
      <c r="K8" s="135">
        <f>MEDIAN(K6:K7)</f>
        <v>0.2770251874628747</v>
      </c>
      <c r="L8" s="223">
        <f>MEDIAN(L6:L7)</f>
        <v>2.5771685967747224</v>
      </c>
      <c r="M8" s="224">
        <f>MEDIAN(M6:M7)</f>
        <v>8.77749457723596</v>
      </c>
      <c r="N8" s="136"/>
      <c r="P8" t="str" s="4">
        <f>A10</f>
        <v>Alarm.com</v>
      </c>
      <c r="Q8" s="221">
        <f>M10</f>
        <v>18.76968775856302</v>
      </c>
    </row>
    <row r="9" ht="12.75" customHeight="1">
      <c r="A9" t="s" s="219">
        <v>340</v>
      </c>
      <c r="B9" s="4"/>
      <c r="C9" s="220"/>
      <c r="D9" s="131"/>
      <c r="E9" s="131"/>
      <c r="F9" s="131"/>
      <c r="G9" s="131"/>
      <c r="H9" s="131"/>
      <c r="I9" s="132"/>
      <c r="J9" s="131"/>
      <c r="K9" s="132"/>
      <c r="L9" s="221"/>
      <c r="M9" s="179"/>
      <c r="N9" s="24"/>
      <c r="P9" t="str" s="4">
        <f>A14</f>
        <v>Allegion</v>
      </c>
      <c r="Q9" s="221">
        <f>M14</f>
        <v>15.538235923402686</v>
      </c>
    </row>
    <row r="10" ht="12.75" customHeight="1">
      <c r="A10" t="s" s="4">
        <v>341</v>
      </c>
      <c r="B10" t="s" s="4">
        <v>342</v>
      </c>
      <c r="C10" s="277">
        <v>64.92</v>
      </c>
      <c r="D10" s="133">
        <v>49.09</v>
      </c>
      <c r="E10" s="131">
        <f>C10*D10</f>
        <v>3186.9228000000003</v>
      </c>
      <c r="F10" s="131">
        <f>F29</f>
        <v>11.675999999999988</v>
      </c>
      <c r="G10" s="131">
        <f>E10+F10</f>
        <v>3198.5988</v>
      </c>
      <c r="H10" s="133">
        <v>1060.984</v>
      </c>
      <c r="I10" s="278">
        <v>0.08722</v>
      </c>
      <c r="J10" s="133">
        <v>170.413</v>
      </c>
      <c r="K10" s="132">
        <f>J10/H10</f>
        <v>0.16061787925171353</v>
      </c>
      <c r="L10" s="221">
        <f>G10/H10</f>
        <v>3.014747441997241</v>
      </c>
      <c r="M10" s="179">
        <f>IF(OR(J10&lt;=0,G10/J10&gt;50),"n.m.",G10/J10)</f>
        <v>18.76968775856302</v>
      </c>
      <c r="N10" t="s" s="24">
        <v>339</v>
      </c>
      <c r="P10" t="str" s="4">
        <f>A19</f>
        <v>Frontdoor</v>
      </c>
      <c r="Q10" s="221">
        <f>M19</f>
        <v>12.617112749003985</v>
      </c>
    </row>
    <row r="11" ht="12.75" customHeight="1">
      <c r="A11" t="s" s="4">
        <v>343</v>
      </c>
      <c r="B11" t="s" s="4">
        <v>344</v>
      </c>
      <c r="C11" s="277">
        <v>39.66</v>
      </c>
      <c r="D11" s="133">
        <v>35.768</v>
      </c>
      <c r="E11" s="131">
        <f>C11*D11</f>
        <v>1418.5588799999998</v>
      </c>
      <c r="F11" s="131">
        <f>F30</f>
        <v>-126.928</v>
      </c>
      <c r="G11" s="131">
        <f>E11+F11</f>
        <v>1291.6308799999997</v>
      </c>
      <c r="H11" s="133">
        <v>202.316</v>
      </c>
      <c r="I11" s="278">
        <v>0.11395</v>
      </c>
      <c r="J11" s="133">
        <v>47.846</v>
      </c>
      <c r="K11" s="132">
        <f>J11/H11</f>
        <v>0.23649142924929317</v>
      </c>
      <c r="L11" s="221">
        <f>G11/H11</f>
        <v>6.384225073647165</v>
      </c>
      <c r="M11" s="179">
        <f>IF(OR(J11&lt;=0,G11/J11&gt;50),"n.m.",G11/J11)</f>
        <v>26.99558750992768</v>
      </c>
      <c r="N11" t="s" s="24">
        <v>339</v>
      </c>
      <c r="P11" t="str" s="4">
        <f>A6</f>
        <v>Verisure</v>
      </c>
      <c r="Q11" s="221">
        <f>M6</f>
        <v>10.057585400701392</v>
      </c>
    </row>
    <row r="12" ht="12.75" customHeight="1">
      <c r="A12" t="s" s="4">
        <v>345</v>
      </c>
      <c r="B12" t="s" s="4">
        <v>346</v>
      </c>
      <c r="C12" s="277">
        <v>18.31</v>
      </c>
      <c r="D12" s="133">
        <v>151.847</v>
      </c>
      <c r="E12" s="131">
        <f>C12*D12</f>
        <v>2780.31857</v>
      </c>
      <c r="F12" s="131">
        <f>F31</f>
        <v>3011</v>
      </c>
      <c r="G12" s="131">
        <f>E12+F12</f>
        <v>5791.318569999999</v>
      </c>
      <c r="H12" s="133">
        <v>7652</v>
      </c>
      <c r="I12" s="278">
        <v>0.03419</v>
      </c>
      <c r="J12" s="133">
        <v>727</v>
      </c>
      <c r="K12" s="132">
        <f>J12/H12</f>
        <v>0.09500784108729744</v>
      </c>
      <c r="L12" s="221">
        <f>G12/H12</f>
        <v>0.7568372412441191</v>
      </c>
      <c r="M12" s="179">
        <f>IF(OR(J12&lt;=0,G12/J12&gt;50),"n.m.",G12/J12)</f>
        <v>7.966050302613479</v>
      </c>
      <c r="N12" t="s" s="24">
        <v>339</v>
      </c>
      <c r="P12" t="str" s="4">
        <f>A12</f>
        <v>Resideo</v>
      </c>
      <c r="Q12" s="221">
        <f>M12</f>
        <v>7.966050302613479</v>
      </c>
    </row>
    <row r="13" ht="12.75" customHeight="1">
      <c r="A13" t="s" s="4">
        <v>347</v>
      </c>
      <c r="B13" t="s" s="4">
        <v>348</v>
      </c>
      <c r="C13" s="277">
        <v>13.64</v>
      </c>
      <c r="D13" s="133">
        <v>107.613</v>
      </c>
      <c r="E13" s="131">
        <f>C13*D13</f>
        <v>1467.84132</v>
      </c>
      <c r="F13" s="131">
        <f>F32</f>
        <v>-101.382</v>
      </c>
      <c r="G13" s="131">
        <f>E13+F13</f>
        <v>1366.45932</v>
      </c>
      <c r="H13" s="133">
        <v>587.145</v>
      </c>
      <c r="I13" s="278">
        <v>0.15646</v>
      </c>
      <c r="J13" s="133">
        <v>22.472</v>
      </c>
      <c r="K13" s="132">
        <f>J13/H13</f>
        <v>0.038273339635013504</v>
      </c>
      <c r="L13" s="221">
        <f>G13/H13</f>
        <v>2.3272944843266994</v>
      </c>
      <c r="M13" t="str" s="179">
        <f>IF(OR(J13&lt;=0,G13/J13&gt;50),"n.m.",G13/J13)</f>
        <v>n.m.</v>
      </c>
      <c r="N13" t="s" s="24">
        <v>339</v>
      </c>
      <c r="P13" t="str" s="4">
        <f>A7</f>
        <v>Brink's</v>
      </c>
      <c r="Q13" s="221">
        <f>M7</f>
        <v>7.497403753770528</v>
      </c>
    </row>
    <row r="14" ht="12.75" customHeight="1">
      <c r="A14" t="s" s="4">
        <v>349</v>
      </c>
      <c r="B14" t="s" s="4">
        <v>350</v>
      </c>
      <c r="C14" s="277">
        <v>180.66</v>
      </c>
      <c r="D14" s="133">
        <v>84.321</v>
      </c>
      <c r="E14" s="131">
        <f>C14*D14</f>
        <v>15233.431859999999</v>
      </c>
      <c r="F14" s="131">
        <f>F33</f>
        <v>1644.1999999999998</v>
      </c>
      <c r="G14" s="131">
        <f>E14+F14</f>
        <v>16877.631859999998</v>
      </c>
      <c r="H14" s="133">
        <v>4390.9</v>
      </c>
      <c r="I14" s="278">
        <v>0.10332</v>
      </c>
      <c r="J14" s="133">
        <v>1086.2</v>
      </c>
      <c r="K14" s="132">
        <f>J14/H14</f>
        <v>0.24737525336491384</v>
      </c>
      <c r="L14" s="221">
        <f>G14/H14</f>
        <v>3.8437750483955453</v>
      </c>
      <c r="M14" s="179">
        <f>IF(OR(J14&lt;=0,G14/J14&gt;50),"n.m.",G14/J14)</f>
        <v>15.538235923402686</v>
      </c>
      <c r="N14" t="s" s="24">
        <v>339</v>
      </c>
      <c r="P14" t="str" s="4">
        <f>A24</f>
        <v>ADT @ offer</v>
      </c>
      <c r="Q14" s="221">
        <f>M24</f>
        <v>5.736283766853221</v>
      </c>
    </row>
    <row r="15" ht="12.75" customHeight="1">
      <c r="A15" t="s" s="4">
        <v>351</v>
      </c>
      <c r="B15" t="s" s="4">
        <v>352</v>
      </c>
      <c r="C15" s="277">
        <v>157.35</v>
      </c>
      <c r="D15" s="133">
        <v>605.741</v>
      </c>
      <c r="E15" s="131">
        <f>C15*D15</f>
        <v>95313.34634999999</v>
      </c>
      <c r="F15" s="131">
        <f>F34</f>
        <v>8659</v>
      </c>
      <c r="G15" s="131">
        <f>E15+F15</f>
        <v>103972.34634999999</v>
      </c>
      <c r="H15" s="133">
        <v>24995</v>
      </c>
      <c r="I15" s="278">
        <v>0.06807</v>
      </c>
      <c r="J15" s="133">
        <v>3762</v>
      </c>
      <c r="K15" s="132">
        <f>J15/H15</f>
        <v>0.15051010202040407</v>
      </c>
      <c r="L15" s="221">
        <f>G15/H15</f>
        <v>4.1597257991598315</v>
      </c>
      <c r="M15" s="179">
        <f>IF(OR(J15&lt;=0,G15/J15&gt;50),"n.m.",G15/J15)</f>
        <v>27.63751896597554</v>
      </c>
      <c r="N15" t="s" s="24">
        <v>339</v>
      </c>
      <c r="P15" t="str" s="4">
        <f>A23</f>
        <v>ADT @ unaffected</v>
      </c>
      <c r="Q15" s="221">
        <f>M23</f>
        <v>4.851919555126287</v>
      </c>
    </row>
    <row r="16" ht="12.75" customHeight="1">
      <c r="A16" t="s" s="117">
        <v>143</v>
      </c>
      <c r="B16" s="117"/>
      <c r="C16" s="222"/>
      <c r="D16" s="134"/>
      <c r="E16" s="134"/>
      <c r="F16" s="134"/>
      <c r="G16" s="134"/>
      <c r="H16" s="134"/>
      <c r="I16" s="135">
        <f>MEDIAN(I10:I15)</f>
        <v>0.09527</v>
      </c>
      <c r="J16" s="134"/>
      <c r="K16" s="135">
        <f>MEDIAN(K10:K15)</f>
        <v>0.1555639906360588</v>
      </c>
      <c r="L16" s="223">
        <f>MEDIAN(L10:L15)</f>
        <v>3.4292612451963933</v>
      </c>
      <c r="M16" s="224">
        <f>MEDIAN(M10:M15)</f>
        <v>18.76968775856302</v>
      </c>
      <c r="N16" s="136"/>
    </row>
    <row r="17" ht="12.75" customHeight="1">
      <c r="A17" t="s" s="219">
        <v>353</v>
      </c>
      <c r="B17" s="4"/>
      <c r="C17" s="220"/>
      <c r="D17" s="131"/>
      <c r="E17" s="131"/>
      <c r="F17" s="131"/>
      <c r="G17" s="131"/>
      <c r="H17" s="131"/>
      <c r="I17" s="132"/>
      <c r="J17" s="131"/>
      <c r="K17" s="132"/>
      <c r="L17" s="221"/>
      <c r="M17" s="179"/>
      <c r="N17" s="24"/>
    </row>
    <row r="18" ht="12.75" customHeight="1">
      <c r="A18" t="s" s="4">
        <v>354</v>
      </c>
      <c r="B18" t="s" s="4">
        <v>355</v>
      </c>
      <c r="C18" s="277">
        <v>33.5</v>
      </c>
      <c r="D18" s="133">
        <v>478.045</v>
      </c>
      <c r="E18" s="131">
        <f>C18*D18</f>
        <v>16014.5075</v>
      </c>
      <c r="F18" s="131">
        <f>F35</f>
        <v>598.0989999999999</v>
      </c>
      <c r="G18" s="131">
        <f>E18+F18</f>
        <v>16612.606499999998</v>
      </c>
      <c r="H18" s="133">
        <v>3987.583</v>
      </c>
      <c r="I18" s="278">
        <v>0.08349</v>
      </c>
      <c r="J18" s="133">
        <v>860.718</v>
      </c>
      <c r="K18" s="132">
        <f>J18/H18</f>
        <v>0.21584955096859423</v>
      </c>
      <c r="L18" s="221">
        <f>G18/H18</f>
        <v>4.1660841918525575</v>
      </c>
      <c r="M18" s="179">
        <f>IF(OR(J18&lt;=0,G18/J18&gt;50),"n.m.",G18/J18)</f>
        <v>19.300870319895715</v>
      </c>
      <c r="N18" t="s" s="24">
        <v>339</v>
      </c>
    </row>
    <row r="19" ht="12.75" customHeight="1">
      <c r="A19" t="s" s="4">
        <v>356</v>
      </c>
      <c r="B19" t="s" s="4">
        <v>357</v>
      </c>
      <c r="C19" s="277">
        <v>84.2</v>
      </c>
      <c r="D19" s="133">
        <v>68.893</v>
      </c>
      <c r="E19" s="131">
        <f>C19*D19</f>
        <v>5800.7906</v>
      </c>
      <c r="F19" s="131">
        <f>F36</f>
        <v>533</v>
      </c>
      <c r="G19" s="131">
        <f>E19+F19</f>
        <v>6333.7906</v>
      </c>
      <c r="H19" s="133">
        <v>2147</v>
      </c>
      <c r="I19" s="278">
        <v>0.09262</v>
      </c>
      <c r="J19" s="133">
        <v>502</v>
      </c>
      <c r="K19" s="132">
        <f>J19/H19</f>
        <v>0.23381462505822076</v>
      </c>
      <c r="L19" s="221">
        <f>G19/H19</f>
        <v>2.9500654867256637</v>
      </c>
      <c r="M19" s="179">
        <f>IF(OR(J19&lt;=0,G19/J19&gt;50),"n.m.",G19/J19)</f>
        <v>12.617112749003985</v>
      </c>
      <c r="N19" t="s" s="24">
        <v>339</v>
      </c>
    </row>
    <row r="20" ht="12.75" customHeight="1">
      <c r="A20" t="s" s="117">
        <v>143</v>
      </c>
      <c r="B20" s="117"/>
      <c r="C20" s="222"/>
      <c r="D20" s="134"/>
      <c r="E20" s="134"/>
      <c r="F20" s="134"/>
      <c r="G20" s="134"/>
      <c r="H20" s="134"/>
      <c r="I20" s="135">
        <f>MEDIAN(I18:I19)</f>
        <v>0.088055</v>
      </c>
      <c r="J20" s="134"/>
      <c r="K20" s="135">
        <f>MEDIAN(K18:K19)</f>
        <v>0.22483208801340748</v>
      </c>
      <c r="L20" s="223">
        <f>MEDIAN(L18:L19)</f>
        <v>3.5580748392891106</v>
      </c>
      <c r="M20" s="224">
        <f>MEDIAN(M18:M19)</f>
        <v>15.95899153444985</v>
      </c>
      <c r="N20" s="136"/>
    </row>
    <row r="21" ht="12.75" customHeight="1">
      <c r="A21" t="s" s="117">
        <v>358</v>
      </c>
      <c r="B21" s="117"/>
      <c r="C21" s="222"/>
      <c r="D21" s="134"/>
      <c r="E21" s="134"/>
      <c r="F21" s="134"/>
      <c r="G21" s="134"/>
      <c r="H21" s="134"/>
      <c r="I21" s="135">
        <f>MEDIAN(I6:I7,I10:I15,I18:I19)</f>
        <v>0.08992</v>
      </c>
      <c r="J21" s="134"/>
      <c r="K21" s="135">
        <f>MEDIAN(K6:K7,K10:K15,K18:K19)</f>
        <v>0.18957362431853655</v>
      </c>
      <c r="L21" s="223">
        <f>MEDIAN(L6:L7,L10:L15,L18:L19)</f>
        <v>3.4292612451963933</v>
      </c>
      <c r="M21" s="224">
        <f>MEDIAN(M6:M7,M10:M15,M18:M19)</f>
        <v>15.538235923402686</v>
      </c>
      <c r="N21" s="136"/>
    </row>
    <row r="22" ht="12.75" customHeight="1">
      <c r="A22" s="4"/>
      <c r="B22" s="4"/>
      <c r="C22" s="220"/>
      <c r="D22" s="131"/>
      <c r="E22" s="131"/>
      <c r="F22" s="131"/>
      <c r="G22" s="131"/>
      <c r="H22" s="131"/>
      <c r="I22" s="132"/>
      <c r="J22" s="131"/>
      <c r="K22" s="132"/>
      <c r="L22" s="221"/>
      <c r="M22" s="179"/>
      <c r="N22" s="24"/>
    </row>
    <row r="23" ht="12.75" customHeight="1">
      <c r="A23" t="s" s="225">
        <v>359</v>
      </c>
      <c r="B23" t="s" s="225">
        <v>360</v>
      </c>
      <c r="C23" s="279">
        <f>Model!Y6</f>
        <v>6.87</v>
      </c>
      <c r="D23" s="280">
        <f>Model!Y9</f>
        <v>760</v>
      </c>
      <c r="E23" s="226">
        <f>C23*D23</f>
        <v>5221.2</v>
      </c>
      <c r="F23" s="280">
        <f>Model!Y11+Model!Y12</f>
        <v>7829.696999999999</v>
      </c>
      <c r="G23" s="226">
        <f>E23+F23</f>
        <v>13050.896999999999</v>
      </c>
      <c r="H23" s="280">
        <f>'Income Statement'!G7</f>
        <v>5166</v>
      </c>
      <c r="I23" s="281">
        <f>'Income Statement'!D7/'Income Statement'!C7-1</f>
        <v>0.04716210698244172</v>
      </c>
      <c r="J23" s="280">
        <f>'Income Statement'!G21</f>
        <v>2689.8419999999996</v>
      </c>
      <c r="K23" s="227">
        <f>J23/H23</f>
        <v>0.5206817653890824</v>
      </c>
      <c r="L23" s="228">
        <f>G23/H23</f>
        <v>2.5263060394889663</v>
      </c>
      <c r="M23" s="229">
        <f>IF(OR(J23&lt;=0,G23/J23&gt;50),"n.m.",G23/J23)</f>
        <v>4.851919555126287</v>
      </c>
      <c r="N23" t="s" s="230">
        <v>361</v>
      </c>
    </row>
    <row r="24" ht="12.75" customHeight="1">
      <c r="A24" t="s" s="225">
        <v>362</v>
      </c>
      <c r="B24" t="s" s="225">
        <v>360</v>
      </c>
      <c r="C24" s="279">
        <f>Model!E5</f>
        <v>10</v>
      </c>
      <c r="D24" s="280">
        <f>Model!Y9</f>
        <v>760</v>
      </c>
      <c r="E24" s="226">
        <f>C24*D24</f>
        <v>7600</v>
      </c>
      <c r="F24" s="280">
        <f>Model!Y11+Model!Y12</f>
        <v>7829.696999999999</v>
      </c>
      <c r="G24" s="226">
        <f>E24+F24</f>
        <v>15429.697</v>
      </c>
      <c r="H24" s="280">
        <f>'Income Statement'!G7</f>
        <v>5166</v>
      </c>
      <c r="I24" s="281">
        <f>'Income Statement'!D7/'Income Statement'!C7-1</f>
        <v>0.04716210698244172</v>
      </c>
      <c r="J24" s="280">
        <f>'Income Statement'!G21</f>
        <v>2689.8419999999996</v>
      </c>
      <c r="K24" s="227">
        <f>J24/H24</f>
        <v>0.5206817653890824</v>
      </c>
      <c r="L24" s="228">
        <f>G24/H24</f>
        <v>2.9867783584978707</v>
      </c>
      <c r="M24" s="229">
        <f>IF(OR(J24&lt;=0,G24/J24&gt;50),"n.m.",G24/J24)</f>
        <v>5.736283766853221</v>
      </c>
      <c r="N24" t="s" s="230">
        <v>363</v>
      </c>
    </row>
    <row r="25" ht="12.75" customHeight="1">
      <c r="A25" s="4"/>
      <c r="B25" s="4"/>
      <c r="C25" s="4"/>
      <c r="D25" s="4"/>
      <c r="E25" s="4"/>
      <c r="F25" s="4"/>
      <c r="G25" s="4"/>
      <c r="H25" s="4"/>
      <c r="I25" s="4"/>
      <c r="J25" s="4"/>
      <c r="K25" s="4"/>
      <c r="L25" s="4"/>
      <c r="M25" s="4"/>
      <c r="N25" s="4"/>
    </row>
    <row r="26" ht="12.75" customHeight="1">
      <c r="A26" t="s" s="128">
        <v>364</v>
      </c>
      <c r="B26" t="s" s="129">
        <v>365</v>
      </c>
      <c r="C26" t="s" s="129">
        <v>366</v>
      </c>
      <c r="D26" t="s" s="129">
        <v>367</v>
      </c>
      <c r="E26" t="s" s="129">
        <v>368</v>
      </c>
      <c r="F26" t="s" s="129">
        <v>85</v>
      </c>
      <c r="G26" t="s" s="128">
        <v>369</v>
      </c>
      <c r="H26" t="s" s="128">
        <v>97</v>
      </c>
      <c r="I26" s="4"/>
      <c r="J26" s="4"/>
      <c r="K26" s="4"/>
      <c r="L26" s="4"/>
      <c r="M26" s="4"/>
      <c r="N26" s="4"/>
    </row>
    <row r="27" ht="12.75" customHeight="1">
      <c r="A27" t="s" s="4">
        <v>334</v>
      </c>
      <c r="B27" s="133">
        <v>3913</v>
      </c>
      <c r="C27" s="133">
        <v>1295.7</v>
      </c>
      <c r="D27" s="133">
        <v>0</v>
      </c>
      <c r="E27" s="133">
        <v>36.7</v>
      </c>
      <c r="F27" s="131">
        <f>B27+C27+D27-E27</f>
        <v>5172</v>
      </c>
      <c r="G27" t="s" s="4">
        <v>371</v>
      </c>
      <c r="H27" t="s" s="24">
        <v>370</v>
      </c>
      <c r="I27" s="4"/>
      <c r="J27" s="4"/>
      <c r="K27" s="4"/>
      <c r="L27" s="4"/>
      <c r="M27" s="4"/>
      <c r="N27" s="4"/>
    </row>
    <row r="28" ht="12.75" customHeight="1">
      <c r="A28" t="s" s="4">
        <v>337</v>
      </c>
      <c r="B28" s="133">
        <v>3895.1</v>
      </c>
      <c r="C28" s="133">
        <v>98.4</v>
      </c>
      <c r="D28" s="133">
        <v>248.8</v>
      </c>
      <c r="E28" s="133">
        <v>1658.2</v>
      </c>
      <c r="F28" s="131">
        <f>B28+C28+D28-E28</f>
        <v>2584.1000000000004</v>
      </c>
      <c r="G28" t="s" s="4">
        <v>371</v>
      </c>
      <c r="H28" t="s" s="24">
        <v>370</v>
      </c>
      <c r="I28" s="4"/>
      <c r="J28" s="4"/>
      <c r="K28" s="4"/>
      <c r="L28" s="4"/>
      <c r="M28" s="4"/>
      <c r="N28" s="4"/>
    </row>
    <row r="29" ht="12.75" customHeight="1">
      <c r="A29" t="s" s="4">
        <v>341</v>
      </c>
      <c r="B29" s="133">
        <v>491.094</v>
      </c>
      <c r="C29" s="133">
        <v>0</v>
      </c>
      <c r="D29" s="133">
        <v>0</v>
      </c>
      <c r="E29" s="133">
        <v>479.418</v>
      </c>
      <c r="F29" s="131">
        <f>B29+C29+D29-E29</f>
        <v>11.675999999999988</v>
      </c>
      <c r="G29" t="s" s="4">
        <v>371</v>
      </c>
      <c r="H29" t="s" s="24">
        <v>370</v>
      </c>
      <c r="I29" s="4"/>
      <c r="J29" s="4"/>
      <c r="K29" s="4"/>
      <c r="L29" s="4"/>
      <c r="M29" s="4"/>
      <c r="N29" s="4"/>
    </row>
    <row r="30" ht="12.75" customHeight="1">
      <c r="A30" t="s" s="4">
        <v>343</v>
      </c>
      <c r="B30" s="133">
        <v>0</v>
      </c>
      <c r="C30" s="133">
        <v>0</v>
      </c>
      <c r="D30" s="133">
        <v>0</v>
      </c>
      <c r="E30" s="133">
        <v>126.928</v>
      </c>
      <c r="F30" s="131">
        <f>B30+C30+D30-E30</f>
        <v>-126.928</v>
      </c>
      <c r="G30" t="s" s="4">
        <v>372</v>
      </c>
      <c r="H30" t="s" s="24">
        <v>370</v>
      </c>
      <c r="I30" s="4"/>
      <c r="J30" s="4"/>
      <c r="K30" s="4"/>
      <c r="L30" s="4"/>
      <c r="M30" s="4"/>
      <c r="N30" s="4"/>
    </row>
    <row r="31" ht="12.75">
      <c r="A31" t="s" s="4">
        <v>345</v>
      </c>
      <c r="B31" s="133">
        <v>3560</v>
      </c>
      <c r="C31" s="133">
        <v>0</v>
      </c>
      <c r="D31" s="133">
        <v>0</v>
      </c>
      <c r="E31" s="133">
        <v>549</v>
      </c>
      <c r="F31" s="131">
        <f>B31+C31+D31-E31</f>
        <v>3011</v>
      </c>
      <c r="G31" t="s" s="4">
        <v>371</v>
      </c>
      <c r="H31" t="s" s="24">
        <v>370</v>
      </c>
      <c r="I31" s="4"/>
      <c r="J31" s="4"/>
      <c r="K31" s="4"/>
      <c r="L31" s="4"/>
      <c r="M31" s="4"/>
      <c r="N31" s="4"/>
    </row>
    <row r="32" ht="12.75">
      <c r="A32" t="s" s="4">
        <v>347</v>
      </c>
      <c r="B32" s="133">
        <v>0</v>
      </c>
      <c r="C32" s="133">
        <v>0</v>
      </c>
      <c r="D32" s="133">
        <v>0</v>
      </c>
      <c r="E32" s="133">
        <v>101.382</v>
      </c>
      <c r="F32" s="131">
        <f>B32+C32+D32-E32</f>
        <v>-101.382</v>
      </c>
      <c r="G32" t="s" s="4">
        <v>371</v>
      </c>
      <c r="H32" t="s" s="24">
        <v>370</v>
      </c>
      <c r="I32" s="4"/>
      <c r="J32" s="4"/>
      <c r="K32" s="4"/>
      <c r="L32" s="4"/>
      <c r="M32" s="4"/>
      <c r="N32" s="4"/>
    </row>
    <row r="33" ht="12.75">
      <c r="A33" t="s" s="4">
        <v>349</v>
      </c>
      <c r="B33" s="133">
        <v>2031.7</v>
      </c>
      <c r="C33" s="133">
        <v>0.3</v>
      </c>
      <c r="D33" s="133">
        <v>0.3</v>
      </c>
      <c r="E33" s="133">
        <v>388.1</v>
      </c>
      <c r="F33" s="131">
        <f>B33+C33+D33-E33</f>
        <v>1644.1999999999998</v>
      </c>
      <c r="G33" t="s" s="4">
        <v>373</v>
      </c>
      <c r="H33" t="s" s="24">
        <v>370</v>
      </c>
      <c r="I33" s="4"/>
      <c r="J33" s="4"/>
      <c r="K33" s="4"/>
      <c r="L33" s="4"/>
      <c r="M33" s="4"/>
      <c r="N33" s="4"/>
    </row>
    <row r="34" ht="12.75">
      <c r="A34" t="s" s="4">
        <v>351</v>
      </c>
      <c r="B34" s="133">
        <v>7533</v>
      </c>
      <c r="C34" s="133">
        <v>1066</v>
      </c>
      <c r="D34" s="133">
        <v>678</v>
      </c>
      <c r="E34" s="133">
        <v>618</v>
      </c>
      <c r="F34" s="131">
        <f>B34+C34+D34-E34</f>
        <v>8659</v>
      </c>
      <c r="G34" t="s" s="4">
        <v>372</v>
      </c>
      <c r="H34" t="s" s="24">
        <v>370</v>
      </c>
      <c r="I34" s="4"/>
      <c r="J34" s="4"/>
      <c r="K34" s="4"/>
      <c r="L34" s="4"/>
      <c r="M34" s="4"/>
      <c r="N34" s="4"/>
    </row>
    <row r="35" ht="12.75">
      <c r="A35" t="s" s="4">
        <v>354</v>
      </c>
      <c r="B35" s="133">
        <v>487.587</v>
      </c>
      <c r="C35" s="133">
        <v>0</v>
      </c>
      <c r="D35" s="133">
        <v>239.562</v>
      </c>
      <c r="E35" s="133">
        <v>129.05</v>
      </c>
      <c r="F35" s="131">
        <f>B35+C35+D35-E35</f>
        <v>598.0989999999999</v>
      </c>
      <c r="G35" t="s" s="4">
        <v>373</v>
      </c>
      <c r="H35" t="s" s="24">
        <v>370</v>
      </c>
      <c r="I35" s="4"/>
      <c r="J35" s="4"/>
      <c r="K35" s="4"/>
      <c r="L35" s="4"/>
      <c r="M35" s="4"/>
      <c r="N35" s="4"/>
    </row>
    <row r="36" ht="12.75">
      <c r="A36" t="s" s="4">
        <v>356</v>
      </c>
      <c r="B36" s="133">
        <v>1131</v>
      </c>
      <c r="C36" s="133">
        <v>29</v>
      </c>
      <c r="D36" s="133">
        <v>0</v>
      </c>
      <c r="E36" s="133">
        <v>627</v>
      </c>
      <c r="F36" s="131">
        <f>B36+C36+D36-E36</f>
        <v>533</v>
      </c>
      <c r="G36" t="s" s="4">
        <v>371</v>
      </c>
      <c r="H36" t="s" s="24">
        <v>370</v>
      </c>
      <c r="I36" s="4"/>
      <c r="J36" s="4"/>
      <c r="K36" s="4"/>
      <c r="L36" s="4"/>
      <c r="M36" s="4"/>
      <c r="N36" s="4"/>
    </row>
  </sheetData>
  <pageMargins left="0.7" right="0.7" top="0.75" bottom="0.75" header="0.3" footer="0.3"/>
  <drawing r:id="rId1"/>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dimension ref="A1:AH917"/>
  <sheetViews>
    <sheetView showGridLines="0" tabSelected="1" zoomScale="80" workbookViewId="0">
      <selection activeCell="A1" sqref="A1"/>
    </sheetView>
  </sheetViews>
  <sheetFormatPr defaultRowHeight="14.25" outlineLevelRow="1"/>
  <cols>
    <col min="1" max="1" width="1.796875" customWidth="1"/>
    <col min="2" max="2" width="11.796875" customWidth="1"/>
    <col min="3" max="8" width="9.53125" customWidth="1"/>
    <col min="9" max="9" width="2.19921875" customWidth="1"/>
    <col min="10" max="10" width="11.796875" customWidth="1"/>
    <col min="11" max="11" width="11.7890625" customWidth="1"/>
    <col min="12" max="16" width="9.53125" customWidth="1"/>
    <col min="17" max="17" width="2.19921875" customWidth="1"/>
    <col min="18" max="18" width="11.796875" customWidth="1"/>
    <col min="19" max="19" width="11.7890625" customWidth="1"/>
    <col min="20" max="24" width="9.53125" customWidth="1"/>
  </cols>
  <sheetData>
    <row r="1" ht="12.75">
      <c r="A1" s="4"/>
      <c r="B1" t="s" s="14">
        <v>473</v>
      </c>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row>
    <row r="2" ht="13.9">
      <c r="A2" s="4"/>
      <c r="B2" t="s" s="290">
        <v>474</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row>
    <row r="3" ht="12.75">
      <c r="A3" s="4"/>
      <c r="B3" t="s" s="14">
        <v>401</v>
      </c>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ht="12.7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row>
    <row r="5" ht="12.75">
      <c r="A5" s="4"/>
      <c r="B5" t="s" s="26">
        <v>475</v>
      </c>
      <c r="C5" s="26"/>
      <c r="D5" s="26"/>
      <c r="E5" s="26"/>
      <c r="F5" s="26"/>
      <c r="G5" s="26"/>
      <c r="H5" s="26"/>
      <c r="I5" s="26"/>
      <c r="J5" s="26"/>
      <c r="K5" s="26"/>
      <c r="L5" s="26"/>
      <c r="M5" s="26"/>
      <c r="N5" s="26"/>
      <c r="O5" s="26"/>
      <c r="P5" s="26"/>
      <c r="Q5" s="26"/>
      <c r="R5" s="26"/>
      <c r="S5" s="26"/>
      <c r="T5" s="26"/>
      <c r="U5" s="26"/>
      <c r="V5" s="26"/>
      <c r="W5" s="26"/>
      <c r="X5" s="26"/>
      <c r="Y5" s="4"/>
      <c r="Z5" s="4"/>
      <c r="AA5" s="4"/>
      <c r="AB5" s="4"/>
      <c r="AC5" s="4"/>
      <c r="AD5" s="4"/>
      <c r="AE5" s="4"/>
      <c r="AF5" s="4"/>
      <c r="AG5" s="4"/>
      <c r="AH5" s="4"/>
    </row>
    <row r="6" ht="12.75">
      <c r="A6" s="4"/>
      <c r="B6" t="s" s="16">
        <v>402</v>
      </c>
      <c r="C6" s="4"/>
      <c r="D6" s="4"/>
      <c r="E6" s="187">
        <f>Model!M5</f>
        <v>0.2</v>
      </c>
      <c r="F6" t="s" s="14">
        <v>403</v>
      </c>
      <c r="G6" s="4"/>
      <c r="H6" s="4"/>
      <c r="I6" s="4"/>
      <c r="J6" s="4"/>
      <c r="K6" s="4"/>
      <c r="L6" s="4"/>
      <c r="M6" s="4"/>
      <c r="N6" s="4"/>
      <c r="O6" s="4"/>
      <c r="P6" s="4"/>
      <c r="Q6" s="4"/>
      <c r="R6" s="4"/>
      <c r="S6" s="4"/>
      <c r="T6" s="4"/>
      <c r="U6" s="4"/>
      <c r="V6" s="4"/>
      <c r="W6" s="4"/>
      <c r="X6" s="4"/>
      <c r="Y6" s="4"/>
      <c r="Z6" s="4"/>
      <c r="AA6" s="4"/>
      <c r="AB6" s="4"/>
      <c r="AC6" s="4"/>
      <c r="AD6" s="4"/>
      <c r="AE6" s="4"/>
      <c r="AF6" s="4"/>
      <c r="AG6" s="4"/>
      <c r="AH6" s="4"/>
    </row>
    <row r="7" ht="12.7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row>
    <row r="8" ht="16.15">
      <c r="A8" s="4"/>
      <c r="B8" s="297"/>
      <c r="C8" s="297"/>
      <c r="D8" s="297"/>
      <c r="E8" t="s" s="369">
        <v>124</v>
      </c>
      <c r="F8" s="369"/>
      <c r="G8" s="369"/>
      <c r="H8" s="369"/>
      <c r="I8" s="369"/>
      <c r="J8" t="s" s="369">
        <v>125</v>
      </c>
      <c r="K8" s="369"/>
      <c r="L8" s="369"/>
      <c r="M8" s="369"/>
      <c r="N8" s="369"/>
      <c r="O8" t="s" s="369">
        <v>284</v>
      </c>
      <c r="P8" s="369"/>
      <c r="Q8" s="369"/>
      <c r="R8" s="369"/>
      <c r="S8" t="s" s="297">
        <v>440</v>
      </c>
      <c r="T8" s="4"/>
      <c r="U8" s="4"/>
      <c r="V8" s="4"/>
      <c r="W8" s="4"/>
      <c r="X8" s="4"/>
      <c r="Y8" s="4"/>
      <c r="Z8" s="4"/>
      <c r="AA8" s="4"/>
      <c r="AB8" s="4"/>
      <c r="AC8" s="4"/>
      <c r="AD8" s="4"/>
      <c r="AE8" s="4"/>
      <c r="AF8" s="4"/>
      <c r="AG8" s="4"/>
      <c r="AH8" s="4"/>
    </row>
    <row r="9" ht="12.75">
      <c r="A9" s="4"/>
      <c r="B9" t="s" s="346">
        <v>404</v>
      </c>
      <c r="C9" s="347"/>
      <c r="D9" s="347"/>
      <c r="E9" t="s" s="292">
        <v>405</v>
      </c>
      <c r="F9" t="s" s="347">
        <v>406</v>
      </c>
      <c r="G9" s="347"/>
      <c r="H9" s="347"/>
      <c r="I9" s="347"/>
      <c r="J9" t="s" s="292">
        <v>405</v>
      </c>
      <c r="K9" t="s" s="347">
        <v>406</v>
      </c>
      <c r="L9" s="347"/>
      <c r="M9" s="347"/>
      <c r="N9" s="347"/>
      <c r="O9" t="s" s="292">
        <v>405</v>
      </c>
      <c r="P9" t="s" s="347">
        <v>406</v>
      </c>
      <c r="Q9" s="347"/>
      <c r="R9" s="347"/>
      <c r="S9" t="s" s="292">
        <v>441</v>
      </c>
      <c r="T9" s="4"/>
      <c r="U9" s="4"/>
      <c r="V9" s="4"/>
      <c r="W9" s="4"/>
      <c r="X9" s="4"/>
      <c r="Y9" s="4"/>
      <c r="Z9" s="4"/>
      <c r="AA9" s="4"/>
      <c r="AB9" s="4"/>
      <c r="AC9" s="4"/>
      <c r="AD9" s="4"/>
      <c r="AE9" s="4"/>
      <c r="AF9" s="4"/>
      <c r="AG9" s="4"/>
      <c r="AH9" s="4"/>
    </row>
    <row r="10" ht="12.75">
      <c r="A10" s="4"/>
      <c r="B10" t="s" s="371">
        <v>408</v>
      </c>
      <c r="C10" s="370"/>
      <c r="D10" s="370"/>
      <c r="E10" s="370"/>
      <c r="F10" s="370"/>
      <c r="G10" s="370"/>
      <c r="H10" s="370"/>
      <c r="I10" s="370"/>
      <c r="J10" s="370"/>
      <c r="K10" s="370"/>
      <c r="L10" s="370"/>
      <c r="M10" s="370"/>
      <c r="N10" s="370"/>
      <c r="O10" s="370"/>
      <c r="P10" s="370"/>
      <c r="Q10" s="370"/>
      <c r="R10" s="370"/>
      <c r="S10" s="370"/>
      <c r="T10" s="4"/>
      <c r="U10" s="4"/>
      <c r="V10" s="4"/>
      <c r="W10" s="4"/>
      <c r="X10" s="4"/>
      <c r="Y10" s="4"/>
      <c r="Z10" s="4"/>
      <c r="AA10" s="4"/>
      <c r="AB10" s="4"/>
      <c r="AC10" s="4"/>
      <c r="AD10" s="4"/>
      <c r="AE10" s="4"/>
      <c r="AF10" s="4"/>
      <c r="AG10" s="4"/>
      <c r="AH10" s="4"/>
    </row>
    <row r="11" ht="26" customHeight="1">
      <c r="A11" s="4"/>
      <c r="B11" t="s" s="348">
        <v>442</v>
      </c>
      <c r="C11" s="348"/>
      <c r="D11" s="348"/>
      <c r="E11" s="373">
        <f>AVERAGE('Driver Assumptions'!G9:K9)</f>
        <v>0.1256</v>
      </c>
      <c r="F11" t="s" s="349">
        <v>443</v>
      </c>
      <c r="G11" s="348"/>
      <c r="H11" s="348"/>
      <c r="I11" s="348"/>
      <c r="J11" s="373">
        <f>AVERAGE('Driver Assumptions'!G10:K10)</f>
        <v>0.13740000000000002</v>
      </c>
      <c r="K11" t="s" s="349">
        <v>444</v>
      </c>
      <c r="L11" s="348"/>
      <c r="M11" s="348"/>
      <c r="N11" s="348"/>
      <c r="O11" s="373">
        <f>AVERAGE('Driver Assumptions'!G11:K11)</f>
        <v>0.14240000000000003</v>
      </c>
      <c r="P11" t="s" s="349">
        <v>445</v>
      </c>
      <c r="Q11" s="348"/>
      <c r="R11" s="348"/>
      <c r="S11" s="366">
        <v>0.004</v>
      </c>
      <c r="T11" s="4"/>
      <c r="U11" s="4"/>
      <c r="V11" s="4"/>
      <c r="W11" s="4"/>
      <c r="X11" s="4"/>
      <c r="Y11" s="4"/>
      <c r="Z11" s="4"/>
      <c r="AA11" s="4"/>
      <c r="AB11" s="4"/>
      <c r="AC11" s="4"/>
      <c r="AD11" s="4"/>
      <c r="AE11" s="4"/>
      <c r="AF11" s="4"/>
      <c r="AG11" s="4"/>
      <c r="AH11" s="4"/>
    </row>
    <row r="12" ht="26" customHeight="1">
      <c r="A12" s="4"/>
      <c r="B12" t="s" s="348">
        <v>425</v>
      </c>
      <c r="C12" s="348"/>
      <c r="D12" s="348"/>
      <c r="E12" s="373">
        <f>AVERAGE('Driver Assumptions'!G14:K14)</f>
        <v>0.1376</v>
      </c>
      <c r="F12" t="s" s="349">
        <v>409</v>
      </c>
      <c r="G12" s="348"/>
      <c r="H12" s="348"/>
      <c r="I12" s="348"/>
      <c r="J12" s="373">
        <f>AVERAGE('Driver Assumptions'!G15:K15)</f>
        <v>0.12079999999999999</v>
      </c>
      <c r="K12" t="s" s="349">
        <v>446</v>
      </c>
      <c r="L12" s="348"/>
      <c r="M12" s="348"/>
      <c r="N12" s="348"/>
      <c r="O12" s="373">
        <f>AVERAGE('Driver Assumptions'!G16:K16)</f>
        <v>0.1146</v>
      </c>
      <c r="P12" t="s" s="349">
        <v>410</v>
      </c>
      <c r="Q12" s="348"/>
      <c r="R12" s="348"/>
      <c r="S12" s="366">
        <v>0.006</v>
      </c>
      <c r="T12" s="4"/>
      <c r="U12" s="4"/>
      <c r="V12" s="4"/>
      <c r="W12" s="4"/>
      <c r="X12" s="4"/>
      <c r="Y12" s="4"/>
      <c r="Z12" s="4"/>
      <c r="AA12" s="4"/>
      <c r="AB12" s="4"/>
      <c r="AC12" s="4"/>
      <c r="AD12" s="4"/>
      <c r="AE12" s="4"/>
      <c r="AF12" s="4"/>
      <c r="AG12" s="4"/>
      <c r="AH12" s="4"/>
    </row>
    <row r="13" ht="26" customHeight="1">
      <c r="A13" s="4"/>
      <c r="B13" t="s" s="348">
        <v>447</v>
      </c>
      <c r="C13" s="348"/>
      <c r="D13" s="348"/>
      <c r="E13" s="374">
        <f>AVERAGE('Driver Assumptions'!G19:K19)</f>
        <v>17</v>
      </c>
      <c r="F13" t="s" s="349">
        <v>448</v>
      </c>
      <c r="G13" s="348"/>
      <c r="H13" s="348"/>
      <c r="I13" s="348"/>
      <c r="J13" s="374">
        <f>AVERAGE('Driver Assumptions'!G20:K20)</f>
        <v>19.5</v>
      </c>
      <c r="K13" t="s" s="349">
        <v>449</v>
      </c>
      <c r="L13" s="348"/>
      <c r="M13" s="348"/>
      <c r="N13" s="348"/>
      <c r="O13" s="374">
        <f>AVERAGE('Driver Assumptions'!G21:K21)</f>
        <v>21.2</v>
      </c>
      <c r="P13" t="s" s="349">
        <v>450</v>
      </c>
      <c r="Q13" s="348"/>
      <c r="R13" s="348"/>
      <c r="S13" s="367">
        <v>1</v>
      </c>
      <c r="T13" s="4"/>
      <c r="U13" s="4"/>
      <c r="V13" s="4"/>
      <c r="W13" s="4"/>
      <c r="X13" s="4"/>
      <c r="Y13" s="4"/>
      <c r="Z13" s="4"/>
      <c r="AA13" s="4"/>
      <c r="AB13" s="4"/>
      <c r="AC13" s="4"/>
      <c r="AD13" s="4"/>
      <c r="AE13" s="4"/>
      <c r="AF13" s="4"/>
      <c r="AG13" s="4"/>
      <c r="AH13" s="4"/>
    </row>
    <row r="14" ht="26" customHeight="1">
      <c r="A14" s="4"/>
      <c r="B14" t="s" s="348">
        <v>451</v>
      </c>
      <c r="C14" s="348"/>
      <c r="D14" s="348"/>
      <c r="E14" s="373">
        <f>AVERAGE('Driver Assumptions'!G24:K24)</f>
        <v>0.147</v>
      </c>
      <c r="F14" t="s" s="349">
        <v>413</v>
      </c>
      <c r="G14" s="348"/>
      <c r="H14" s="348"/>
      <c r="I14" s="348"/>
      <c r="J14" s="373">
        <f>AVERAGE('Driver Assumptions'!G25:K25)</f>
        <v>0.13</v>
      </c>
      <c r="K14" t="s" s="349">
        <v>452</v>
      </c>
      <c r="L14" s="348"/>
      <c r="M14" s="348"/>
      <c r="N14" s="348"/>
      <c r="O14" s="373">
        <f>AVERAGE('Driver Assumptions'!G26:K26)</f>
        <v>0.118</v>
      </c>
      <c r="P14" t="s" s="349">
        <v>414</v>
      </c>
      <c r="Q14" s="348"/>
      <c r="R14" s="348"/>
      <c r="S14" s="366">
        <v>0.0075</v>
      </c>
      <c r="T14" s="4"/>
      <c r="U14" s="4"/>
      <c r="V14" s="4"/>
      <c r="W14" s="4"/>
      <c r="X14" s="4"/>
      <c r="Y14" s="4"/>
      <c r="Z14" s="4"/>
      <c r="AA14" s="4"/>
      <c r="AB14" s="4"/>
      <c r="AC14" s="4"/>
      <c r="AD14" s="4"/>
      <c r="AE14" s="4"/>
      <c r="AF14" s="4"/>
      <c r="AG14" s="4"/>
      <c r="AH14" s="4"/>
    </row>
    <row r="15" ht="26" customHeight="1">
      <c r="A15" s="4"/>
      <c r="B15" t="s" s="348">
        <v>424</v>
      </c>
      <c r="C15" s="348"/>
      <c r="D15" s="348"/>
      <c r="E15" s="373">
        <f>AVERAGE('Driver Assumptions'!G29:K29)</f>
        <v>0.29</v>
      </c>
      <c r="F15" t="s" s="349">
        <v>411</v>
      </c>
      <c r="G15" s="348"/>
      <c r="H15" s="348"/>
      <c r="I15" s="348"/>
      <c r="J15" s="373">
        <f>AVERAGE('Driver Assumptions'!G30:K30)</f>
        <v>0.257</v>
      </c>
      <c r="K15" t="s" s="349">
        <v>453</v>
      </c>
      <c r="L15" s="348"/>
      <c r="M15" s="348"/>
      <c r="N15" s="348"/>
      <c r="O15" s="373">
        <f>AVERAGE('Driver Assumptions'!G31:K31)</f>
        <v>0.242</v>
      </c>
      <c r="P15" t="s" s="349">
        <v>412</v>
      </c>
      <c r="Q15" s="348"/>
      <c r="R15" s="348"/>
      <c r="S15" s="366">
        <v>0.0125</v>
      </c>
      <c r="T15" s="4"/>
      <c r="U15" s="4"/>
      <c r="V15" s="4"/>
      <c r="W15" s="4"/>
      <c r="X15" s="4"/>
      <c r="Y15" s="4"/>
      <c r="Z15" s="4"/>
      <c r="AA15" s="4"/>
      <c r="AB15" s="4"/>
      <c r="AC15" s="4"/>
      <c r="AD15" s="4"/>
      <c r="AE15" s="4"/>
      <c r="AF15" s="4"/>
      <c r="AG15" s="4"/>
      <c r="AH15" s="4"/>
    </row>
    <row r="16" ht="26" customHeight="1">
      <c r="A16" s="4"/>
      <c r="B16" t="s" s="348">
        <v>454</v>
      </c>
      <c r="C16" s="348"/>
      <c r="D16" s="348"/>
      <c r="E16" s="374">
        <f>AVERAGE('Driver Assumptions'!G34:K34)</f>
        <v>25.9</v>
      </c>
      <c r="F16" t="s" s="349">
        <v>455</v>
      </c>
      <c r="G16" s="348"/>
      <c r="H16" s="348"/>
      <c r="I16" s="348"/>
      <c r="J16" s="374">
        <f>AVERAGE('Driver Assumptions'!G35:K35)</f>
        <v>22.8</v>
      </c>
      <c r="K16" t="s" s="349">
        <v>456</v>
      </c>
      <c r="L16" s="348"/>
      <c r="M16" s="348"/>
      <c r="N16" s="348"/>
      <c r="O16" s="374">
        <f>AVERAGE('Driver Assumptions'!G36:K36)</f>
        <v>21.36</v>
      </c>
      <c r="P16" t="s" s="349">
        <v>457</v>
      </c>
      <c r="Q16" s="348"/>
      <c r="R16" s="348"/>
      <c r="S16" s="367">
        <v>1</v>
      </c>
      <c r="T16" s="4"/>
      <c r="U16" s="4"/>
      <c r="V16" s="4"/>
      <c r="W16" s="4"/>
      <c r="X16" s="4"/>
      <c r="Y16" s="4"/>
      <c r="Z16" s="4"/>
      <c r="AA16" s="4"/>
      <c r="AB16" s="4"/>
      <c r="AC16" s="4"/>
      <c r="AD16" s="4"/>
      <c r="AE16" s="4"/>
      <c r="AF16" s="4"/>
      <c r="AG16" s="4"/>
      <c r="AH16" s="4"/>
    </row>
    <row r="17" ht="12.75">
      <c r="A17" s="4"/>
      <c r="B17" t="s" s="371">
        <v>415</v>
      </c>
      <c r="C17" s="370"/>
      <c r="D17" s="370"/>
      <c r="E17" s="370"/>
      <c r="F17" s="370"/>
      <c r="G17" s="370"/>
      <c r="H17" s="370"/>
      <c r="I17" s="370"/>
      <c r="J17" s="370"/>
      <c r="K17" s="370"/>
      <c r="L17" s="370"/>
      <c r="M17" s="370"/>
      <c r="N17" s="370"/>
      <c r="O17" s="370"/>
      <c r="P17" s="370"/>
      <c r="Q17" s="370"/>
      <c r="R17" s="370"/>
      <c r="S17" s="370"/>
      <c r="T17" s="4"/>
      <c r="U17" s="4"/>
      <c r="V17" s="4"/>
      <c r="W17" s="4"/>
      <c r="X17" s="4"/>
      <c r="Y17" s="4"/>
      <c r="Z17" s="4"/>
      <c r="AA17" s="4"/>
      <c r="AB17" s="4"/>
      <c r="AC17" s="4"/>
      <c r="AD17" s="4"/>
      <c r="AE17" s="4"/>
      <c r="AF17" s="4"/>
      <c r="AG17" s="4"/>
      <c r="AH17" s="4"/>
    </row>
    <row r="18" ht="26" customHeight="1">
      <c r="A18" s="4"/>
      <c r="B18" t="s" s="348">
        <v>417</v>
      </c>
      <c r="C18" s="348"/>
      <c r="D18" s="348"/>
      <c r="E18" s="374">
        <f>(Model!Y6*Model!Y9+Model!Y11+Model!Y12)/Model!Y4</f>
        <v>4.851919555126287</v>
      </c>
      <c r="F18" t="s" s="349">
        <v>416</v>
      </c>
      <c r="G18" s="348"/>
      <c r="H18" s="348"/>
      <c r="I18" s="348"/>
      <c r="J18" s="374">
        <f>Model!E6</f>
        <v>6</v>
      </c>
      <c r="K18" t="str" s="349">
        <f>"Model's stipulated exit; "&amp;TEXT(Model!Y15,"0.0x")&amp;" paid at the offer"</f>
        <v>Model's stipulated exit; 5.7x paid at the offer</v>
      </c>
      <c r="L18" s="348"/>
      <c r="M18" s="348"/>
      <c r="N18" s="348"/>
      <c r="O18" t="s" s="375">
        <v>109</v>
      </c>
      <c r="P18" t="s" s="349">
        <v>476</v>
      </c>
      <c r="Q18" s="348"/>
      <c r="R18" s="348"/>
      <c r="S18" s="367">
        <v>0.5</v>
      </c>
      <c r="T18" s="4"/>
      <c r="U18" s="4"/>
      <c r="V18" s="4"/>
      <c r="W18" s="4"/>
      <c r="X18" s="4"/>
      <c r="Y18" s="4"/>
      <c r="Z18" s="4"/>
      <c r="AA18" s="4"/>
      <c r="AB18" s="4"/>
      <c r="AC18" s="4"/>
      <c r="AD18" s="4"/>
      <c r="AE18" s="4"/>
      <c r="AF18" s="4"/>
      <c r="AG18" s="4"/>
      <c r="AH18" s="4"/>
    </row>
    <row r="19" ht="12.75">
      <c r="A19" s="4"/>
      <c r="B19" t="s" s="371">
        <v>616</v>
      </c>
      <c r="C19" s="370"/>
      <c r="D19" s="370"/>
      <c r="E19" s="370"/>
      <c r="F19" s="370"/>
      <c r="G19" s="370"/>
      <c r="H19" s="370"/>
      <c r="I19" s="370"/>
      <c r="J19" s="370"/>
      <c r="K19" s="370"/>
      <c r="L19" s="370"/>
      <c r="M19" s="370"/>
      <c r="N19" s="370"/>
      <c r="O19" s="370"/>
      <c r="P19" s="370"/>
      <c r="Q19" s="370"/>
      <c r="R19" s="370"/>
      <c r="S19" s="370"/>
      <c r="T19" s="4"/>
      <c r="U19" s="4"/>
      <c r="V19" s="4"/>
      <c r="W19" s="4"/>
      <c r="X19" s="4"/>
      <c r="Y19" s="4"/>
      <c r="Z19" s="4"/>
      <c r="AA19" s="4"/>
      <c r="AB19" s="4"/>
      <c r="AC19" s="4"/>
      <c r="AD19" s="4"/>
      <c r="AE19" s="4"/>
      <c r="AF19" s="4"/>
      <c r="AG19" s="4"/>
      <c r="AH19" s="4"/>
    </row>
    <row r="20" ht="26" customHeight="1">
      <c r="A20" s="4"/>
      <c r="B20" t="s" s="348">
        <v>430</v>
      </c>
      <c r="C20" s="348"/>
      <c r="D20" s="348"/>
      <c r="E20" s="368">
        <v>10.5</v>
      </c>
      <c r="F20" t="s" s="349">
        <v>477</v>
      </c>
      <c r="G20" s="348"/>
      <c r="H20" s="348"/>
      <c r="I20" s="348"/>
      <c r="J20" s="372">
        <f>Model!E5</f>
        <v>10</v>
      </c>
      <c r="K20" t="s" s="349">
        <v>458</v>
      </c>
      <c r="L20" s="348"/>
      <c r="M20" s="348"/>
      <c r="N20" s="348"/>
      <c r="O20" t="s" s="372">
        <v>109</v>
      </c>
      <c r="P20" t="s" s="349">
        <v>459</v>
      </c>
      <c r="Q20" s="348"/>
      <c r="R20" s="348"/>
      <c r="S20" s="368">
        <v>0.5</v>
      </c>
      <c r="T20" s="4"/>
      <c r="U20" s="4"/>
      <c r="V20" s="4"/>
      <c r="W20" s="4"/>
      <c r="X20" s="4"/>
      <c r="Y20" s="4"/>
      <c r="Z20" s="4"/>
      <c r="AA20" s="4"/>
      <c r="AB20" s="4"/>
      <c r="AC20" s="4"/>
      <c r="AD20" s="4"/>
      <c r="AE20" s="4"/>
      <c r="AF20" s="4"/>
      <c r="AG20" s="4"/>
      <c r="AH20" s="4"/>
    </row>
    <row r="21" ht="26" customHeight="1">
      <c r="A21" s="4"/>
      <c r="B21" t="s" s="350">
        <v>478</v>
      </c>
      <c r="C21" s="351"/>
      <c r="D21" s="351"/>
      <c r="E21" s="351"/>
      <c r="F21" s="351"/>
      <c r="G21" s="351"/>
      <c r="H21" s="351"/>
      <c r="I21" s="351"/>
      <c r="J21" s="351"/>
      <c r="K21" s="351"/>
      <c r="L21" s="351"/>
      <c r="M21" s="351"/>
      <c r="N21" s="351"/>
      <c r="O21" s="351"/>
      <c r="P21" s="351"/>
      <c r="Q21" s="351"/>
      <c r="R21" s="351"/>
      <c r="S21" s="351"/>
      <c r="T21" s="351"/>
      <c r="U21" s="351"/>
      <c r="V21" s="351"/>
      <c r="W21" s="351"/>
      <c r="X21" s="351"/>
      <c r="Y21" s="4"/>
      <c r="Z21" s="4"/>
      <c r="AA21" s="4"/>
      <c r="AB21" s="4"/>
      <c r="AC21" s="4"/>
      <c r="AD21" s="4"/>
      <c r="AE21" s="4"/>
      <c r="AF21" s="4"/>
      <c r="AG21" s="4"/>
      <c r="AH21" s="4"/>
    </row>
    <row r="22" ht="12.75">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row>
    <row r="23" ht="12.75">
      <c r="A23" s="4"/>
      <c r="B23" t="s" s="26">
        <v>520</v>
      </c>
      <c r="C23" s="26"/>
      <c r="D23" s="26"/>
      <c r="E23" s="26"/>
      <c r="F23" s="26"/>
      <c r="G23" s="26"/>
      <c r="H23" s="26"/>
      <c r="I23" s="26"/>
      <c r="J23" s="26"/>
      <c r="K23" s="26"/>
      <c r="L23" s="26"/>
      <c r="M23" s="26"/>
      <c r="N23" s="26"/>
      <c r="O23" s="26"/>
      <c r="P23" s="26"/>
      <c r="Q23" s="26"/>
      <c r="R23" s="26"/>
      <c r="S23" s="26"/>
      <c r="T23" s="26"/>
      <c r="U23" s="26"/>
      <c r="V23" s="26"/>
      <c r="W23" s="26"/>
      <c r="X23" s="26"/>
      <c r="Y23" s="4"/>
      <c r="Z23" s="4"/>
      <c r="AA23" s="4"/>
      <c r="AB23" s="4"/>
      <c r="AC23" s="4"/>
      <c r="AD23" s="4"/>
      <c r="AE23" s="4"/>
      <c r="AF23" s="4"/>
      <c r="AG23" s="4"/>
      <c r="AH23" s="4"/>
    </row>
    <row r="24" ht="12.75">
      <c r="A24" s="4"/>
      <c r="B24" t="s" s="352">
        <v>521</v>
      </c>
      <c r="C24" s="351"/>
      <c r="D24" s="351"/>
      <c r="E24" s="351"/>
      <c r="F24" s="351"/>
      <c r="G24" s="351"/>
      <c r="H24" s="351"/>
      <c r="I24" s="351"/>
      <c r="J24" s="351"/>
      <c r="K24" s="351"/>
      <c r="L24" s="351"/>
      <c r="M24" s="351"/>
      <c r="N24" s="351"/>
      <c r="O24" s="351"/>
      <c r="P24" s="351"/>
      <c r="Q24" s="351"/>
      <c r="R24" s="351"/>
      <c r="S24" s="351"/>
      <c r="T24" s="351"/>
      <c r="U24" s="351"/>
      <c r="V24" s="351"/>
      <c r="W24" s="351"/>
      <c r="X24" s="351"/>
      <c r="Y24" s="4"/>
      <c r="Z24" s="4"/>
      <c r="AA24" s="4"/>
      <c r="AB24" s="4"/>
      <c r="AC24" s="4"/>
      <c r="AD24" s="4"/>
      <c r="AE24" s="4"/>
      <c r="AF24" s="4"/>
      <c r="AG24" s="4"/>
      <c r="AH24" s="4"/>
    </row>
    <row r="25" ht="12.75">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row>
    <row r="26" ht="12.75">
      <c r="A26" s="4"/>
      <c r="B26" t="s" s="353">
        <v>435</v>
      </c>
      <c r="C26" s="354"/>
      <c r="D26" s="354"/>
      <c r="E26" s="354"/>
      <c r="F26" s="354"/>
      <c r="G26" s="354"/>
      <c r="H26" s="355"/>
      <c r="I26" s="4"/>
      <c r="J26" t="s" s="353">
        <v>432</v>
      </c>
      <c r="K26" s="354"/>
      <c r="L26" s="354"/>
      <c r="M26" s="354"/>
      <c r="N26" s="354"/>
      <c r="O26" s="354"/>
      <c r="P26" s="355"/>
      <c r="Q26" s="4"/>
      <c r="R26" t="s" s="353">
        <v>429</v>
      </c>
      <c r="S26" s="354"/>
      <c r="T26" s="354"/>
      <c r="U26" s="354"/>
      <c r="V26" s="354"/>
      <c r="W26" s="354"/>
      <c r="X26" s="355"/>
      <c r="Y26" s="4"/>
      <c r="Z26" s="4"/>
      <c r="AA26" s="4"/>
      <c r="AB26" s="4"/>
      <c r="AC26" s="4"/>
      <c r="AD26" s="4"/>
      <c r="AE26" s="4"/>
      <c r="AF26" s="4"/>
      <c r="AG26" s="4"/>
      <c r="AH26" s="4"/>
    </row>
    <row r="27" ht="12.75">
      <c r="A27" s="4"/>
      <c r="B27" s="4"/>
      <c r="C27" s="4"/>
      <c r="D27" t="s" s="356">
        <v>430</v>
      </c>
      <c r="E27" s="356"/>
      <c r="F27" s="356"/>
      <c r="G27" s="356"/>
      <c r="H27" s="356"/>
      <c r="I27" s="4"/>
      <c r="J27" s="4"/>
      <c r="K27" s="4"/>
      <c r="L27" t="s" s="356">
        <v>430</v>
      </c>
      <c r="M27" s="356"/>
      <c r="N27" s="356"/>
      <c r="O27" s="356"/>
      <c r="P27" s="356"/>
      <c r="Q27" s="4"/>
      <c r="R27" s="4"/>
      <c r="S27" s="4"/>
      <c r="T27" t="s" s="356">
        <v>430</v>
      </c>
      <c r="U27" s="356"/>
      <c r="V27" s="356"/>
      <c r="W27" s="356"/>
      <c r="X27" s="356"/>
      <c r="Y27" s="4"/>
      <c r="Z27" s="4"/>
      <c r="AA27" s="4"/>
      <c r="AB27" s="4"/>
      <c r="AC27" s="4"/>
      <c r="AD27" s="4"/>
      <c r="AE27" s="4"/>
      <c r="AF27" s="4"/>
      <c r="AG27" s="4"/>
      <c r="AH27" s="4"/>
    </row>
    <row r="28" ht="12.75">
      <c r="A28" s="4"/>
      <c r="B28" s="4"/>
      <c r="C28" s="300">
        <f>Model!$M$140</f>
        <v>0.211735490955125</v>
      </c>
      <c r="D28" s="304">
        <f>$J$20-2*$S$20</f>
        <v>9</v>
      </c>
      <c r="E28" s="304">
        <f>$J$20-1*$S$20</f>
        <v>9.5</v>
      </c>
      <c r="F28" s="304">
        <f>$J$20+0*$S$20</f>
        <v>10</v>
      </c>
      <c r="G28" s="304">
        <f>$J$20+1*$S$20</f>
        <v>10.5</v>
      </c>
      <c r="H28" s="304">
        <f>$J$20+2*$S$20</f>
        <v>11</v>
      </c>
      <c r="I28" s="4"/>
      <c r="J28" s="4"/>
      <c r="K28" s="300">
        <f>Model!$M$140</f>
        <v>0.211735490955125</v>
      </c>
      <c r="L28" s="304">
        <f>$J$20-2*$S$20</f>
        <v>9</v>
      </c>
      <c r="M28" s="304">
        <f>$J$20-1*$S$20</f>
        <v>9.5</v>
      </c>
      <c r="N28" s="304">
        <f>$J$20+0*$S$20</f>
        <v>10</v>
      </c>
      <c r="O28" s="304">
        <f>$J$20+1*$S$20</f>
        <v>10.5</v>
      </c>
      <c r="P28" s="304">
        <f>$J$20+2*$S$20</f>
        <v>11</v>
      </c>
      <c r="Q28" s="4"/>
      <c r="R28" s="4"/>
      <c r="S28" s="300">
        <f>Model!$M$140</f>
        <v>0.211735490955125</v>
      </c>
      <c r="T28" s="304">
        <f>$J$20-2*$S$20</f>
        <v>9</v>
      </c>
      <c r="U28" s="304">
        <f>$J$20-1*$S$20</f>
        <v>9.5</v>
      </c>
      <c r="V28" s="304">
        <f>$J$20+0*$S$20</f>
        <v>10</v>
      </c>
      <c r="W28" s="304">
        <f>$J$20+1*$S$20</f>
        <v>10.5</v>
      </c>
      <c r="X28" s="304">
        <f>$J$20+2*$S$20</f>
        <v>11</v>
      </c>
      <c r="Y28" s="4"/>
      <c r="Z28" s="4"/>
      <c r="AA28" s="4"/>
      <c r="AB28" s="4"/>
      <c r="AC28" s="4"/>
      <c r="AD28" s="4"/>
      <c r="AE28" s="4"/>
      <c r="AF28" s="4"/>
      <c r="AG28" s="4"/>
      <c r="AH28" s="4"/>
    </row>
    <row r="29" ht="12.75">
      <c r="A29" s="4"/>
      <c r="B29" t="s" s="357">
        <v>417</v>
      </c>
      <c r="C29" s="305">
        <f>$J$18-2*$S$18</f>
        <v>5</v>
      </c>
      <c r="D29" s="187">
        <f>C645</f>
        <v>0.18029641045713185</v>
      </c>
      <c r="E29" s="187">
        <f>D645</f>
        <v>0.1582168553624015</v>
      </c>
      <c r="F29" s="187">
        <f>E645</f>
        <v>0.13848765810496078</v>
      </c>
      <c r="G29" s="187">
        <f>F645</f>
        <v>0.12069239600432313</v>
      </c>
      <c r="H29" s="187">
        <f>G645</f>
        <v>0.1045139028078923</v>
      </c>
      <c r="I29" s="4"/>
      <c r="J29" t="s" s="357">
        <v>424</v>
      </c>
      <c r="K29" s="302">
        <f>$J$15-2*$S$15</f>
        <v>0.232</v>
      </c>
      <c r="L29" s="187">
        <f>C653</f>
        <v>0.28698484181045947</v>
      </c>
      <c r="M29" s="187">
        <f>D653</f>
        <v>0.2627133965984365</v>
      </c>
      <c r="N29" s="187">
        <f>E653</f>
        <v>0.24101217238948358</v>
      </c>
      <c r="O29" s="187">
        <f>F653</f>
        <v>0.2214260848589562</v>
      </c>
      <c r="P29" s="187">
        <f>G653</f>
        <v>0.2036084993099685</v>
      </c>
      <c r="Q29" s="4"/>
      <c r="R29" t="s" s="357">
        <v>425</v>
      </c>
      <c r="S29" s="302">
        <f>$J$12-2*$S$12</f>
        <v>0.1088</v>
      </c>
      <c r="T29" s="187">
        <f>C661</f>
        <v>0.2827511355849768</v>
      </c>
      <c r="U29" s="187">
        <f>D661</f>
        <v>0.25856553332965637</v>
      </c>
      <c r="V29" s="187">
        <f>E661</f>
        <v>0.23694147379782882</v>
      </c>
      <c r="W29" s="187">
        <f>F661</f>
        <v>0.21742540074759975</v>
      </c>
      <c r="X29" s="187">
        <f>G661</f>
        <v>0.19967184406836513</v>
      </c>
      <c r="Y29" s="4"/>
      <c r="Z29" s="4"/>
      <c r="AA29" s="4"/>
      <c r="AB29" s="4"/>
      <c r="AC29" s="4"/>
      <c r="AD29" s="4"/>
      <c r="AE29" s="4"/>
      <c r="AF29" s="4"/>
      <c r="AG29" s="4"/>
      <c r="AH29" s="4"/>
    </row>
    <row r="30" ht="12.75">
      <c r="A30" s="4"/>
      <c r="B30" s="357"/>
      <c r="C30" s="305">
        <f>$J$18-1*$S$18</f>
        <v>5.5</v>
      </c>
      <c r="D30" s="187">
        <f>C646</f>
        <v>0.22079111868355872</v>
      </c>
      <c r="E30" s="187">
        <f>D646</f>
        <v>0.19787185554935038</v>
      </c>
      <c r="F30" s="187">
        <f>E646</f>
        <v>0.17738672250432508</v>
      </c>
      <c r="G30" s="187">
        <f>F646</f>
        <v>0.1589045804674487</v>
      </c>
      <c r="H30" s="187">
        <f>G646</f>
        <v>0.1420970451685819</v>
      </c>
      <c r="I30" s="4"/>
      <c r="J30" s="357"/>
      <c r="K30" s="302">
        <f>$J$15-1*$S$15</f>
        <v>0.2445</v>
      </c>
      <c r="L30" s="187">
        <f>C654</f>
        <v>0.27212286389364015</v>
      </c>
      <c r="M30" s="187">
        <f>D654</f>
        <v>0.24815311677088592</v>
      </c>
      <c r="N30" s="187">
        <f>E654</f>
        <v>0.22672311220422614</v>
      </c>
      <c r="O30" s="187">
        <f>F654</f>
        <v>0.2073831319383248</v>
      </c>
      <c r="P30" s="187">
        <f>G654</f>
        <v>0.1897906309210049</v>
      </c>
      <c r="Q30" s="4"/>
      <c r="R30" s="357"/>
      <c r="S30" s="302">
        <f>$J$12-1*$S$12</f>
        <v>0.11479999999999999</v>
      </c>
      <c r="T30" s="187">
        <f>C662</f>
        <v>0.2697791437540036</v>
      </c>
      <c r="U30" s="187">
        <f>D662</f>
        <v>0.24585706675081598</v>
      </c>
      <c r="V30" s="187">
        <f>E662</f>
        <v>0.22446992215634398</v>
      </c>
      <c r="W30" s="187">
        <f>F662</f>
        <v>0.20516883843398404</v>
      </c>
      <c r="X30" s="187">
        <f>G662</f>
        <v>0.18761191585275938</v>
      </c>
      <c r="Y30" s="4"/>
      <c r="Z30" s="4"/>
      <c r="AA30" s="4"/>
      <c r="AB30" s="4"/>
      <c r="AC30" s="4"/>
      <c r="AD30" s="4"/>
      <c r="AE30" s="4"/>
      <c r="AF30" s="4"/>
      <c r="AG30" s="4"/>
      <c r="AH30" s="4"/>
    </row>
    <row r="31" ht="12.75">
      <c r="A31" s="4"/>
      <c r="B31" s="357"/>
      <c r="C31" s="305">
        <f>$J$18+0*$S$18</f>
        <v>6</v>
      </c>
      <c r="D31" s="187">
        <f>C647</f>
        <v>0.25653204642455973</v>
      </c>
      <c r="E31" s="187">
        <f>D647</f>
        <v>0.2328799064211835</v>
      </c>
      <c r="F31" s="309">
        <f>E647</f>
        <v>0.211735490955125</v>
      </c>
      <c r="G31" s="187">
        <f>F647</f>
        <v>0.1926547169488222</v>
      </c>
      <c r="H31" s="187">
        <f>G647</f>
        <v>0.1752993342244229</v>
      </c>
      <c r="I31" s="4"/>
      <c r="J31" s="357"/>
      <c r="K31" s="302">
        <f>$J$15+0*$S$15</f>
        <v>0.257</v>
      </c>
      <c r="L31" s="187">
        <f>C655</f>
        <v>0.25653204642455973</v>
      </c>
      <c r="M31" s="187">
        <f>D655</f>
        <v>0.2328799064211835</v>
      </c>
      <c r="N31" s="309">
        <f>E655</f>
        <v>0.211735490955125</v>
      </c>
      <c r="O31" s="187">
        <f>F655</f>
        <v>0.1926547169488222</v>
      </c>
      <c r="P31" s="187">
        <f>G655</f>
        <v>0.1752993342244229</v>
      </c>
      <c r="Q31" s="4"/>
      <c r="R31" s="357"/>
      <c r="S31" s="302">
        <f>$J$12+0*$S$12</f>
        <v>0.12079999999999999</v>
      </c>
      <c r="T31" s="187">
        <f>C663</f>
        <v>0.25653204642455973</v>
      </c>
      <c r="U31" s="187">
        <f>D663</f>
        <v>0.2328799064211835</v>
      </c>
      <c r="V31" s="309">
        <f>E663</f>
        <v>0.211735490955125</v>
      </c>
      <c r="W31" s="187">
        <f>F663</f>
        <v>0.1926547169488222</v>
      </c>
      <c r="X31" s="187">
        <f>G663</f>
        <v>0.1752993342244229</v>
      </c>
      <c r="Y31" s="4"/>
      <c r="Z31" s="4"/>
      <c r="AA31" s="4"/>
      <c r="AB31" s="4"/>
      <c r="AC31" s="4"/>
      <c r="AD31" s="4"/>
      <c r="AE31" s="4"/>
      <c r="AF31" s="4"/>
      <c r="AG31" s="4"/>
      <c r="AH31" s="4"/>
    </row>
    <row r="32" ht="12.75">
      <c r="A32" s="4"/>
      <c r="B32" s="357"/>
      <c r="C32" s="305">
        <f>$J$18+1*$S$18</f>
        <v>6.5</v>
      </c>
      <c r="D32" s="187">
        <f>C648</f>
        <v>0.28861594029243576</v>
      </c>
      <c r="E32" s="187">
        <f>D648</f>
        <v>0.26431144378106697</v>
      </c>
      <c r="F32" s="187">
        <f>E648</f>
        <v>0.242580510869856</v>
      </c>
      <c r="G32" s="187">
        <f>F648</f>
        <v>0.2229674686292744</v>
      </c>
      <c r="H32" s="187">
        <f>G648</f>
        <v>0.20512523377588776</v>
      </c>
      <c r="I32" s="4"/>
      <c r="J32" s="357"/>
      <c r="K32" s="302">
        <f>$J$15+1*$S$15</f>
        <v>0.2695</v>
      </c>
      <c r="L32" s="187">
        <f>C656</f>
        <v>0.2371946270810903</v>
      </c>
      <c r="M32" s="187">
        <f>D656</f>
        <v>0.21393813187016275</v>
      </c>
      <c r="N32" s="187">
        <f>E656</f>
        <v>0.1931495792582214</v>
      </c>
      <c r="O32" s="187">
        <f>F656</f>
        <v>0.174391884727227</v>
      </c>
      <c r="P32" s="187">
        <f>G656</f>
        <v>0.15733213228973986</v>
      </c>
      <c r="Q32" s="4"/>
      <c r="R32" s="357"/>
      <c r="S32" s="302">
        <f>$J$12+1*$S$12</f>
        <v>0.1268</v>
      </c>
      <c r="T32" s="187">
        <f>C664</f>
        <v>0.24417030172724363</v>
      </c>
      <c r="U32" s="187">
        <f>D664</f>
        <v>0.22077085507393912</v>
      </c>
      <c r="V32" s="187">
        <f>E664</f>
        <v>0.19985371108983307</v>
      </c>
      <c r="W32" s="187">
        <f>F664</f>
        <v>0.180979259404066</v>
      </c>
      <c r="X32" s="187">
        <f>G664</f>
        <v>0.16381265883638196</v>
      </c>
      <c r="Y32" s="4"/>
      <c r="Z32" s="4"/>
      <c r="AA32" s="4"/>
      <c r="AB32" s="4"/>
      <c r="AC32" s="4"/>
      <c r="AD32" s="4"/>
      <c r="AE32" s="4"/>
      <c r="AF32" s="4"/>
      <c r="AG32" s="4"/>
      <c r="AH32" s="4"/>
    </row>
    <row r="33" ht="12.75">
      <c r="A33" s="4"/>
      <c r="B33" s="357"/>
      <c r="C33" s="305">
        <f>$J$18+2*$S$18</f>
        <v>7</v>
      </c>
      <c r="D33" s="187">
        <f>C649</f>
        <v>0.31779021393855333</v>
      </c>
      <c r="E33" s="187">
        <f>D649</f>
        <v>0.2928964211902114</v>
      </c>
      <c r="F33" s="187">
        <f>E649</f>
        <v>0.2706359042880413</v>
      </c>
      <c r="G33" s="187">
        <f>F649</f>
        <v>0.2505424722854508</v>
      </c>
      <c r="H33" s="187">
        <f>G649</f>
        <v>0.23226102614588684</v>
      </c>
      <c r="I33" s="4"/>
      <c r="J33" s="357"/>
      <c r="K33" s="302">
        <f>$J$15+2*$S$15</f>
        <v>0.28200000000000003</v>
      </c>
      <c r="L33" s="187">
        <f>C657</f>
        <v>0.21656670461215488</v>
      </c>
      <c r="M33" s="187">
        <f>D657</f>
        <v>0.19373454526234246</v>
      </c>
      <c r="N33" s="187">
        <f>E657</f>
        <v>0.17332779762334427</v>
      </c>
      <c r="O33" s="187">
        <f>F657</f>
        <v>0.15491685513558018</v>
      </c>
      <c r="P33" s="187">
        <f>G657</f>
        <v>0.13817450167600054</v>
      </c>
      <c r="Q33" s="4"/>
      <c r="R33" s="357"/>
      <c r="S33" s="302">
        <f>$J$12+2*$S$12</f>
        <v>0.1328</v>
      </c>
      <c r="T33" s="187">
        <f>C665</f>
        <v>0.23153954808335753</v>
      </c>
      <c r="U33" s="187">
        <f>D665</f>
        <v>0.2083991387306825</v>
      </c>
      <c r="V33" s="187">
        <f>E665</f>
        <v>0.18771502237252968</v>
      </c>
      <c r="W33" s="187">
        <f>F665</f>
        <v>0.16905216322699568</v>
      </c>
      <c r="X33" s="187">
        <f>G665</f>
        <v>0.15207920686784182</v>
      </c>
      <c r="Y33" s="4"/>
      <c r="Z33" s="4"/>
      <c r="AA33" s="4"/>
      <c r="AB33" s="4"/>
      <c r="AC33" s="4"/>
      <c r="AD33" s="4"/>
      <c r="AE33" s="4"/>
      <c r="AF33" s="4"/>
      <c r="AG33" s="4"/>
      <c r="AH33" s="4"/>
    </row>
    <row r="34" ht="12.75">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row>
    <row r="35" ht="12.75">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row>
    <row r="36" ht="12.75">
      <c r="A36" s="4"/>
      <c r="B36" t="s" s="353">
        <v>434</v>
      </c>
      <c r="C36" s="354"/>
      <c r="D36" s="354"/>
      <c r="E36" s="354"/>
      <c r="F36" s="354"/>
      <c r="G36" s="354"/>
      <c r="H36" s="355"/>
      <c r="I36" s="4"/>
      <c r="J36" t="s" s="353">
        <v>431</v>
      </c>
      <c r="K36" s="354"/>
      <c r="L36" s="354"/>
      <c r="M36" s="354"/>
      <c r="N36" s="354"/>
      <c r="O36" s="354"/>
      <c r="P36" s="355"/>
      <c r="Q36" s="4"/>
      <c r="R36" t="s" s="353">
        <v>428</v>
      </c>
      <c r="S36" s="354"/>
      <c r="T36" s="354"/>
      <c r="U36" s="354"/>
      <c r="V36" s="354"/>
      <c r="W36" s="354"/>
      <c r="X36" s="355"/>
      <c r="Y36" s="4"/>
      <c r="Z36" s="4"/>
      <c r="AA36" s="4"/>
      <c r="AB36" s="4"/>
      <c r="AC36" s="4"/>
      <c r="AD36" s="4"/>
      <c r="AE36" s="4"/>
      <c r="AF36" s="4"/>
      <c r="AG36" s="4"/>
      <c r="AH36" s="4"/>
    </row>
    <row r="37" ht="12.75">
      <c r="A37" s="4"/>
      <c r="B37" s="4"/>
      <c r="C37" s="4"/>
      <c r="D37" t="s" s="356">
        <v>430</v>
      </c>
      <c r="E37" s="356"/>
      <c r="F37" s="356"/>
      <c r="G37" s="356"/>
      <c r="H37" s="356"/>
      <c r="I37" s="4"/>
      <c r="J37" s="4"/>
      <c r="K37" s="4"/>
      <c r="L37" t="s" s="356">
        <v>417</v>
      </c>
      <c r="M37" s="356"/>
      <c r="N37" s="356"/>
      <c r="O37" s="356"/>
      <c r="P37" s="356"/>
      <c r="Q37" s="4"/>
      <c r="R37" s="4"/>
      <c r="S37" s="4"/>
      <c r="T37" t="s" s="356">
        <v>417</v>
      </c>
      <c r="U37" s="356"/>
      <c r="V37" s="356"/>
      <c r="W37" s="356"/>
      <c r="X37" s="356"/>
      <c r="Y37" s="4"/>
      <c r="Z37" s="4"/>
      <c r="AA37" s="4"/>
      <c r="AB37" s="4"/>
      <c r="AC37" s="4"/>
      <c r="AD37" s="4"/>
      <c r="AE37" s="4"/>
      <c r="AF37" s="4"/>
      <c r="AG37" s="4"/>
      <c r="AH37" s="4"/>
    </row>
    <row r="38" ht="12.75">
      <c r="A38" s="4"/>
      <c r="B38" s="4"/>
      <c r="C38" s="300">
        <f>Model!$M$140</f>
        <v>0.211735490955125</v>
      </c>
      <c r="D38" s="304">
        <f>$J$20-2*$S$20</f>
        <v>9</v>
      </c>
      <c r="E38" s="304">
        <f>$J$20-1*$S$20</f>
        <v>9.5</v>
      </c>
      <c r="F38" s="304">
        <f>$J$20+0*$S$20</f>
        <v>10</v>
      </c>
      <c r="G38" s="304">
        <f>$J$20+1*$S$20</f>
        <v>10.5</v>
      </c>
      <c r="H38" s="304">
        <f>$J$20+2*$S$20</f>
        <v>11</v>
      </c>
      <c r="I38" s="4"/>
      <c r="J38" s="4"/>
      <c r="K38" s="300">
        <f>Model!$M$140</f>
        <v>0.211735490955125</v>
      </c>
      <c r="L38" s="303">
        <f>$J$18-2*$S$18</f>
        <v>5</v>
      </c>
      <c r="M38" s="303">
        <f>$J$18-1*$S$18</f>
        <v>5.5</v>
      </c>
      <c r="N38" s="303">
        <f>$J$18+0*$S$18</f>
        <v>6</v>
      </c>
      <c r="O38" s="303">
        <f>$J$18+1*$S$18</f>
        <v>6.5</v>
      </c>
      <c r="P38" s="303">
        <f>$J$18+2*$S$18</f>
        <v>7</v>
      </c>
      <c r="Q38" s="4"/>
      <c r="R38" s="4"/>
      <c r="S38" s="300">
        <f>Model!$M$140</f>
        <v>0.211735490955125</v>
      </c>
      <c r="T38" s="303">
        <f>$J$18-2*$S$18</f>
        <v>5</v>
      </c>
      <c r="U38" s="303">
        <f>$J$18-1*$S$18</f>
        <v>5.5</v>
      </c>
      <c r="V38" s="303">
        <f>$J$18+0*$S$18</f>
        <v>6</v>
      </c>
      <c r="W38" s="303">
        <f>$J$18+1*$S$18</f>
        <v>6.5</v>
      </c>
      <c r="X38" s="303">
        <f>$J$18+2*$S$18</f>
        <v>7</v>
      </c>
      <c r="Y38" s="4"/>
      <c r="Z38" s="4"/>
      <c r="AA38" s="4"/>
      <c r="AB38" s="4"/>
      <c r="AC38" s="4"/>
      <c r="AD38" s="4"/>
      <c r="AE38" s="4"/>
      <c r="AF38" s="4"/>
      <c r="AG38" s="4"/>
      <c r="AH38" s="4"/>
    </row>
    <row r="39" ht="12.75">
      <c r="A39" s="4"/>
      <c r="B39" t="s" s="357">
        <v>427</v>
      </c>
      <c r="C39" s="302">
        <f>$J$14-2*$S$14</f>
        <v>0.115</v>
      </c>
      <c r="D39" s="187">
        <f>C669</f>
        <v>0.2726709254765869</v>
      </c>
      <c r="E39" s="187">
        <f>D669</f>
        <v>0.2486900347713641</v>
      </c>
      <c r="F39" s="187">
        <f>E669</f>
        <v>0.22725001128951017</v>
      </c>
      <c r="G39" s="187">
        <f>F669</f>
        <v>0.20790093879668636</v>
      </c>
      <c r="H39" s="187">
        <f>G669</f>
        <v>0.19030012135274688</v>
      </c>
      <c r="I39" s="4"/>
      <c r="J39" t="s" s="357">
        <v>424</v>
      </c>
      <c r="K39" s="302">
        <f>$J$15-2*$S$15</f>
        <v>0.232</v>
      </c>
      <c r="L39" s="187">
        <f>C677</f>
        <v>0.1718079386433109</v>
      </c>
      <c r="M39" s="187">
        <f>D677</f>
        <v>0.20838927514708794</v>
      </c>
      <c r="N39" s="187">
        <f>E677</f>
        <v>0.24101217238948358</v>
      </c>
      <c r="O39" s="187">
        <f>F677</f>
        <v>0.2705267694855349</v>
      </c>
      <c r="P39" s="187">
        <f>G677</f>
        <v>0.2975291787875738</v>
      </c>
      <c r="Q39" s="4"/>
      <c r="R39" t="s" s="357">
        <v>425</v>
      </c>
      <c r="S39" s="302">
        <f>$J$12-2*$S$12</f>
        <v>0.1088</v>
      </c>
      <c r="T39" s="187">
        <f>C685</f>
        <v>0.16625169370792214</v>
      </c>
      <c r="U39" s="187">
        <f>D685</f>
        <v>0.20366965334251375</v>
      </c>
      <c r="V39" s="187">
        <f>E685</f>
        <v>0.23694147379782882</v>
      </c>
      <c r="W39" s="187">
        <f>F685</f>
        <v>0.2669764302716586</v>
      </c>
      <c r="X39" s="187">
        <f>G685</f>
        <v>0.2944069692208269</v>
      </c>
      <c r="Y39" s="4"/>
      <c r="Z39" s="4"/>
      <c r="AA39" s="4"/>
      <c r="AB39" s="4"/>
      <c r="AC39" s="4"/>
      <c r="AD39" s="4"/>
      <c r="AE39" s="4"/>
      <c r="AF39" s="4"/>
      <c r="AG39" s="4"/>
      <c r="AH39" s="4"/>
    </row>
    <row r="40" ht="12.75">
      <c r="A40" s="4"/>
      <c r="B40" s="357"/>
      <c r="C40" s="302">
        <f>$J$14-1*$S$14</f>
        <v>0.1225</v>
      </c>
      <c r="D40" s="187">
        <f>C670</f>
        <v>0.26470445368774764</v>
      </c>
      <c r="E40" s="187">
        <f>D670</f>
        <v>0.2408856829123167</v>
      </c>
      <c r="F40" s="187">
        <f>E670</f>
        <v>0.2195914258625924</v>
      </c>
      <c r="G40" s="187">
        <f>F670</f>
        <v>0.20037464482055212</v>
      </c>
      <c r="H40" s="187">
        <f>G670</f>
        <v>0.18289483769895853</v>
      </c>
      <c r="I40" s="4"/>
      <c r="J40" s="357"/>
      <c r="K40" s="302">
        <f>$J$15-1*$S$15</f>
        <v>0.2445</v>
      </c>
      <c r="L40" s="187">
        <f>C678</f>
        <v>0.15562801128088188</v>
      </c>
      <c r="M40" s="187">
        <f>D678</f>
        <v>0.19329063124098522</v>
      </c>
      <c r="N40" s="187">
        <f>E678</f>
        <v>0.22672311220422614</v>
      </c>
      <c r="O40" s="187">
        <f>F678</f>
        <v>0.25686427378920373</v>
      </c>
      <c r="P40" s="187">
        <f>G678</f>
        <v>0.2843640541268153</v>
      </c>
      <c r="Q40" s="4"/>
      <c r="R40" s="357"/>
      <c r="S40" s="302">
        <f>$J$12-1*$S$12</f>
        <v>0.11479999999999999</v>
      </c>
      <c r="T40" s="187">
        <f>C686</f>
        <v>0.15256415292369163</v>
      </c>
      <c r="U40" s="187">
        <f>D686</f>
        <v>0.1906852715090277</v>
      </c>
      <c r="V40" s="187">
        <f>E686</f>
        <v>0.22446992215634398</v>
      </c>
      <c r="W40" s="187">
        <f>F686</f>
        <v>0.25489134640053956</v>
      </c>
      <c r="X40" s="187">
        <f>G686</f>
        <v>0.28262031061114956</v>
      </c>
      <c r="Y40" s="4"/>
      <c r="Z40" s="4"/>
      <c r="AA40" s="4"/>
      <c r="AB40" s="4"/>
      <c r="AC40" s="4"/>
      <c r="AD40" s="4"/>
      <c r="AE40" s="4"/>
      <c r="AF40" s="4"/>
      <c r="AG40" s="4"/>
      <c r="AH40" s="4"/>
    </row>
    <row r="41" ht="12.75">
      <c r="A41" s="4"/>
      <c r="B41" s="357"/>
      <c r="C41" s="302">
        <f>$J$14+0*$S$14</f>
        <v>0.13</v>
      </c>
      <c r="D41" s="187">
        <f>C671</f>
        <v>0.25653204642455973</v>
      </c>
      <c r="E41" s="187">
        <f>D671</f>
        <v>0.2328799064211835</v>
      </c>
      <c r="F41" s="309">
        <f>E671</f>
        <v>0.211735490955125</v>
      </c>
      <c r="G41" s="187">
        <f>F671</f>
        <v>0.1926547169488222</v>
      </c>
      <c r="H41" s="187">
        <f>G671</f>
        <v>0.1752993342244229</v>
      </c>
      <c r="I41" s="4"/>
      <c r="J41" s="357"/>
      <c r="K41" s="302">
        <f>$J$15+0*$S$15</f>
        <v>0.257</v>
      </c>
      <c r="L41" s="187">
        <f>C679</f>
        <v>0.13848765810496078</v>
      </c>
      <c r="M41" s="187">
        <f>D679</f>
        <v>0.17738672250432508</v>
      </c>
      <c r="N41" s="309">
        <f>E679</f>
        <v>0.211735490955125</v>
      </c>
      <c r="O41" s="187">
        <f>F679</f>
        <v>0.242580510869856</v>
      </c>
      <c r="P41" s="187">
        <f>G679</f>
        <v>0.2706359042880413</v>
      </c>
      <c r="Q41" s="4"/>
      <c r="R41" s="357"/>
      <c r="S41" s="302">
        <f>$J$12+0*$S$12</f>
        <v>0.12079999999999999</v>
      </c>
      <c r="T41" s="187">
        <f>C687</f>
        <v>0.13848765810496078</v>
      </c>
      <c r="U41" s="187">
        <f>D687</f>
        <v>0.17738672250432508</v>
      </c>
      <c r="V41" s="309">
        <f>E687</f>
        <v>0.211735490955125</v>
      </c>
      <c r="W41" s="187">
        <f>F687</f>
        <v>0.242580510869856</v>
      </c>
      <c r="X41" s="187">
        <f>G687</f>
        <v>0.2706359042880413</v>
      </c>
      <c r="Y41" s="4"/>
      <c r="Z41" s="4"/>
      <c r="AA41" s="4"/>
      <c r="AB41" s="4"/>
      <c r="AC41" s="4"/>
      <c r="AD41" s="4"/>
      <c r="AE41" s="4"/>
      <c r="AF41" s="4"/>
      <c r="AG41" s="4"/>
      <c r="AH41" s="4"/>
    </row>
    <row r="42" ht="12.75">
      <c r="A42" s="4"/>
      <c r="B42" s="357"/>
      <c r="C42" s="302">
        <f>$J$14+1*$S$14</f>
        <v>0.1375</v>
      </c>
      <c r="D42" s="187">
        <f>C672</f>
        <v>0.24667003821785705</v>
      </c>
      <c r="E42" s="187">
        <f>D672</f>
        <v>0.22321942865643618</v>
      </c>
      <c r="F42" s="187">
        <f>E672</f>
        <v>0.20225626508835548</v>
      </c>
      <c r="G42" s="187">
        <f>F672</f>
        <v>0.18334003234585583</v>
      </c>
      <c r="H42" s="187">
        <f>G672</f>
        <v>0.16613519962471623</v>
      </c>
      <c r="I42" s="4"/>
      <c r="J42" s="357"/>
      <c r="K42" s="302">
        <f>$J$15+1*$S$15</f>
        <v>0.2695</v>
      </c>
      <c r="L42" s="187">
        <f>C680</f>
        <v>0.11720847086203157</v>
      </c>
      <c r="M42" s="187">
        <f>D680</f>
        <v>0.15766581603890284</v>
      </c>
      <c r="N42" s="187">
        <f>E680</f>
        <v>0.1931495792582214</v>
      </c>
      <c r="O42" s="187">
        <f>F680</f>
        <v>0.22485432911725844</v>
      </c>
      <c r="P42" s="187">
        <f>G680</f>
        <v>0.253580323599514</v>
      </c>
      <c r="Q42" s="4"/>
      <c r="R42" s="357"/>
      <c r="S42" s="302">
        <f>$J$12+1*$S$12</f>
        <v>0.1268</v>
      </c>
      <c r="T42" s="187">
        <f>C688</f>
        <v>0.12529965036277724</v>
      </c>
      <c r="U42" s="187">
        <f>D688</f>
        <v>0.16495864135107174</v>
      </c>
      <c r="V42" s="187">
        <f>E688</f>
        <v>0.19985371108983307</v>
      </c>
      <c r="W42" s="187">
        <f>F688</f>
        <v>0.231106238654315</v>
      </c>
      <c r="X42" s="187">
        <f>G688</f>
        <v>0.2594740007628651</v>
      </c>
      <c r="Y42" s="4"/>
      <c r="Z42" s="4"/>
      <c r="AA42" s="4"/>
      <c r="AB42" s="4"/>
      <c r="AC42" s="4"/>
      <c r="AD42" s="4"/>
      <c r="AE42" s="4"/>
      <c r="AF42" s="4"/>
      <c r="AG42" s="4"/>
      <c r="AH42" s="4"/>
    </row>
    <row r="43" ht="12.75">
      <c r="A43" s="4"/>
      <c r="B43" s="357"/>
      <c r="C43" s="302">
        <f>$J$14+2*$S$14</f>
        <v>0.14500000000000002</v>
      </c>
      <c r="D43" s="187">
        <f>C673</f>
        <v>0.2364857183384106</v>
      </c>
      <c r="E43" s="187">
        <f>D673</f>
        <v>0.21324376560543334</v>
      </c>
      <c r="F43" s="187">
        <f>E673</f>
        <v>0.19246829550495703</v>
      </c>
      <c r="G43" s="187">
        <f>F673</f>
        <v>0.17372248029127135</v>
      </c>
      <c r="H43" s="187">
        <f>G673</f>
        <v>0.15667359968941041</v>
      </c>
      <c r="I43" s="4"/>
      <c r="J43" s="357"/>
      <c r="K43" s="302">
        <f>$J$15+2*$S$15</f>
        <v>0.28200000000000003</v>
      </c>
      <c r="L43" s="187">
        <f>C681</f>
        <v>0.09417251847446906</v>
      </c>
      <c r="M43" s="187">
        <f>D681</f>
        <v>0.1365016546177482</v>
      </c>
      <c r="N43" s="187">
        <f>E681</f>
        <v>0.17332779762334427</v>
      </c>
      <c r="O43" s="187">
        <f>F681</f>
        <v>0.20603831457371102</v>
      </c>
      <c r="P43" s="187">
        <f>G681</f>
        <v>0.235542614324171</v>
      </c>
      <c r="Q43" s="4"/>
      <c r="R43" s="357"/>
      <c r="S43" s="302">
        <f>$J$12+2*$S$12</f>
        <v>0.1328</v>
      </c>
      <c r="T43" s="187">
        <f>C689</f>
        <v>0.11172294349461165</v>
      </c>
      <c r="U43" s="187">
        <f>D689</f>
        <v>0.15222083688860977</v>
      </c>
      <c r="V43" s="187">
        <f>E689</f>
        <v>0.18771502237252968</v>
      </c>
      <c r="W43" s="187">
        <f>F689</f>
        <v>0.21941257997322472</v>
      </c>
      <c r="X43" s="187">
        <f>G689</f>
        <v>0.24812060267106362</v>
      </c>
      <c r="Y43" s="4"/>
      <c r="Z43" s="4"/>
      <c r="AA43" s="4"/>
      <c r="AB43" s="4"/>
      <c r="AC43" s="4"/>
      <c r="AD43" s="4"/>
      <c r="AE43" s="4"/>
      <c r="AF43" s="4"/>
      <c r="AG43" s="4"/>
      <c r="AH43" s="4"/>
    </row>
    <row r="44" ht="12.75">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row>
    <row r="45" ht="12.75">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row>
    <row r="46" ht="12.75">
      <c r="A46" s="4"/>
      <c r="B46" t="s" s="353">
        <v>433</v>
      </c>
      <c r="C46" s="354"/>
      <c r="D46" s="354"/>
      <c r="E46" s="354"/>
      <c r="F46" s="354"/>
      <c r="G46" s="354"/>
      <c r="H46" s="355"/>
      <c r="I46" s="4"/>
      <c r="J46" t="s" s="353">
        <v>423</v>
      </c>
      <c r="K46" s="354"/>
      <c r="L46" s="354"/>
      <c r="M46" s="354"/>
      <c r="N46" s="354"/>
      <c r="O46" s="354"/>
      <c r="P46" s="355"/>
      <c r="Q46" s="4"/>
      <c r="R46" t="s" s="353">
        <v>426</v>
      </c>
      <c r="S46" s="354"/>
      <c r="T46" s="354"/>
      <c r="U46" s="354"/>
      <c r="V46" s="354"/>
      <c r="W46" s="354"/>
      <c r="X46" s="355"/>
      <c r="Y46" s="4"/>
      <c r="Z46" s="4"/>
      <c r="AA46" s="4"/>
      <c r="AB46" s="4"/>
      <c r="AC46" s="4"/>
      <c r="AD46" s="4"/>
      <c r="AE46" s="4"/>
      <c r="AF46" s="4"/>
      <c r="AG46" s="4"/>
      <c r="AH46" s="4"/>
    </row>
    <row r="47" ht="12.75">
      <c r="A47" s="4"/>
      <c r="B47" s="4"/>
      <c r="C47" s="4"/>
      <c r="D47" t="s" s="356">
        <v>417</v>
      </c>
      <c r="E47" s="356"/>
      <c r="F47" s="356"/>
      <c r="G47" s="356"/>
      <c r="H47" s="356"/>
      <c r="I47" s="4"/>
      <c r="J47" s="4"/>
      <c r="K47" s="4"/>
      <c r="L47" t="s" s="356">
        <v>424</v>
      </c>
      <c r="M47" s="356"/>
      <c r="N47" s="356"/>
      <c r="O47" s="356"/>
      <c r="P47" s="356"/>
      <c r="Q47" s="4"/>
      <c r="R47" s="4"/>
      <c r="S47" s="4"/>
      <c r="T47" t="s" s="356">
        <v>427</v>
      </c>
      <c r="U47" s="356"/>
      <c r="V47" s="356"/>
      <c r="W47" s="356"/>
      <c r="X47" s="356"/>
      <c r="Y47" s="4"/>
      <c r="Z47" s="4"/>
      <c r="AA47" s="4"/>
      <c r="AB47" s="4"/>
      <c r="AC47" s="4"/>
      <c r="AD47" s="4"/>
      <c r="AE47" s="4"/>
      <c r="AF47" s="4"/>
      <c r="AG47" s="4"/>
      <c r="AH47" s="4"/>
    </row>
    <row r="48" ht="12.75">
      <c r="A48" s="4"/>
      <c r="B48" s="4"/>
      <c r="C48" s="300">
        <f>Model!$M$140</f>
        <v>0.211735490955125</v>
      </c>
      <c r="D48" s="303">
        <f>$J$18-2*$S$18</f>
        <v>5</v>
      </c>
      <c r="E48" s="303">
        <f>$J$18-1*$S$18</f>
        <v>5.5</v>
      </c>
      <c r="F48" s="303">
        <f>$J$18+0*$S$18</f>
        <v>6</v>
      </c>
      <c r="G48" s="303">
        <f>$J$18+1*$S$18</f>
        <v>6.5</v>
      </c>
      <c r="H48" s="303">
        <f>$J$18+2*$S$18</f>
        <v>7</v>
      </c>
      <c r="I48" s="4"/>
      <c r="J48" s="4"/>
      <c r="K48" s="300">
        <f>Model!$M$140</f>
        <v>0.211735490955125</v>
      </c>
      <c r="L48" s="301">
        <f>$J$15-2*$S$15</f>
        <v>0.232</v>
      </c>
      <c r="M48" s="301">
        <f>$J$15-1*$S$15</f>
        <v>0.2445</v>
      </c>
      <c r="N48" s="301">
        <f>$J$15+0*$S$15</f>
        <v>0.257</v>
      </c>
      <c r="O48" s="301">
        <f>$J$15+1*$S$15</f>
        <v>0.2695</v>
      </c>
      <c r="P48" s="301">
        <f>$J$15+2*$S$15</f>
        <v>0.28200000000000003</v>
      </c>
      <c r="Q48" s="4"/>
      <c r="R48" s="4"/>
      <c r="S48" s="300">
        <f>Model!$M$140</f>
        <v>0.211735490955125</v>
      </c>
      <c r="T48" s="301">
        <f>$J$14-2*$S$14</f>
        <v>0.115</v>
      </c>
      <c r="U48" s="301">
        <f>$J$14-1*$S$14</f>
        <v>0.1225</v>
      </c>
      <c r="V48" s="301">
        <f>$J$14+0*$S$14</f>
        <v>0.13</v>
      </c>
      <c r="W48" s="301">
        <f>$J$14+1*$S$14</f>
        <v>0.1375</v>
      </c>
      <c r="X48" s="301">
        <f>$J$14+2*$S$14</f>
        <v>0.14500000000000002</v>
      </c>
      <c r="Y48" s="4"/>
      <c r="Z48" s="4"/>
      <c r="AA48" s="4"/>
      <c r="AB48" s="4"/>
      <c r="AC48" s="4"/>
      <c r="AD48" s="4"/>
      <c r="AE48" s="4"/>
      <c r="AF48" s="4"/>
      <c r="AG48" s="4"/>
      <c r="AH48" s="4"/>
    </row>
    <row r="49" ht="12.75">
      <c r="A49" s="4"/>
      <c r="B49" t="s" s="357">
        <v>427</v>
      </c>
      <c r="C49" s="302">
        <f>$J$14-2*$S$14</f>
        <v>0.115</v>
      </c>
      <c r="D49" s="187">
        <f>C693</f>
        <v>0.1561565117315835</v>
      </c>
      <c r="E49" s="187">
        <f>D693</f>
        <v>0.1938173052826948</v>
      </c>
      <c r="F49" s="187">
        <f>E693</f>
        <v>0.22725001128951017</v>
      </c>
      <c r="G49" s="187">
        <f>F693</f>
        <v>0.25739263381834787</v>
      </c>
      <c r="H49" s="187">
        <f>G693</f>
        <v>0.2848946452860648</v>
      </c>
      <c r="I49" s="4"/>
      <c r="J49" t="s" s="357">
        <v>425</v>
      </c>
      <c r="K49" s="302">
        <f>$J$12-2*$S$12</f>
        <v>0.1088</v>
      </c>
      <c r="L49" s="187">
        <f>C701</f>
        <v>0.2651961811601804</v>
      </c>
      <c r="M49" s="187">
        <f>D701</f>
        <v>0.25138774376709305</v>
      </c>
      <c r="N49" s="187">
        <f>E701</f>
        <v>0.23694147379782882</v>
      </c>
      <c r="O49" s="187">
        <f>F701</f>
        <v>0.21903918823094282</v>
      </c>
      <c r="P49" s="187">
        <f>G701</f>
        <v>0.20001897124610557</v>
      </c>
      <c r="Q49" s="4"/>
      <c r="R49" t="s" s="357">
        <v>425</v>
      </c>
      <c r="S49" s="302">
        <f>$J$12-2*$S$12</f>
        <v>0.1088</v>
      </c>
      <c r="T49" s="187">
        <f>C709</f>
        <v>0.25193274857717185</v>
      </c>
      <c r="U49" s="187">
        <f>D709</f>
        <v>0.2445273969021713</v>
      </c>
      <c r="V49" s="187">
        <f>E709</f>
        <v>0.23694147379782882</v>
      </c>
      <c r="W49" s="187">
        <f>F709</f>
        <v>0.22778585893893855</v>
      </c>
      <c r="X49" s="187">
        <f>G709</f>
        <v>0.21834871203625994</v>
      </c>
      <c r="Y49" s="4"/>
      <c r="Z49" s="4"/>
      <c r="AA49" s="4"/>
      <c r="AB49" s="4"/>
      <c r="AC49" s="4"/>
      <c r="AD49" s="4"/>
      <c r="AE49" s="4"/>
      <c r="AF49" s="4"/>
      <c r="AG49" s="4"/>
      <c r="AH49" s="4"/>
    </row>
    <row r="50" ht="12.75">
      <c r="A50" s="4"/>
      <c r="B50" s="357"/>
      <c r="C50" s="302">
        <f>$J$14-1*$S$14</f>
        <v>0.1225</v>
      </c>
      <c r="D50" s="187">
        <f>C694</f>
        <v>0.14745810758795797</v>
      </c>
      <c r="E50" s="187">
        <f>D694</f>
        <v>0.18571584580864986</v>
      </c>
      <c r="F50" s="187">
        <f>E694</f>
        <v>0.2195914258625924</v>
      </c>
      <c r="G50" s="187">
        <f>F694</f>
        <v>0.25007432210070313</v>
      </c>
      <c r="H50" s="187">
        <f>G694</f>
        <v>0.27784482364860796</v>
      </c>
      <c r="I50" s="4"/>
      <c r="J50" s="357"/>
      <c r="K50" s="302">
        <f>$J$12-1*$S$12</f>
        <v>0.11479999999999999</v>
      </c>
      <c r="L50" s="187">
        <f>C702</f>
        <v>0.25321498299408174</v>
      </c>
      <c r="M50" s="187">
        <f>D702</f>
        <v>0.23917578373034964</v>
      </c>
      <c r="N50" s="187">
        <f>E702</f>
        <v>0.22446992215634398</v>
      </c>
      <c r="O50" s="187">
        <f>F702</f>
        <v>0.20624063953854144</v>
      </c>
      <c r="P50" s="187">
        <f>G702</f>
        <v>0.18683774016299814</v>
      </c>
      <c r="Q50" s="4"/>
      <c r="R50" s="357"/>
      <c r="S50" s="302">
        <f>$J$12-1*$S$12</f>
        <v>0.11479999999999999</v>
      </c>
      <c r="T50" s="187">
        <f>C710</f>
        <v>0.23971179767075945</v>
      </c>
      <c r="U50" s="187">
        <f>D710</f>
        <v>0.2321851239306214</v>
      </c>
      <c r="V50" s="187">
        <f>E710</f>
        <v>0.22446992215634398</v>
      </c>
      <c r="W50" s="187">
        <f>F710</f>
        <v>0.21515962299917346</v>
      </c>
      <c r="X50" s="187">
        <f>G710</f>
        <v>0.20555492243182627</v>
      </c>
      <c r="Y50" s="4"/>
      <c r="Z50" s="4"/>
      <c r="AA50" s="4"/>
      <c r="AB50" s="4"/>
      <c r="AC50" s="4"/>
      <c r="AD50" s="4"/>
      <c r="AE50" s="4"/>
      <c r="AF50" s="4"/>
      <c r="AG50" s="4"/>
      <c r="AH50" s="4"/>
    </row>
    <row r="51" ht="12.75">
      <c r="A51" s="4"/>
      <c r="B51" s="357"/>
      <c r="C51" s="302">
        <f>$J$14+0*$S$14</f>
        <v>0.13</v>
      </c>
      <c r="D51" s="187">
        <f>C695</f>
        <v>0.13848765810496078</v>
      </c>
      <c r="E51" s="187">
        <f>D695</f>
        <v>0.17738672250432508</v>
      </c>
      <c r="F51" s="309">
        <f>E695</f>
        <v>0.211735490955125</v>
      </c>
      <c r="G51" s="187">
        <f>F695</f>
        <v>0.242580510869856</v>
      </c>
      <c r="H51" s="187">
        <f>G695</f>
        <v>0.2706359042880413</v>
      </c>
      <c r="I51" s="4"/>
      <c r="J51" s="357"/>
      <c r="K51" s="302">
        <f>$J$12+0*$S$12</f>
        <v>0.12079999999999999</v>
      </c>
      <c r="L51" s="187">
        <f>C703</f>
        <v>0.24101217238948358</v>
      </c>
      <c r="M51" s="187">
        <f>D703</f>
        <v>0.22672311220422614</v>
      </c>
      <c r="N51" s="309">
        <f>E703</f>
        <v>0.211735490955125</v>
      </c>
      <c r="O51" s="187">
        <f>F703</f>
        <v>0.1931495792582214</v>
      </c>
      <c r="P51" s="187">
        <f>G703</f>
        <v>0.17332779762334427</v>
      </c>
      <c r="Q51" s="4"/>
      <c r="R51" s="357"/>
      <c r="S51" s="302">
        <f>$J$12+0*$S$12</f>
        <v>0.12079999999999999</v>
      </c>
      <c r="T51" s="187">
        <f>C711</f>
        <v>0.22725001128951017</v>
      </c>
      <c r="U51" s="187">
        <f>D711</f>
        <v>0.2195914258625924</v>
      </c>
      <c r="V51" s="309">
        <f>E711</f>
        <v>0.211735490955125</v>
      </c>
      <c r="W51" s="187">
        <f>F711</f>
        <v>0.20225626508835548</v>
      </c>
      <c r="X51" s="187">
        <f>G711</f>
        <v>0.19246829550495703</v>
      </c>
      <c r="Y51" s="4"/>
      <c r="Z51" s="4"/>
      <c r="AA51" s="4"/>
      <c r="AB51" s="4"/>
      <c r="AC51" s="4"/>
      <c r="AD51" s="4"/>
      <c r="AE51" s="4"/>
      <c r="AF51" s="4"/>
      <c r="AG51" s="4"/>
      <c r="AH51" s="4"/>
    </row>
    <row r="52" ht="12.75">
      <c r="A52" s="4"/>
      <c r="B52" s="357"/>
      <c r="C52" s="302">
        <f>$J$14+1*$S$14</f>
        <v>0.1375</v>
      </c>
      <c r="D52" s="187">
        <f>C696</f>
        <v>0.1277074108190508</v>
      </c>
      <c r="E52" s="187">
        <f>D696</f>
        <v>0.16735858509812118</v>
      </c>
      <c r="F52" s="187">
        <f>E696</f>
        <v>0.20225626508835548</v>
      </c>
      <c r="G52" s="187">
        <f>F696</f>
        <v>0.23351743047133122</v>
      </c>
      <c r="H52" s="187">
        <f>G696</f>
        <v>0.261897443377322</v>
      </c>
      <c r="I52" s="4"/>
      <c r="J52" s="357"/>
      <c r="K52" s="302">
        <f>$J$12+1*$S$12</f>
        <v>0.1268</v>
      </c>
      <c r="L52" s="187">
        <f>C704</f>
        <v>0.229665905909904</v>
      </c>
      <c r="M52" s="187">
        <f>D704</f>
        <v>0.21512543591498612</v>
      </c>
      <c r="N52" s="187">
        <f>E704</f>
        <v>0.19985371108983307</v>
      </c>
      <c r="O52" s="187">
        <f>F704</f>
        <v>0.18090927308269844</v>
      </c>
      <c r="P52" s="187">
        <f>G704</f>
        <v>0.16066487886791192</v>
      </c>
      <c r="Q52" s="4"/>
      <c r="R52" s="357"/>
      <c r="S52" s="302">
        <f>$J$12+1*$S$12</f>
        <v>0.1268</v>
      </c>
      <c r="T52" s="187">
        <f>C712</f>
        <v>0.21564051114167482</v>
      </c>
      <c r="U52" s="187">
        <f>D712</f>
        <v>0.20785027253239718</v>
      </c>
      <c r="V52" s="187">
        <f>E712</f>
        <v>0.19985371108983307</v>
      </c>
      <c r="W52" s="187">
        <f>F712</f>
        <v>0.19020696141235494</v>
      </c>
      <c r="X52" s="187">
        <f>G712</f>
        <v>0.18023692415458137</v>
      </c>
      <c r="Y52" s="4"/>
      <c r="Z52" s="4"/>
      <c r="AA52" s="4"/>
      <c r="AB52" s="4"/>
      <c r="AC52" s="4"/>
      <c r="AD52" s="4"/>
      <c r="AE52" s="4"/>
      <c r="AF52" s="4"/>
      <c r="AG52" s="4"/>
      <c r="AH52" s="4"/>
    </row>
    <row r="53" ht="12.75">
      <c r="A53" s="4"/>
      <c r="B53" s="357"/>
      <c r="C53" s="302">
        <f>$J$14+2*$S$14</f>
        <v>0.14500000000000002</v>
      </c>
      <c r="D53" s="187">
        <f>C697</f>
        <v>0.11649845654789259</v>
      </c>
      <c r="E53" s="187">
        <f>D697</f>
        <v>0.15697353025373628</v>
      </c>
      <c r="F53" s="187">
        <f>E697</f>
        <v>0.19246829550495703</v>
      </c>
      <c r="G53" s="187">
        <f>F697</f>
        <v>0.22417988723308424</v>
      </c>
      <c r="H53" s="187">
        <f>G697</f>
        <v>0.25291000481461623</v>
      </c>
      <c r="I53" s="4"/>
      <c r="J53" s="357"/>
      <c r="K53" s="302">
        <f>$J$12+2*$S$12</f>
        <v>0.1328</v>
      </c>
      <c r="L53" s="187">
        <f>C705</f>
        <v>0.21810600952718828</v>
      </c>
      <c r="M53" s="187">
        <f>D705</f>
        <v>0.20329420896409212</v>
      </c>
      <c r="N53" s="187">
        <f>E705</f>
        <v>0.18771502237252968</v>
      </c>
      <c r="O53" s="187">
        <f>F705</f>
        <v>0.16838065836967475</v>
      </c>
      <c r="P53" s="187">
        <f>G705</f>
        <v>0.14767472112461832</v>
      </c>
      <c r="Q53" s="4"/>
      <c r="R53" s="357"/>
      <c r="S53" s="302">
        <f>$J$12+2*$S$12</f>
        <v>0.1328</v>
      </c>
      <c r="T53" s="187">
        <f>C713</f>
        <v>0.2037971688902096</v>
      </c>
      <c r="U53" s="187">
        <f>D713</f>
        <v>0.1958642257562122</v>
      </c>
      <c r="V53" s="187">
        <f>E713</f>
        <v>0.18771502237252968</v>
      </c>
      <c r="W53" s="187">
        <f>F713</f>
        <v>0.17788584328115475</v>
      </c>
      <c r="X53" s="187">
        <f>G713</f>
        <v>0.16771718276723524</v>
      </c>
      <c r="Y53" s="4"/>
      <c r="Z53" s="4"/>
      <c r="AA53" s="4"/>
      <c r="AB53" s="4"/>
      <c r="AC53" s="4"/>
      <c r="AD53" s="4"/>
      <c r="AE53" s="4"/>
      <c r="AF53" s="4"/>
      <c r="AG53" s="4"/>
      <c r="AH53" s="4"/>
    </row>
    <row r="54" ht="12.7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row>
    <row r="55" ht="12.75">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row>
    <row r="56" ht="12.75">
      <c r="A56" s="4"/>
      <c r="B56" t="s" s="353">
        <v>519</v>
      </c>
      <c r="C56" s="354"/>
      <c r="D56" s="354"/>
      <c r="E56" s="354"/>
      <c r="F56" s="354"/>
      <c r="G56" s="354"/>
      <c r="H56" s="355"/>
      <c r="I56" s="4"/>
      <c r="J56" s="4"/>
      <c r="K56" s="4"/>
      <c r="L56" s="4"/>
      <c r="M56" s="4"/>
      <c r="N56" s="4"/>
      <c r="O56" s="4"/>
      <c r="P56" s="4"/>
      <c r="Q56" s="4"/>
      <c r="R56" s="4"/>
      <c r="S56" s="4"/>
      <c r="T56" s="4"/>
      <c r="U56" s="4"/>
      <c r="V56" s="4"/>
      <c r="W56" s="4"/>
      <c r="X56" s="4"/>
      <c r="Y56" s="4"/>
      <c r="Z56" s="4"/>
      <c r="AA56" s="4"/>
      <c r="AB56" s="4"/>
      <c r="AC56" s="4"/>
      <c r="AD56" s="4"/>
      <c r="AE56" s="4"/>
      <c r="AF56" s="4"/>
      <c r="AG56" s="4"/>
      <c r="AH56" s="4"/>
    </row>
    <row r="57" ht="12.75">
      <c r="A57" s="4"/>
      <c r="B57" s="4"/>
      <c r="C57" s="4"/>
      <c r="D57" t="s" s="356">
        <v>424</v>
      </c>
      <c r="E57" s="356"/>
      <c r="F57" s="356"/>
      <c r="G57" s="356"/>
      <c r="H57" s="356"/>
      <c r="I57" s="4"/>
      <c r="J57" s="4"/>
      <c r="K57" s="4"/>
      <c r="L57" s="4"/>
      <c r="M57" s="4"/>
      <c r="N57" s="4"/>
      <c r="O57" s="4"/>
      <c r="P57" s="4"/>
      <c r="Q57" s="4"/>
      <c r="R57" s="4"/>
      <c r="S57" s="4"/>
      <c r="T57" s="4"/>
      <c r="U57" s="4"/>
      <c r="V57" s="4"/>
      <c r="W57" s="4"/>
      <c r="X57" s="4"/>
      <c r="Y57" s="4"/>
      <c r="Z57" s="4"/>
      <c r="AA57" s="4"/>
      <c r="AB57" s="4"/>
      <c r="AC57" s="4"/>
      <c r="AD57" s="4"/>
      <c r="AE57" s="4"/>
      <c r="AF57" s="4"/>
      <c r="AG57" s="4"/>
      <c r="AH57" s="4"/>
    </row>
    <row r="58" ht="12.75">
      <c r="A58" s="4"/>
      <c r="B58" s="4"/>
      <c r="C58" s="300">
        <f>Model!$M$140</f>
        <v>0.211735490955125</v>
      </c>
      <c r="D58" s="301">
        <f>$J$15-2*$S$15</f>
        <v>0.232</v>
      </c>
      <c r="E58" s="301">
        <f>$J$15-1*$S$15</f>
        <v>0.2445</v>
      </c>
      <c r="F58" s="301">
        <f>$J$15+0*$S$15</f>
        <v>0.257</v>
      </c>
      <c r="G58" s="301">
        <f>$J$15+1*$S$15</f>
        <v>0.2695</v>
      </c>
      <c r="H58" s="301">
        <f>$J$15+2*$S$15</f>
        <v>0.28200000000000003</v>
      </c>
      <c r="I58" s="4"/>
      <c r="J58" s="4"/>
      <c r="K58" s="4"/>
      <c r="L58" s="4"/>
      <c r="M58" s="4"/>
      <c r="N58" s="4"/>
      <c r="O58" s="4"/>
      <c r="P58" s="4"/>
      <c r="Q58" s="4"/>
      <c r="R58" s="4"/>
      <c r="S58" s="4"/>
      <c r="T58" s="4"/>
      <c r="U58" s="4"/>
      <c r="V58" s="4"/>
      <c r="W58" s="4"/>
      <c r="X58" s="4"/>
      <c r="Y58" s="4"/>
      <c r="Z58" s="4"/>
      <c r="AA58" s="4"/>
      <c r="AB58" s="4"/>
      <c r="AC58" s="4"/>
      <c r="AD58" s="4"/>
      <c r="AE58" s="4"/>
      <c r="AF58" s="4"/>
      <c r="AG58" s="4"/>
      <c r="AH58" s="4"/>
    </row>
    <row r="59" ht="12.75">
      <c r="A59" s="4"/>
      <c r="B59" t="s" s="357">
        <v>427</v>
      </c>
      <c r="C59" s="302">
        <f>$J$14-2*$S$14</f>
        <v>0.115</v>
      </c>
      <c r="D59" s="187">
        <f>C717</f>
        <v>0.2551534581987098</v>
      </c>
      <c r="E59" s="187">
        <f>D717</f>
        <v>0.24151524473284858</v>
      </c>
      <c r="F59" s="187">
        <f>E717</f>
        <v>0.22725001128951017</v>
      </c>
      <c r="G59" s="187">
        <f>F717</f>
        <v>0.2096206040984776</v>
      </c>
      <c r="H59" s="187">
        <f>G717</f>
        <v>0.19089917183165572</v>
      </c>
      <c r="I59" s="4"/>
      <c r="J59" s="4"/>
      <c r="K59" s="4"/>
      <c r="L59" s="4"/>
      <c r="M59" s="4"/>
      <c r="N59" s="4"/>
      <c r="O59" s="4"/>
      <c r="P59" s="4"/>
      <c r="Q59" s="4"/>
      <c r="R59" s="4"/>
      <c r="S59" s="4"/>
      <c r="T59" s="4"/>
      <c r="U59" s="4"/>
      <c r="V59" s="4"/>
      <c r="W59" s="4"/>
      <c r="X59" s="4"/>
      <c r="Y59" s="4"/>
      <c r="Z59" s="4"/>
      <c r="AA59" s="4"/>
      <c r="AB59" s="4"/>
      <c r="AC59" s="4"/>
      <c r="AD59" s="4"/>
      <c r="AE59" s="4"/>
      <c r="AF59" s="4"/>
      <c r="AG59" s="4"/>
      <c r="AH59" s="4"/>
    </row>
    <row r="60" ht="12.75">
      <c r="A60" s="4"/>
      <c r="B60" s="357"/>
      <c r="C60" s="302">
        <f>$J$14-1*$S$14</f>
        <v>0.1225</v>
      </c>
      <c r="D60" s="187">
        <f>C718</f>
        <v>0.2481629195558237</v>
      </c>
      <c r="E60" s="187">
        <f>D718</f>
        <v>0.23420781645782784</v>
      </c>
      <c r="F60" s="187">
        <f>E718</f>
        <v>0.2195914258625924</v>
      </c>
      <c r="G60" s="187">
        <f>F718</f>
        <v>0.2014979822300571</v>
      </c>
      <c r="H60" s="187">
        <f>G718</f>
        <v>0.1822440532062768</v>
      </c>
      <c r="I60" s="4"/>
      <c r="J60" s="4"/>
      <c r="K60" s="4"/>
      <c r="L60" s="4"/>
      <c r="M60" s="4"/>
      <c r="N60" s="4"/>
      <c r="O60" s="4"/>
      <c r="P60" s="4"/>
      <c r="Q60" s="4"/>
      <c r="R60" s="4"/>
      <c r="S60" s="4"/>
      <c r="T60" s="4"/>
      <c r="U60" s="4"/>
      <c r="V60" s="4"/>
      <c r="W60" s="4"/>
      <c r="X60" s="4"/>
      <c r="Y60" s="4"/>
      <c r="Z60" s="4"/>
      <c r="AA60" s="4"/>
      <c r="AB60" s="4"/>
      <c r="AC60" s="4"/>
      <c r="AD60" s="4"/>
      <c r="AE60" s="4"/>
      <c r="AF60" s="4"/>
      <c r="AG60" s="4"/>
      <c r="AH60" s="4"/>
    </row>
    <row r="61" ht="12.75">
      <c r="A61" s="4"/>
      <c r="B61" s="357"/>
      <c r="C61" s="302">
        <f>$J$14+0*$S$14</f>
        <v>0.13</v>
      </c>
      <c r="D61" s="187">
        <f>C719</f>
        <v>0.24101217238948358</v>
      </c>
      <c r="E61" s="187">
        <f>D719</f>
        <v>0.22672311220422614</v>
      </c>
      <c r="F61" s="309">
        <f>E719</f>
        <v>0.211735490955125</v>
      </c>
      <c r="G61" s="187">
        <f>F719</f>
        <v>0.1931495792582214</v>
      </c>
      <c r="H61" s="187">
        <f>G719</f>
        <v>0.17332779762334427</v>
      </c>
      <c r="I61" s="4"/>
      <c r="J61" s="4"/>
      <c r="K61" s="4"/>
      <c r="L61" s="4"/>
      <c r="M61" s="4"/>
      <c r="N61" s="4"/>
      <c r="O61" s="4"/>
      <c r="P61" s="4"/>
      <c r="Q61" s="4"/>
      <c r="R61" s="4"/>
      <c r="S61" s="4"/>
      <c r="T61" s="4"/>
      <c r="U61" s="4"/>
      <c r="V61" s="4"/>
      <c r="W61" s="4"/>
      <c r="X61" s="4"/>
      <c r="Y61" s="4"/>
      <c r="Z61" s="4"/>
      <c r="AA61" s="4"/>
      <c r="AB61" s="4"/>
      <c r="AC61" s="4"/>
      <c r="AD61" s="4"/>
      <c r="AE61" s="4"/>
      <c r="AF61" s="4"/>
      <c r="AG61" s="4"/>
      <c r="AH61" s="4"/>
    </row>
    <row r="62" ht="12.75">
      <c r="A62" s="4"/>
      <c r="B62" s="357"/>
      <c r="C62" s="302">
        <f>$J$14+1*$S$14</f>
        <v>0.1375</v>
      </c>
      <c r="D62" s="187">
        <f>C720</f>
        <v>0.23241165189987378</v>
      </c>
      <c r="E62" s="187">
        <f>D720</f>
        <v>0.21770725766904997</v>
      </c>
      <c r="F62" s="187">
        <f>E720</f>
        <v>0.20225626508835548</v>
      </c>
      <c r="G62" s="187">
        <f>F720</f>
        <v>0.1830528674972971</v>
      </c>
      <c r="H62" s="187">
        <f>G720</f>
        <v>0.16251504405980466</v>
      </c>
      <c r="I62" s="4"/>
      <c r="J62" s="4"/>
      <c r="K62" s="4"/>
      <c r="L62" s="4"/>
      <c r="M62" s="4"/>
      <c r="N62" s="4"/>
      <c r="O62" s="4"/>
      <c r="P62" s="4"/>
      <c r="Q62" s="4"/>
      <c r="R62" s="4"/>
      <c r="S62" s="4"/>
      <c r="T62" s="4"/>
      <c r="U62" s="4"/>
      <c r="V62" s="4"/>
      <c r="W62" s="4"/>
      <c r="X62" s="4"/>
      <c r="Y62" s="4"/>
      <c r="Z62" s="4"/>
      <c r="AA62" s="4"/>
      <c r="AB62" s="4"/>
      <c r="AC62" s="4"/>
      <c r="AD62" s="4"/>
      <c r="AE62" s="4"/>
      <c r="AF62" s="4"/>
      <c r="AG62" s="4"/>
      <c r="AH62" s="4"/>
    </row>
    <row r="63" ht="12.75">
      <c r="A63" s="4"/>
      <c r="B63" s="357"/>
      <c r="C63" s="302">
        <f>$J$14+2*$S$14</f>
        <v>0.14500000000000002</v>
      </c>
      <c r="D63" s="187">
        <f>C721</f>
        <v>0.22356412675619808</v>
      </c>
      <c r="E63" s="187">
        <f>D721</f>
        <v>0.20841620188360244</v>
      </c>
      <c r="F63" s="187">
        <f>E721</f>
        <v>0.19246829550495703</v>
      </c>
      <c r="G63" s="187">
        <f>F721</f>
        <v>0.17259922382392934</v>
      </c>
      <c r="H63" s="187">
        <f>G721</f>
        <v>0.15128436256037658</v>
      </c>
      <c r="I63" s="4"/>
      <c r="J63" s="4"/>
      <c r="K63" s="4"/>
      <c r="L63" s="4"/>
      <c r="M63" s="4"/>
      <c r="N63" s="4"/>
      <c r="O63" s="4"/>
      <c r="P63" s="4"/>
      <c r="Q63" s="4"/>
      <c r="R63" s="4"/>
      <c r="S63" s="4"/>
      <c r="T63" s="4"/>
      <c r="U63" s="4"/>
      <c r="V63" s="4"/>
      <c r="W63" s="4"/>
      <c r="X63" s="4"/>
      <c r="Y63" s="4"/>
      <c r="Z63" s="4"/>
      <c r="AA63" s="4"/>
      <c r="AB63" s="4"/>
      <c r="AC63" s="4"/>
      <c r="AD63" s="4"/>
      <c r="AE63" s="4"/>
      <c r="AF63" s="4"/>
      <c r="AG63" s="4"/>
      <c r="AH63" s="4"/>
    </row>
    <row r="64" ht="12.75">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row>
    <row r="65" ht="12.75">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row>
    <row r="66" ht="12.75">
      <c r="A66" s="4"/>
      <c r="B66" t="s" s="26">
        <v>522</v>
      </c>
      <c r="C66" s="26"/>
      <c r="D66" s="26"/>
      <c r="E66" s="26"/>
      <c r="F66" s="26"/>
      <c r="G66" s="26"/>
      <c r="H66" s="26"/>
      <c r="I66" s="26"/>
      <c r="J66" s="26"/>
      <c r="K66" s="26"/>
      <c r="L66" s="26"/>
      <c r="M66" s="26"/>
      <c r="N66" s="26"/>
      <c r="O66" s="26"/>
      <c r="P66" s="26"/>
      <c r="Q66" s="26"/>
      <c r="R66" s="26"/>
      <c r="S66" s="26"/>
      <c r="T66" s="26"/>
      <c r="U66" s="26"/>
      <c r="V66" s="26"/>
      <c r="W66" s="26"/>
      <c r="X66" s="26"/>
      <c r="Y66" s="4"/>
      <c r="Z66" s="4"/>
      <c r="AA66" s="4"/>
      <c r="AB66" s="4"/>
      <c r="AC66" s="4"/>
      <c r="AD66" s="4"/>
      <c r="AE66" s="4"/>
      <c r="AF66" s="4"/>
      <c r="AG66" s="4"/>
      <c r="AH66" s="4"/>
    </row>
    <row r="67" ht="12.75">
      <c r="A67" s="4"/>
      <c r="B67" t="s" s="291">
        <v>523</v>
      </c>
      <c r="C67" s="291"/>
      <c r="D67" s="291"/>
      <c r="E67" s="291"/>
      <c r="F67" s="291"/>
      <c r="G67" s="291"/>
      <c r="H67" t="s" s="310">
        <v>533</v>
      </c>
      <c r="I67" s="4"/>
      <c r="J67" s="4"/>
      <c r="K67" s="4"/>
      <c r="L67" s="4"/>
      <c r="M67" s="4"/>
      <c r="N67" s="4"/>
      <c r="O67" s="4"/>
      <c r="P67" s="4"/>
      <c r="Q67" s="4"/>
      <c r="R67" s="4"/>
      <c r="S67" s="4"/>
      <c r="T67" s="4"/>
      <c r="U67" s="4"/>
      <c r="V67" s="4"/>
      <c r="W67" s="4"/>
      <c r="X67" s="4"/>
      <c r="Y67" s="4"/>
      <c r="Z67" s="4"/>
      <c r="AA67" s="4"/>
      <c r="AB67" s="4"/>
      <c r="AC67" s="4"/>
      <c r="AD67" s="4"/>
      <c r="AE67" s="4"/>
      <c r="AF67" s="4"/>
      <c r="AG67" s="4"/>
      <c r="AH67" s="4"/>
    </row>
    <row r="68" ht="12.75">
      <c r="A68" s="4"/>
      <c r="B68" t="s" s="4">
        <v>524</v>
      </c>
      <c r="C68" s="4"/>
      <c r="D68" s="4"/>
      <c r="E68" s="4"/>
      <c r="F68" s="4"/>
      <c r="G68" s="4"/>
      <c r="H68" s="23">
        <f>Model!M139</f>
        <v>4505.505070000001</v>
      </c>
      <c r="I68" s="4"/>
      <c r="J68" s="4"/>
      <c r="K68" s="4"/>
      <c r="L68" s="4"/>
      <c r="M68" s="4"/>
      <c r="N68" s="4"/>
      <c r="O68" s="4"/>
      <c r="P68" s="4"/>
      <c r="Q68" s="4"/>
      <c r="R68" s="4"/>
      <c r="S68" s="4"/>
      <c r="T68" s="4"/>
      <c r="U68" s="4"/>
      <c r="V68" s="4"/>
      <c r="W68" s="4"/>
      <c r="X68" s="4"/>
      <c r="Y68" s="4"/>
      <c r="Z68" s="4"/>
      <c r="AA68" s="4"/>
      <c r="AB68" s="4"/>
      <c r="AC68" s="4"/>
      <c r="AD68" s="4"/>
      <c r="AE68" s="4"/>
      <c r="AF68" s="4"/>
      <c r="AG68" s="4"/>
      <c r="AH68" s="4"/>
    </row>
    <row r="69" ht="12.75">
      <c r="A69" s="4"/>
      <c r="B69" t="s" s="4">
        <v>525</v>
      </c>
      <c r="C69" s="4"/>
      <c r="D69" s="4"/>
      <c r="E69" s="4"/>
      <c r="F69" s="4"/>
      <c r="G69" s="4"/>
      <c r="H69" s="23">
        <f>(Model!M131-Model!Y4)*Model!Y15</f>
        <v>3606.2577389829867</v>
      </c>
      <c r="I69" s="4"/>
      <c r="J69" s="4"/>
      <c r="K69" s="4"/>
      <c r="L69" s="4"/>
      <c r="M69" s="4"/>
      <c r="N69" s="4"/>
      <c r="O69" s="4"/>
      <c r="P69" s="4"/>
      <c r="Q69" s="4"/>
      <c r="R69" s="4"/>
      <c r="S69" s="4"/>
      <c r="T69" s="4"/>
      <c r="U69" s="4"/>
      <c r="V69" s="4"/>
      <c r="W69" s="4"/>
      <c r="X69" s="4"/>
      <c r="Y69" s="4"/>
      <c r="Z69" s="4"/>
      <c r="AA69" s="4"/>
      <c r="AB69" s="4"/>
      <c r="AC69" s="4"/>
      <c r="AD69" s="4"/>
      <c r="AE69" s="4"/>
      <c r="AF69" s="4"/>
      <c r="AG69" s="4"/>
      <c r="AH69" s="4"/>
    </row>
    <row r="70" ht="12.75">
      <c r="A70" s="4"/>
      <c r="B70" t="s" s="4">
        <v>526</v>
      </c>
      <c r="C70" s="4"/>
      <c r="D70" s="4"/>
      <c r="E70" s="4"/>
      <c r="F70" s="4"/>
      <c r="G70" s="4"/>
      <c r="H70" s="23">
        <f>(Model!M132-Model!Y15)*Model!M131</f>
        <v>875.146781811155</v>
      </c>
      <c r="I70" s="4"/>
      <c r="J70" s="4"/>
      <c r="K70" s="4"/>
      <c r="L70" s="4"/>
      <c r="M70" s="4"/>
      <c r="N70" s="4"/>
      <c r="O70" s="4"/>
      <c r="P70" s="4"/>
      <c r="Q70" s="4"/>
      <c r="R70" s="4"/>
      <c r="S70" s="4"/>
      <c r="T70" s="4"/>
      <c r="U70" s="4"/>
      <c r="V70" s="4"/>
      <c r="W70" s="4"/>
      <c r="X70" s="4"/>
      <c r="Y70" s="4"/>
      <c r="Z70" s="4"/>
      <c r="AA70" s="4"/>
      <c r="AB70" s="4"/>
      <c r="AC70" s="4"/>
      <c r="AD70" s="4"/>
      <c r="AE70" s="4"/>
      <c r="AF70" s="4"/>
      <c r="AG70" s="4"/>
      <c r="AH70" s="4"/>
    </row>
    <row r="71" ht="12.75">
      <c r="A71" s="4"/>
      <c r="B71" t="s" s="4">
        <v>527</v>
      </c>
      <c r="C71" s="4"/>
      <c r="D71" s="4"/>
      <c r="E71" s="4"/>
      <c r="F71" s="4"/>
      <c r="G71" s="4"/>
      <c r="H71" s="23">
        <f>Model!H121-Model!M121</f>
        <v>3573.244587408143</v>
      </c>
      <c r="I71" s="4"/>
      <c r="J71" s="4"/>
      <c r="K71" s="4"/>
      <c r="L71" s="4"/>
      <c r="M71" s="4"/>
      <c r="N71" s="4"/>
      <c r="O71" s="4"/>
      <c r="P71" s="4"/>
      <c r="Q71" s="4"/>
      <c r="R71" s="4"/>
      <c r="S71" s="4"/>
      <c r="T71" s="4"/>
      <c r="U71" s="4"/>
      <c r="V71" s="4"/>
      <c r="W71" s="4"/>
      <c r="X71" s="4"/>
      <c r="Y71" s="4"/>
      <c r="Z71" s="4"/>
      <c r="AA71" s="4"/>
      <c r="AB71" s="4"/>
      <c r="AC71" s="4"/>
      <c r="AD71" s="4"/>
      <c r="AE71" s="4"/>
      <c r="AF71" s="4"/>
      <c r="AG71" s="4"/>
      <c r="AH71" s="4"/>
    </row>
    <row r="72" ht="12.75">
      <c r="A72" s="4"/>
      <c r="B72" t="s" s="4">
        <v>528</v>
      </c>
      <c r="C72" s="4"/>
      <c r="D72" s="4"/>
      <c r="E72" s="4"/>
      <c r="F72" s="4"/>
      <c r="G72" s="4"/>
      <c r="H72" s="23">
        <f>-(Model!I22+Model!I23)</f>
        <v>-407.63657</v>
      </c>
      <c r="I72" s="4"/>
      <c r="J72" s="4"/>
      <c r="K72" s="4"/>
      <c r="L72" s="4"/>
      <c r="M72" s="4"/>
      <c r="N72" s="4"/>
      <c r="O72" s="4"/>
      <c r="P72" s="4"/>
      <c r="Q72" s="4"/>
      <c r="R72" s="4"/>
      <c r="S72" s="4"/>
      <c r="T72" s="4"/>
      <c r="U72" s="4"/>
      <c r="V72" s="4"/>
      <c r="W72" s="4"/>
      <c r="X72" s="4"/>
      <c r="Y72" s="4"/>
      <c r="Z72" s="4"/>
      <c r="AA72" s="4"/>
      <c r="AB72" s="4"/>
      <c r="AC72" s="4"/>
      <c r="AD72" s="4"/>
      <c r="AE72" s="4"/>
      <c r="AF72" s="4"/>
      <c r="AG72" s="4"/>
      <c r="AH72" s="4"/>
    </row>
    <row r="73" ht="12.75">
      <c r="A73" s="4"/>
      <c r="B73" t="s" s="4">
        <v>529</v>
      </c>
      <c r="C73" s="4"/>
      <c r="D73" s="4"/>
      <c r="E73" s="4"/>
      <c r="F73" s="4"/>
      <c r="G73" s="4"/>
      <c r="H73" s="23">
        <f>Model!M137</f>
        <v>-382.3506269101142</v>
      </c>
      <c r="I73" s="4"/>
      <c r="J73" s="4"/>
      <c r="K73" s="4"/>
      <c r="L73" s="4"/>
      <c r="M73" s="4"/>
      <c r="N73" s="4"/>
      <c r="O73" s="4"/>
      <c r="P73" s="4"/>
      <c r="Q73" s="4"/>
      <c r="R73" s="4"/>
      <c r="S73" s="4"/>
      <c r="T73" s="4"/>
      <c r="U73" s="4"/>
      <c r="V73" s="4"/>
      <c r="W73" s="4"/>
      <c r="X73" s="4"/>
      <c r="Y73" s="4"/>
      <c r="Z73" s="4"/>
      <c r="AA73" s="4"/>
      <c r="AB73" s="4"/>
      <c r="AC73" s="4"/>
      <c r="AD73" s="4"/>
      <c r="AE73" s="4"/>
      <c r="AF73" s="4"/>
      <c r="AG73" s="4"/>
      <c r="AH73" s="4"/>
    </row>
    <row r="74" ht="12.75">
      <c r="A74" s="4"/>
      <c r="B74" t="s" s="311">
        <v>530</v>
      </c>
      <c r="C74" s="311"/>
      <c r="D74" s="311"/>
      <c r="E74" s="311"/>
      <c r="F74" s="311"/>
      <c r="G74" s="311"/>
      <c r="H74" s="22">
        <f>SUM(H68:H73)</f>
        <v>11770.166981292172</v>
      </c>
      <c r="I74" s="4"/>
      <c r="J74" s="4"/>
      <c r="K74" s="4"/>
      <c r="L74" s="4"/>
      <c r="M74" s="4"/>
      <c r="N74" s="4"/>
      <c r="O74" s="4"/>
      <c r="P74" s="4"/>
      <c r="Q74" s="4"/>
      <c r="R74" s="4"/>
      <c r="S74" s="4"/>
      <c r="T74" s="4"/>
      <c r="U74" s="4"/>
      <c r="V74" s="4"/>
      <c r="W74" s="4"/>
      <c r="X74" s="4"/>
      <c r="Y74" s="4"/>
      <c r="Z74" s="4"/>
      <c r="AA74" s="4"/>
      <c r="AB74" s="4"/>
      <c r="AC74" s="4"/>
      <c r="AD74" s="4"/>
      <c r="AE74" s="4"/>
      <c r="AF74" s="4"/>
      <c r="AG74" s="4"/>
      <c r="AH74" s="4"/>
    </row>
    <row r="75" ht="12.75">
      <c r="A75" s="4"/>
      <c r="B75" t="s" s="14">
        <v>531</v>
      </c>
      <c r="C75" s="14"/>
      <c r="D75" s="14"/>
      <c r="E75" s="14"/>
      <c r="F75" s="14"/>
      <c r="G75" s="14"/>
      <c r="H75" s="312">
        <f>Model!M138</f>
        <v>11770.16698129217</v>
      </c>
      <c r="I75" s="4"/>
      <c r="J75" s="4"/>
      <c r="K75" s="4"/>
      <c r="L75" s="4"/>
      <c r="M75" s="4"/>
      <c r="N75" s="4"/>
      <c r="O75" s="4"/>
      <c r="P75" s="4"/>
      <c r="Q75" s="4"/>
      <c r="R75" s="4"/>
      <c r="S75" s="4"/>
      <c r="T75" s="4"/>
      <c r="U75" s="4"/>
      <c r="V75" s="4"/>
      <c r="W75" s="4"/>
      <c r="X75" s="4"/>
      <c r="Y75" s="4"/>
      <c r="Z75" s="4"/>
      <c r="AA75" s="4"/>
      <c r="AB75" s="4"/>
      <c r="AC75" s="4"/>
      <c r="AD75" s="4"/>
      <c r="AE75" s="4"/>
      <c r="AF75" s="4"/>
      <c r="AG75" s="4"/>
      <c r="AH75" s="4"/>
    </row>
    <row r="76" ht="12.75">
      <c r="A76" s="4"/>
      <c r="B76" t="s" s="14">
        <v>532</v>
      </c>
      <c r="C76" s="14"/>
      <c r="D76" s="14"/>
      <c r="E76" s="14"/>
      <c r="F76" s="14"/>
      <c r="G76" s="14"/>
      <c r="H76" s="312">
        <f>H74-H75</f>
        <v>0</v>
      </c>
      <c r="I76" s="4"/>
      <c r="J76" s="4"/>
      <c r="K76" s="4"/>
      <c r="L76" s="4"/>
      <c r="M76" s="4"/>
      <c r="N76" s="4"/>
      <c r="O76" s="4"/>
      <c r="P76" s="4"/>
      <c r="Q76" s="4"/>
      <c r="R76" s="4"/>
      <c r="S76" s="4"/>
      <c r="T76" s="4"/>
      <c r="U76" s="4"/>
      <c r="V76" s="4"/>
      <c r="W76" s="4"/>
      <c r="X76" s="4"/>
      <c r="Y76" s="4"/>
      <c r="Z76" s="4"/>
      <c r="AA76" s="4"/>
      <c r="AB76" s="4"/>
      <c r="AC76" s="4"/>
      <c r="AD76" s="4"/>
      <c r="AE76" s="4"/>
      <c r="AF76" s="4"/>
      <c r="AG76" s="4"/>
      <c r="AH76" s="4"/>
    </row>
    <row r="77" ht="12.75">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row>
    <row r="78" ht="12.75">
      <c r="A78" s="4"/>
      <c r="B78" t="str" s="350">
        <f>"At an exit multiple equal to the entry multiple ("&amp;TEXT(Model!Y15,"0.0x")&amp;" instead of "&amp;TEXT(Model!E6,"0.0x")&amp;"), sponsor IRR would be "&amp;TEXT($C$334,"0.0%")&amp;" against "&amp;TEXT($C$183,"0.0%")&amp;": multiple expansion carries "&amp;TEXT(($C$183-$C$334)*100,"0.0")&amp;" points of the return and takes it over the "&amp;TEXT($E$6,"0%")&amp;" hurdle."</f>
        <v>At an exit multiple equal to the entry multiple (5.7x instead of 6.0x), sponsor IRR would be 19.4% against 21.2%: multiple expansion carries 1.8 points of the return and takes it over the 20% hurdle.</v>
      </c>
      <c r="C78" s="351"/>
      <c r="D78" s="351"/>
      <c r="E78" s="351"/>
      <c r="F78" s="351"/>
      <c r="G78" s="351"/>
      <c r="H78" s="351"/>
      <c r="I78" s="4"/>
      <c r="J78" s="4"/>
      <c r="K78" s="4"/>
      <c r="L78" s="4"/>
      <c r="M78" s="4"/>
      <c r="N78" s="4"/>
      <c r="O78" s="4"/>
      <c r="P78" s="4"/>
      <c r="Q78" s="4"/>
      <c r="R78" s="4"/>
      <c r="S78" s="4"/>
      <c r="T78" s="4"/>
      <c r="U78" s="4"/>
      <c r="V78" s="4"/>
      <c r="W78" s="4"/>
      <c r="X78" s="4"/>
      <c r="Y78" s="4"/>
      <c r="Z78" s="4"/>
      <c r="AA78" s="4"/>
      <c r="AB78" s="4"/>
      <c r="AC78" s="4"/>
      <c r="AD78" s="4"/>
      <c r="AE78" s="4"/>
      <c r="AF78" s="4"/>
      <c r="AG78" s="4"/>
      <c r="AH78" s="4"/>
    </row>
    <row r="79" ht="12.75">
      <c r="A79" s="4"/>
      <c r="B79" s="351"/>
      <c r="C79" s="351"/>
      <c r="D79" s="351"/>
      <c r="E79" s="351"/>
      <c r="F79" s="351"/>
      <c r="G79" s="351"/>
      <c r="H79" s="351"/>
      <c r="I79" s="4"/>
      <c r="J79" s="4"/>
      <c r="K79" s="4"/>
      <c r="L79" s="4"/>
      <c r="M79" s="4"/>
      <c r="N79" s="4"/>
      <c r="O79" s="4"/>
      <c r="P79" s="4"/>
      <c r="Q79" s="4"/>
      <c r="R79" s="4"/>
      <c r="S79" s="4"/>
      <c r="T79" s="4"/>
      <c r="U79" s="4"/>
      <c r="V79" s="4"/>
      <c r="W79" s="4"/>
      <c r="X79" s="4"/>
      <c r="Y79" s="4"/>
      <c r="Z79" s="4"/>
      <c r="AA79" s="4"/>
      <c r="AB79" s="4"/>
      <c r="AC79" s="4"/>
      <c r="AD79" s="4"/>
      <c r="AE79" s="4"/>
      <c r="AF79" s="4"/>
      <c r="AG79" s="4"/>
      <c r="AH79" s="4"/>
    </row>
    <row r="80" ht="12.75">
      <c r="A80" s="4"/>
      <c r="B80" s="351"/>
      <c r="C80" s="351"/>
      <c r="D80" s="351"/>
      <c r="E80" s="351"/>
      <c r="F80" s="351"/>
      <c r="G80" s="351"/>
      <c r="H80" s="351"/>
      <c r="I80" s="4"/>
      <c r="J80" s="4"/>
      <c r="K80" s="4"/>
      <c r="L80" s="4"/>
      <c r="M80" s="4"/>
      <c r="N80" s="4"/>
      <c r="O80" s="4"/>
      <c r="P80" s="4"/>
      <c r="Q80" s="4"/>
      <c r="R80" s="4"/>
      <c r="S80" s="4"/>
      <c r="T80" s="4"/>
      <c r="U80" s="4"/>
      <c r="V80" s="4"/>
      <c r="W80" s="4"/>
      <c r="X80" s="4"/>
      <c r="Y80" s="4"/>
      <c r="Z80" s="4"/>
      <c r="AA80" s="4"/>
      <c r="AB80" s="4"/>
      <c r="AC80" s="4"/>
      <c r="AD80" s="4"/>
      <c r="AE80" s="4"/>
      <c r="AF80" s="4"/>
      <c r="AG80" s="4"/>
      <c r="AH80" s="4"/>
    </row>
    <row r="81" ht="12.75">
      <c r="A81" s="4"/>
      <c r="B81" s="351"/>
      <c r="C81" s="351"/>
      <c r="D81" s="351"/>
      <c r="E81" s="351"/>
      <c r="F81" s="351"/>
      <c r="G81" s="351"/>
      <c r="H81" s="351"/>
      <c r="I81" s="4"/>
      <c r="J81" s="4"/>
      <c r="K81" s="4"/>
      <c r="L81" s="4"/>
      <c r="M81" s="4"/>
      <c r="N81" s="4"/>
      <c r="O81" s="4"/>
      <c r="P81" s="4"/>
      <c r="Q81" s="4"/>
      <c r="R81" s="4"/>
      <c r="S81" s="4"/>
      <c r="T81" s="4"/>
      <c r="U81" s="4"/>
      <c r="V81" s="4"/>
      <c r="W81" s="4"/>
      <c r="X81" s="4"/>
      <c r="Y81" s="4"/>
      <c r="Z81" s="4"/>
      <c r="AA81" s="4"/>
      <c r="AB81" s="4"/>
      <c r="AC81" s="4"/>
      <c r="AD81" s="4"/>
      <c r="AE81" s="4"/>
      <c r="AF81" s="4"/>
      <c r="AG81" s="4"/>
      <c r="AH81" s="4"/>
    </row>
    <row r="82" ht="12.75">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row>
    <row r="83" ht="12.75">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row>
    <row r="84" ht="12.75">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row>
    <row r="85" ht="12.75">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row>
    <row r="86" ht="12.75">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row>
    <row r="87" ht="12.75">
      <c r="A87" s="4"/>
      <c r="B87" t="s" s="26">
        <v>534</v>
      </c>
      <c r="C87" s="26"/>
      <c r="D87" s="26"/>
      <c r="E87" s="26"/>
      <c r="F87" s="26"/>
      <c r="G87" s="26"/>
      <c r="H87" s="26"/>
      <c r="I87" s="26"/>
      <c r="J87" s="26"/>
      <c r="K87" s="26"/>
      <c r="L87" s="26"/>
      <c r="M87" s="26"/>
      <c r="N87" s="26"/>
      <c r="O87" s="26"/>
      <c r="P87" s="26"/>
      <c r="Q87" s="26"/>
      <c r="R87" s="26"/>
      <c r="S87" s="26"/>
      <c r="T87" s="26"/>
      <c r="U87" s="26"/>
      <c r="V87" s="26"/>
      <c r="W87" s="26"/>
      <c r="X87" s="26"/>
      <c r="Y87" s="4"/>
      <c r="Z87" s="4"/>
      <c r="AA87" s="4"/>
      <c r="AB87" s="4"/>
      <c r="AC87" s="4"/>
      <c r="AD87" s="4"/>
      <c r="AE87" s="4"/>
      <c r="AF87" s="4"/>
      <c r="AG87" s="4"/>
      <c r="AH87" s="4"/>
    </row>
    <row r="88" ht="12.75">
      <c r="A88" s="4"/>
      <c r="B88" t="s" s="291">
        <v>441</v>
      </c>
      <c r="C88" s="291"/>
      <c r="D88" s="291"/>
      <c r="E88" s="291"/>
      <c r="F88" s="291"/>
      <c r="G88" s="291"/>
      <c r="H88" t="s" s="310">
        <v>550</v>
      </c>
      <c r="I88" s="4"/>
      <c r="J88" s="4"/>
      <c r="K88" s="4"/>
      <c r="L88" s="4"/>
      <c r="M88" s="4"/>
      <c r="N88" s="4"/>
      <c r="O88" s="4"/>
      <c r="P88" s="4"/>
      <c r="Q88" s="4"/>
      <c r="R88" s="4"/>
      <c r="S88" s="4"/>
      <c r="T88" s="4"/>
      <c r="U88" s="4"/>
      <c r="V88" s="4"/>
      <c r="W88" s="4"/>
      <c r="X88" s="4"/>
      <c r="Y88" s="4"/>
      <c r="Z88" s="4"/>
      <c r="AA88" s="4"/>
      <c r="AB88" s="4"/>
      <c r="AC88" s="4"/>
      <c r="AD88" s="4"/>
      <c r="AE88" s="4"/>
      <c r="AF88" s="4"/>
      <c r="AG88" s="4"/>
      <c r="AH88" s="4"/>
    </row>
    <row r="89" ht="12.75">
      <c r="A89" s="4"/>
      <c r="B89" t="s" s="311">
        <v>535</v>
      </c>
      <c r="C89" s="311"/>
      <c r="D89" s="311"/>
      <c r="E89" s="311"/>
      <c r="F89" s="311"/>
      <c r="G89" s="311"/>
      <c r="H89" s="314">
        <f>INDEX($C$183:$C$310,64)</f>
        <v>0.03237015509973906</v>
      </c>
      <c r="I89" s="4"/>
      <c r="J89" s="4"/>
      <c r="K89" s="4"/>
      <c r="L89" s="4"/>
      <c r="M89" s="4"/>
      <c r="N89" s="4"/>
      <c r="O89" s="4"/>
      <c r="P89" s="4"/>
      <c r="Q89" s="4"/>
      <c r="R89" s="4"/>
      <c r="S89" s="4"/>
      <c r="T89" s="4"/>
      <c r="U89" s="4"/>
      <c r="V89" s="4"/>
      <c r="W89" s="4"/>
      <c r="X89" s="4"/>
      <c r="Y89" s="4"/>
      <c r="Z89" s="4"/>
      <c r="AA89" s="4"/>
      <c r="AB89" s="4"/>
      <c r="AC89" s="4"/>
      <c r="AD89" s="4"/>
      <c r="AE89" s="4"/>
      <c r="AF89" s="4"/>
      <c r="AG89" s="4"/>
      <c r="AH89" s="4"/>
    </row>
    <row r="90" ht="12.75">
      <c r="A90" s="4"/>
      <c r="B90" t="s" s="4">
        <v>536</v>
      </c>
      <c r="C90" s="4"/>
      <c r="D90" s="4"/>
      <c r="E90" s="4"/>
      <c r="F90" s="4"/>
      <c r="G90" s="4"/>
      <c r="H90" s="313">
        <f>C314</f>
        <v>0.020239959139801433</v>
      </c>
      <c r="I90" s="4"/>
      <c r="J90" s="4"/>
      <c r="K90" s="4"/>
      <c r="L90" s="4"/>
      <c r="M90" s="4"/>
      <c r="N90" s="4"/>
      <c r="O90" s="4"/>
      <c r="P90" s="4"/>
      <c r="Q90" s="4"/>
      <c r="R90" s="4"/>
      <c r="S90" s="4"/>
      <c r="T90" s="4"/>
      <c r="U90" s="4"/>
      <c r="V90" s="4"/>
      <c r="W90" s="4"/>
      <c r="X90" s="4"/>
      <c r="Y90" s="4"/>
      <c r="Z90" s="4"/>
      <c r="AA90" s="4"/>
      <c r="AB90" s="4"/>
      <c r="AC90" s="4"/>
      <c r="AD90" s="4"/>
      <c r="AE90" s="4"/>
      <c r="AF90" s="4"/>
      <c r="AG90" s="4"/>
      <c r="AH90" s="4"/>
    </row>
    <row r="91" ht="12.75">
      <c r="A91" s="4"/>
      <c r="B91" t="s" s="4">
        <v>537</v>
      </c>
      <c r="C91" s="4"/>
      <c r="D91" s="4"/>
      <c r="E91" s="4"/>
      <c r="F91" s="4"/>
      <c r="G91" s="4"/>
      <c r="H91" s="313">
        <f>C315</f>
        <v>0.039064937148002</v>
      </c>
      <c r="I91" s="4"/>
      <c r="J91" s="4"/>
      <c r="K91" s="4"/>
      <c r="L91" s="4"/>
      <c r="M91" s="4"/>
      <c r="N91" s="4"/>
      <c r="O91" s="4"/>
      <c r="P91" s="4"/>
      <c r="Q91" s="4"/>
      <c r="R91" s="4"/>
      <c r="S91" s="4"/>
      <c r="T91" s="4"/>
      <c r="U91" s="4"/>
      <c r="V91" s="4"/>
      <c r="W91" s="4"/>
      <c r="X91" s="4"/>
      <c r="Y91" s="4"/>
      <c r="Z91" s="4"/>
      <c r="AA91" s="4"/>
      <c r="AB91" s="4"/>
      <c r="AC91" s="4"/>
      <c r="AD91" s="4"/>
      <c r="AE91" s="4"/>
      <c r="AF91" s="4"/>
      <c r="AG91" s="4"/>
      <c r="AH91" s="4"/>
    </row>
    <row r="92" ht="12.75">
      <c r="A92" s="4"/>
      <c r="B92" t="s" s="4">
        <v>538</v>
      </c>
      <c r="C92" s="4"/>
      <c r="D92" s="4"/>
      <c r="E92" s="4"/>
      <c r="F92" s="4"/>
      <c r="G92" s="4"/>
      <c r="H92" s="313">
        <f>C316</f>
        <v>0.011692464262667818</v>
      </c>
      <c r="I92" s="4"/>
      <c r="J92" s="4"/>
      <c r="K92" s="4"/>
      <c r="L92" s="4"/>
      <c r="M92" s="4"/>
      <c r="N92" s="4"/>
      <c r="O92" s="4"/>
      <c r="P92" s="4"/>
      <c r="Q92" s="4"/>
      <c r="R92" s="4"/>
      <c r="S92" s="4"/>
      <c r="T92" s="4"/>
      <c r="U92" s="4"/>
      <c r="V92" s="4"/>
      <c r="W92" s="4"/>
      <c r="X92" s="4"/>
      <c r="Y92" s="4"/>
      <c r="Z92" s="4"/>
      <c r="AA92" s="4"/>
      <c r="AB92" s="4"/>
      <c r="AC92" s="4"/>
      <c r="AD92" s="4"/>
      <c r="AE92" s="4"/>
      <c r="AF92" s="4"/>
      <c r="AG92" s="4"/>
      <c r="AH92" s="4"/>
    </row>
    <row r="93" ht="12.75">
      <c r="A93" s="4"/>
      <c r="B93" t="s" s="4">
        <v>539</v>
      </c>
      <c r="C93" s="4"/>
      <c r="D93" s="4"/>
      <c r="E93" s="4"/>
      <c r="F93" s="4"/>
      <c r="G93" s="4"/>
      <c r="H93" s="313">
        <f>C317</f>
        <v>0.027208130277723452</v>
      </c>
      <c r="I93" s="4"/>
      <c r="J93" s="4"/>
      <c r="K93" s="4"/>
      <c r="L93" s="4"/>
      <c r="M93" s="4"/>
      <c r="N93" s="4"/>
      <c r="O93" s="4"/>
      <c r="P93" s="4"/>
      <c r="Q93" s="4"/>
      <c r="R93" s="4"/>
      <c r="S93" s="4"/>
      <c r="T93" s="4"/>
      <c r="U93" s="4"/>
      <c r="V93" s="4"/>
      <c r="W93" s="4"/>
      <c r="X93" s="4"/>
      <c r="Y93" s="4"/>
      <c r="Z93" s="4"/>
      <c r="AA93" s="4"/>
      <c r="AB93" s="4"/>
      <c r="AC93" s="4"/>
      <c r="AD93" s="4"/>
      <c r="AE93" s="4"/>
      <c r="AF93" s="4"/>
      <c r="AG93" s="4"/>
      <c r="AH93" s="4"/>
    </row>
    <row r="94" ht="12.75">
      <c r="A94" s="4"/>
      <c r="B94" t="s" s="4">
        <v>540</v>
      </c>
      <c r="C94" s="4"/>
      <c r="D94" s="4"/>
      <c r="E94" s="4"/>
      <c r="F94" s="4"/>
      <c r="G94" s="4"/>
      <c r="H94" s="313">
        <f>C318</f>
        <v>0.05912905378778792</v>
      </c>
      <c r="I94" s="4"/>
      <c r="J94" s="4"/>
      <c r="K94" s="4"/>
      <c r="L94" s="4"/>
      <c r="M94" s="4"/>
      <c r="N94" s="4"/>
      <c r="O94" s="4"/>
      <c r="P94" s="4"/>
      <c r="Q94" s="4"/>
      <c r="R94" s="4"/>
      <c r="S94" s="4"/>
      <c r="T94" s="4"/>
      <c r="U94" s="4"/>
      <c r="V94" s="4"/>
      <c r="W94" s="4"/>
      <c r="X94" s="4"/>
      <c r="Y94" s="4"/>
      <c r="Z94" s="4"/>
      <c r="AA94" s="4"/>
      <c r="AB94" s="4"/>
      <c r="AC94" s="4"/>
      <c r="AD94" s="4"/>
      <c r="AE94" s="4"/>
      <c r="AF94" s="4"/>
      <c r="AG94" s="4"/>
      <c r="AH94" s="4"/>
    </row>
    <row r="95" ht="12.75">
      <c r="A95" s="4"/>
      <c r="B95" t="s" s="4">
        <v>541</v>
      </c>
      <c r="C95" s="4"/>
      <c r="D95" s="4"/>
      <c r="E95" s="4"/>
      <c r="F95" s="4"/>
      <c r="G95" s="4"/>
      <c r="H95" s="313">
        <f>C319</f>
        <v>0.022030791239403314</v>
      </c>
      <c r="I95" s="4"/>
      <c r="J95" s="4"/>
      <c r="K95" s="4"/>
      <c r="L95" s="4"/>
      <c r="M95" s="4"/>
      <c r="N95" s="4"/>
      <c r="O95" s="4"/>
      <c r="P95" s="4"/>
      <c r="Q95" s="4"/>
      <c r="R95" s="4"/>
      <c r="S95" s="4"/>
      <c r="T95" s="4"/>
      <c r="U95" s="4"/>
      <c r="V95" s="4"/>
      <c r="W95" s="4"/>
      <c r="X95" s="4"/>
      <c r="Y95" s="4"/>
      <c r="Z95" s="4"/>
      <c r="AA95" s="4"/>
      <c r="AB95" s="4"/>
      <c r="AC95" s="4"/>
      <c r="AD95" s="4"/>
      <c r="AE95" s="4"/>
      <c r="AF95" s="4"/>
      <c r="AG95" s="4"/>
      <c r="AH95" s="4"/>
    </row>
    <row r="96" ht="12.75">
      <c r="A96" s="4"/>
      <c r="B96" t="s" s="311">
        <v>542</v>
      </c>
      <c r="C96" s="311"/>
      <c r="D96" s="311"/>
      <c r="E96" s="311"/>
      <c r="F96" s="311"/>
      <c r="G96" s="311"/>
      <c r="H96" s="314">
        <f>INDEX($C$183:$C$310,1)</f>
        <v>0.211735490955125</v>
      </c>
      <c r="I96" s="4"/>
      <c r="J96" s="4"/>
      <c r="K96" s="4"/>
      <c r="L96" s="4"/>
      <c r="M96" s="4"/>
      <c r="N96" s="4"/>
      <c r="O96" s="4"/>
      <c r="P96" s="4"/>
      <c r="Q96" s="4"/>
      <c r="R96" s="4"/>
      <c r="S96" s="4"/>
      <c r="T96" s="4"/>
      <c r="U96" s="4"/>
      <c r="V96" s="4"/>
      <c r="W96" s="4"/>
      <c r="X96" s="4"/>
      <c r="Y96" s="4"/>
      <c r="Z96" s="4"/>
      <c r="AA96" s="4"/>
      <c r="AB96" s="4"/>
      <c r="AC96" s="4"/>
      <c r="AD96" s="4"/>
      <c r="AE96" s="4"/>
      <c r="AF96" s="4"/>
      <c r="AG96" s="4"/>
      <c r="AH96" s="4"/>
    </row>
    <row r="97" ht="12.75">
      <c r="A97" s="4"/>
      <c r="B97" t="s" s="4">
        <v>543</v>
      </c>
      <c r="C97" s="4"/>
      <c r="D97" s="4"/>
      <c r="E97" s="4"/>
      <c r="F97" s="4"/>
      <c r="G97" s="4"/>
      <c r="H97" s="313">
        <f>D314</f>
        <v>0.00873768078889649</v>
      </c>
      <c r="I97" s="4"/>
      <c r="J97" s="4"/>
      <c r="K97" s="4"/>
      <c r="L97" s="4"/>
      <c r="M97" s="4"/>
      <c r="N97" s="4"/>
      <c r="O97" s="4"/>
      <c r="P97" s="4"/>
      <c r="Q97" s="4"/>
      <c r="R97" s="4"/>
      <c r="S97" s="4"/>
      <c r="T97" s="4"/>
      <c r="U97" s="4"/>
      <c r="V97" s="4"/>
      <c r="W97" s="4"/>
      <c r="X97" s="4"/>
      <c r="Y97" s="4"/>
      <c r="Z97" s="4"/>
      <c r="AA97" s="4"/>
      <c r="AB97" s="4"/>
      <c r="AC97" s="4"/>
      <c r="AD97" s="4"/>
      <c r="AE97" s="4"/>
      <c r="AF97" s="4"/>
      <c r="AG97" s="4"/>
      <c r="AH97" s="4"/>
    </row>
    <row r="98" ht="12.75">
      <c r="A98" s="4"/>
      <c r="B98" t="s" s="4">
        <v>544</v>
      </c>
      <c r="C98" s="4"/>
      <c r="D98" s="4"/>
      <c r="E98" s="4"/>
      <c r="F98" s="4"/>
      <c r="G98" s="4"/>
      <c r="H98" s="313">
        <f>D315</f>
        <v>0.012647366655320624</v>
      </c>
      <c r="I98" s="4"/>
      <c r="J98" s="4"/>
      <c r="K98" s="4"/>
      <c r="L98" s="4"/>
      <c r="M98" s="4"/>
      <c r="N98" s="4"/>
      <c r="O98" s="4"/>
      <c r="P98" s="4"/>
      <c r="Q98" s="4"/>
      <c r="R98" s="4"/>
      <c r="S98" s="4"/>
      <c r="T98" s="4"/>
      <c r="U98" s="4"/>
      <c r="V98" s="4"/>
      <c r="W98" s="4"/>
      <c r="X98" s="4"/>
      <c r="Y98" s="4"/>
      <c r="Z98" s="4"/>
      <c r="AA98" s="4"/>
      <c r="AB98" s="4"/>
      <c r="AC98" s="4"/>
      <c r="AD98" s="4"/>
      <c r="AE98" s="4"/>
      <c r="AF98" s="4"/>
      <c r="AG98" s="4"/>
      <c r="AH98" s="4"/>
    </row>
    <row r="99" ht="12.75">
      <c r="A99" s="4"/>
      <c r="B99" t="s" s="4">
        <v>545</v>
      </c>
      <c r="C99" s="4"/>
      <c r="D99" s="4"/>
      <c r="E99" s="4"/>
      <c r="F99" s="4"/>
      <c r="G99" s="4"/>
      <c r="H99" s="313">
        <f>D316</f>
        <v>0.006033617815730217</v>
      </c>
      <c r="I99" s="4"/>
      <c r="J99" s="4"/>
      <c r="K99" s="4"/>
      <c r="L99" s="4"/>
      <c r="M99" s="4"/>
      <c r="N99" s="4"/>
      <c r="O99" s="4"/>
      <c r="P99" s="4"/>
      <c r="Q99" s="4"/>
      <c r="R99" s="4"/>
      <c r="S99" s="4"/>
      <c r="T99" s="4"/>
      <c r="U99" s="4"/>
      <c r="V99" s="4"/>
      <c r="W99" s="4"/>
      <c r="X99" s="4"/>
      <c r="Y99" s="4"/>
      <c r="Z99" s="4"/>
      <c r="AA99" s="4"/>
      <c r="AB99" s="4"/>
      <c r="AC99" s="4"/>
      <c r="AD99" s="4"/>
      <c r="AE99" s="4"/>
      <c r="AF99" s="4"/>
      <c r="AG99" s="4"/>
      <c r="AH99" s="4"/>
    </row>
    <row r="100" ht="12.75">
      <c r="A100" s="4"/>
      <c r="B100" t="s" s="4">
        <v>546</v>
      </c>
      <c r="C100" s="4"/>
      <c r="D100" s="4"/>
      <c r="E100" s="4"/>
      <c r="F100" s="4"/>
      <c r="G100" s="4"/>
      <c r="H100" s="313">
        <f>D317</f>
        <v>0.0117202087732796</v>
      </c>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row>
    <row r="101" ht="12.75">
      <c r="A101" s="4"/>
      <c r="B101" t="s" s="4">
        <v>547</v>
      </c>
      <c r="C101" s="4"/>
      <c r="D101" s="4"/>
      <c r="E101" s="4"/>
      <c r="F101" s="4"/>
      <c r="G101" s="4"/>
      <c r="H101" s="313">
        <f>D318</f>
        <v>0.017160831410214798</v>
      </c>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row>
    <row r="102" ht="12.75">
      <c r="A102" s="4"/>
      <c r="B102" t="s" s="4">
        <v>548</v>
      </c>
      <c r="C102" s="4"/>
      <c r="D102" s="4"/>
      <c r="E102" s="4"/>
      <c r="F102" s="4"/>
      <c r="G102" s="4"/>
      <c r="H102" s="313">
        <f>D319</f>
        <v>0.007585681542377853</v>
      </c>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row>
    <row r="103" ht="12.75">
      <c r="A103" s="4"/>
      <c r="B103" t="s" s="311">
        <v>549</v>
      </c>
      <c r="C103" s="311"/>
      <c r="D103" s="311"/>
      <c r="E103" s="311"/>
      <c r="F103" s="311"/>
      <c r="G103" s="311"/>
      <c r="H103" s="314">
        <f>INDEX($C$183:$C$310,128)</f>
        <v>0.2756208779409446</v>
      </c>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row>
    <row r="104" ht="12.7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row>
    <row r="105" ht="12.7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row>
    <row r="106" ht="12.7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row>
    <row r="107" ht="12.7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row>
    <row r="108" ht="26" customHeight="1">
      <c r="A108" s="4"/>
      <c r="B108" t="s" s="350">
        <v>551</v>
      </c>
      <c r="C108" s="351"/>
      <c r="D108" s="351"/>
      <c r="E108" s="351"/>
      <c r="F108" s="351"/>
      <c r="G108" s="351"/>
      <c r="H108" s="351"/>
      <c r="I108" s="351"/>
      <c r="J108" s="351"/>
      <c r="K108" s="351"/>
      <c r="L108" s="351"/>
      <c r="M108" s="351"/>
      <c r="N108" s="351"/>
      <c r="O108" s="351"/>
      <c r="P108" s="351"/>
      <c r="Q108" s="351"/>
      <c r="R108" s="351"/>
      <c r="S108" s="351"/>
      <c r="T108" s="351"/>
      <c r="U108" s="351"/>
      <c r="V108" s="351"/>
      <c r="W108" s="351"/>
      <c r="X108" s="351"/>
      <c r="Y108" s="4"/>
      <c r="Z108" s="4"/>
      <c r="AA108" s="4"/>
      <c r="AB108" s="4"/>
      <c r="AC108" s="4"/>
      <c r="AD108" s="4"/>
      <c r="AE108" s="4"/>
      <c r="AF108" s="4"/>
      <c r="AG108" s="4"/>
      <c r="AH108" s="4"/>
    </row>
    <row r="109" ht="12.7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row>
    <row r="110" ht="12.7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row>
    <row r="111" ht="12.75">
      <c r="A111" s="4"/>
      <c r="B111" t="s" s="26">
        <v>552</v>
      </c>
      <c r="C111" s="26"/>
      <c r="D111" s="26"/>
      <c r="E111" s="26"/>
      <c r="F111" s="26"/>
      <c r="G111" s="26"/>
      <c r="H111" s="26"/>
      <c r="I111" s="26"/>
      <c r="J111" s="26"/>
      <c r="K111" s="26"/>
      <c r="L111" s="26"/>
      <c r="M111" s="26"/>
      <c r="N111" s="26"/>
      <c r="O111" s="26"/>
      <c r="P111" s="26"/>
      <c r="Q111" s="26"/>
      <c r="R111" s="26"/>
      <c r="S111" s="26"/>
      <c r="T111" s="26"/>
      <c r="U111" s="26"/>
      <c r="V111" s="26"/>
      <c r="W111" s="26"/>
      <c r="X111" s="26"/>
      <c r="Y111" s="4"/>
      <c r="Z111" s="4"/>
      <c r="AA111" s="4"/>
      <c r="AB111" s="4"/>
      <c r="AC111" s="4"/>
      <c r="AD111" s="4"/>
      <c r="AE111" s="4"/>
      <c r="AF111" s="4"/>
      <c r="AG111" s="4"/>
      <c r="AH111" s="4"/>
    </row>
    <row r="112" ht="26" customHeight="1">
      <c r="A112" s="4"/>
      <c r="B112" t="s" s="306">
        <v>404</v>
      </c>
      <c r="C112" s="306"/>
      <c r="D112" s="306"/>
      <c r="E112" t="s" s="315">
        <v>125</v>
      </c>
      <c r="F112" t="s" s="315">
        <v>502</v>
      </c>
      <c r="G112" t="s" s="315">
        <v>583</v>
      </c>
      <c r="H112" t="s" s="315">
        <v>553</v>
      </c>
      <c r="I112" s="315"/>
      <c r="J112" t="s" s="315">
        <v>554</v>
      </c>
      <c r="K112" s="4"/>
      <c r="L112" s="4"/>
      <c r="M112" s="4"/>
      <c r="N112" s="4"/>
      <c r="O112" s="4"/>
      <c r="P112" s="4"/>
      <c r="Q112" s="4"/>
      <c r="R112" s="4"/>
      <c r="S112" s="4"/>
      <c r="T112" s="4"/>
      <c r="U112" s="4"/>
      <c r="V112" s="4"/>
      <c r="W112" s="4"/>
      <c r="X112" s="4"/>
      <c r="Y112" s="4"/>
      <c r="Z112" s="4"/>
      <c r="AA112" s="4"/>
      <c r="AB112" s="4"/>
      <c r="AC112" s="4"/>
      <c r="AD112" s="4"/>
      <c r="AE112" s="4"/>
      <c r="AF112" s="4"/>
      <c r="AG112" s="4"/>
      <c r="AH112" s="4"/>
    </row>
    <row r="113" ht="12.75">
      <c r="A113" s="4"/>
      <c r="B113" t="str" s="4">
        <f>INDEX($B$323:$B$330,MATCH(SMALL($I$323:$I$330,1),$I$323:$I$330,0))</f>
        <v>Exit multiple</v>
      </c>
      <c r="C113" s="4"/>
      <c r="D113" s="4"/>
      <c r="E113" t="str" s="130">
        <f>TEXT(INDEX($L$323:$L$330,MATCH(SMALL($I$323:$I$330,1),$I$323:$I$330,0)),INDEX($J$323:$J$330,MATCH(SMALL($I$323:$I$330,1),$I$323:$I$330,0)))</f>
        <v>6.0x</v>
      </c>
      <c r="F113" t="str" s="130">
        <f>TEXT(INDEX($M$323:$M$330,MATCH(SMALL($I$323:$I$330,1),$I$323:$I$330,0)),INDEX($J$323:$J$330,MATCH(SMALL($I$323:$I$330,1),$I$323:$I$330,0)))</f>
        <v>4.9x</v>
      </c>
      <c r="G113" t="str" s="130">
        <f>IF(INDEX($D$323:$D$330,MATCH(SMALL($I$323:$I$330,1),$I$323:$I$330,0))="","Not reached",TEXT(INDEX($E$323:$E$330,MATCH(SMALL($I$323:$I$330,1),$I$323:$I$330,0)),INDEX($J$323:$J$330,MATCH(SMALL($I$323:$I$330,1),$I$323:$I$330,0))))</f>
        <v>5.8x</v>
      </c>
      <c r="H113" t="str" s="130">
        <f>IF(INDEX($D$323:$D$330,MATCH(SMALL($I$323:$I$330,1),$I$323:$I$330,0))="","n.a.",IF(INDEX($K$323:$K$330,MATCH(SMALL($I$323:$I$330,1),$I$323:$I$330,0))="pp",TEXT((INDEX($E$323:$E$330,MATCH(SMALL($I$323:$I$330,1),$I$323:$I$330,0))-INDEX($L$323:$L$330,MATCH(SMALL($I$323:$I$330,1),$I$323:$I$330,0)))*100,"+0.0;-0.0")&amp;" pp",IF(INDEX($K$323:$K$330,MATCH(SMALL($I$323:$I$330,1),$I$323:$I$330,0))="x",TEXT(INDEX($E$323:$E$330,MATCH(SMALL($I$323:$I$330,1),$I$323:$I$330,0))-INDEX($L$323:$L$330,MATCH(SMALL($I$323:$I$330,1),$I$323:$I$330,0)),"+0.0;-0.0")&amp;"x",TEXT(INDEX($E$323:$E$330,MATCH(SMALL($I$323:$I$330,1),$I$323:$I$330,0))-INDEX($L$323:$L$330,MATCH(SMALL($I$323:$I$330,1),$I$323:$I$330,0)),"+$0.00;-$0.00"))))</f>
        <v>-0.2x</v>
      </c>
      <c r="I113" s="130"/>
      <c r="J113" t="str" s="130">
        <f>IF(INDEX($H$323:$H$330,MATCH(SMALL($I$323:$I$330,1),$I$323:$I$330,0))="","Not reached",TEXT(INDEX($H$323:$H$330,MATCH(SMALL($I$323:$I$330,1),$I$323:$I$330,0)),INDEX($J$323:$J$330,MATCH(SMALL($I$323:$I$330,1),$I$323:$I$330,0))))</f>
        <v>3.7x</v>
      </c>
      <c r="K113" s="4"/>
      <c r="L113" s="4"/>
      <c r="M113" s="4"/>
      <c r="N113" s="4"/>
      <c r="O113" s="4"/>
      <c r="P113" s="4"/>
      <c r="Q113" s="4"/>
      <c r="R113" s="4"/>
      <c r="S113" s="4"/>
      <c r="T113" s="4"/>
      <c r="U113" s="4"/>
      <c r="V113" s="4"/>
      <c r="W113" s="4"/>
      <c r="X113" s="4"/>
      <c r="Y113" s="4"/>
      <c r="Z113" s="4"/>
      <c r="AA113" s="4"/>
      <c r="AB113" s="4"/>
      <c r="AC113" s="4"/>
      <c r="AD113" s="4"/>
      <c r="AE113" s="4"/>
      <c r="AF113" s="4"/>
      <c r="AG113" s="4"/>
      <c r="AH113" s="4"/>
    </row>
    <row r="114" ht="12.75">
      <c r="A114" s="4"/>
      <c r="B114" t="str" s="4">
        <f>INDEX($B$323:$B$330,MATCH(SMALL($I$323:$I$330,2),$I$323:$I$330,0))</f>
        <v>Adj. SG&amp;A</v>
      </c>
      <c r="C114" s="4"/>
      <c r="D114" s="4"/>
      <c r="E114" t="str" s="130">
        <f>TEXT(INDEX($L$323:$L$330,MATCH(SMALL($I$323:$I$330,2),$I$323:$I$330,0)),INDEX($J$323:$J$330,MATCH(SMALL($I$323:$I$330,2),$I$323:$I$330,0)))</f>
        <v>25.7%</v>
      </c>
      <c r="F114" t="str" s="130">
        <f>TEXT(INDEX($M$323:$M$330,MATCH(SMALL($I$323:$I$330,2),$I$323:$I$330,0)),INDEX($J$323:$J$330,MATCH(SMALL($I$323:$I$330,2),$I$323:$I$330,0)))</f>
        <v>29.0%</v>
      </c>
      <c r="G114" t="str" s="130">
        <f>IF(INDEX($D$323:$D$330,MATCH(SMALL($I$323:$I$330,2),$I$323:$I$330,0))="","Not reached",TEXT(INDEX($E$323:$E$330,MATCH(SMALL($I$323:$I$330,2),$I$323:$I$330,0)),INDEX($J$323:$J$330,MATCH(SMALL($I$323:$I$330,2),$I$323:$I$330,0))))</f>
        <v>26.5%</v>
      </c>
      <c r="H114" t="str" s="130">
        <f>IF(INDEX($D$323:$D$330,MATCH(SMALL($I$323:$I$330,2),$I$323:$I$330,0))="","n.a.",IF(INDEX($K$323:$K$330,MATCH(SMALL($I$323:$I$330,2),$I$323:$I$330,0))="pp",TEXT((INDEX($E$323:$E$330,MATCH(SMALL($I$323:$I$330,2),$I$323:$I$330,0))-INDEX($L$323:$L$330,MATCH(SMALL($I$323:$I$330,2),$I$323:$I$330,0)))*100,"+0.0;-0.0")&amp;" pp",IF(INDEX($K$323:$K$330,MATCH(SMALL($I$323:$I$330,2),$I$323:$I$330,0))="x",TEXT(INDEX($E$323:$E$330,MATCH(SMALL($I$323:$I$330,2),$I$323:$I$330,0))-INDEX($L$323:$L$330,MATCH(SMALL($I$323:$I$330,2),$I$323:$I$330,0)),"+0.0;-0.0")&amp;"x",TEXT(INDEX($E$323:$E$330,MATCH(SMALL($I$323:$I$330,2),$I$323:$I$330,0))-INDEX($L$323:$L$330,MATCH(SMALL($I$323:$I$330,2),$I$323:$I$330,0)),"+$0.00;-$0.00"))))</f>
        <v>+0.8 pp</v>
      </c>
      <c r="I114" s="130"/>
      <c r="J114" t="str" s="130">
        <f>IF(INDEX($H$323:$H$330,MATCH(SMALL($I$323:$I$330,2),$I$323:$I$330,0))="","Not reached",TEXT(INDEX($H$323:$H$330,MATCH(SMALL($I$323:$I$330,2),$I$323:$I$330,0)),INDEX($J$323:$J$330,MATCH(SMALL($I$323:$I$330,2),$I$323:$I$330,0))))</f>
        <v>36.1%</v>
      </c>
      <c r="K114" s="4"/>
      <c r="L114" s="4"/>
      <c r="M114" s="4"/>
      <c r="N114" s="4"/>
      <c r="O114" s="4"/>
      <c r="P114" s="4"/>
      <c r="Q114" s="4"/>
      <c r="R114" s="4"/>
      <c r="S114" s="4"/>
      <c r="T114" s="4"/>
      <c r="U114" s="4"/>
      <c r="V114" s="4"/>
      <c r="W114" s="4"/>
      <c r="X114" s="4"/>
      <c r="Y114" s="4"/>
      <c r="Z114" s="4"/>
      <c r="AA114" s="4"/>
      <c r="AB114" s="4"/>
      <c r="AC114" s="4"/>
      <c r="AD114" s="4"/>
      <c r="AE114" s="4"/>
      <c r="AF114" s="4"/>
      <c r="AG114" s="4"/>
      <c r="AH114" s="4"/>
    </row>
    <row r="115" ht="12.75">
      <c r="A115" s="4"/>
      <c r="B115" t="str" s="4">
        <f>INDEX($B$323:$B$330,MATCH(SMALL($I$323:$I$330,3),$I$323:$I$330,0))</f>
        <v>Attrition</v>
      </c>
      <c r="C115" s="4"/>
      <c r="D115" s="4"/>
      <c r="E115" t="str" s="130">
        <f>TEXT(INDEX($L$323:$L$330,MATCH(SMALL($I$323:$I$330,3),$I$323:$I$330,0)),INDEX($J$323:$J$330,MATCH(SMALL($I$323:$I$330,3),$I$323:$I$330,0)))</f>
        <v>12.1%</v>
      </c>
      <c r="F115" t="str" s="130">
        <f>TEXT(INDEX($M$323:$M$330,MATCH(SMALL($I$323:$I$330,3),$I$323:$I$330,0)),INDEX($J$323:$J$330,MATCH(SMALL($I$323:$I$330,3),$I$323:$I$330,0)))</f>
        <v>13.8%</v>
      </c>
      <c r="G115" t="str" s="130">
        <f>IF(INDEX($D$323:$D$330,MATCH(SMALL($I$323:$I$330,3),$I$323:$I$330,0))="","Not reached",TEXT(INDEX($E$323:$E$330,MATCH(SMALL($I$323:$I$330,3),$I$323:$I$330,0)),INDEX($J$323:$J$330,MATCH(SMALL($I$323:$I$330,3),$I$323:$I$330,0))))</f>
        <v>12.7%</v>
      </c>
      <c r="H115" t="str" s="130">
        <f>IF(INDEX($D$323:$D$330,MATCH(SMALL($I$323:$I$330,3),$I$323:$I$330,0))="","n.a.",IF(INDEX($K$323:$K$330,MATCH(SMALL($I$323:$I$330,3),$I$323:$I$330,0))="pp",TEXT((INDEX($E$323:$E$330,MATCH(SMALL($I$323:$I$330,3),$I$323:$I$330,0))-INDEX($L$323:$L$330,MATCH(SMALL($I$323:$I$330,3),$I$323:$I$330,0)))*100,"+0.0;-0.0")&amp;" pp",IF(INDEX($K$323:$K$330,MATCH(SMALL($I$323:$I$330,3),$I$323:$I$330,0))="x",TEXT(INDEX($E$323:$E$330,MATCH(SMALL($I$323:$I$330,3),$I$323:$I$330,0))-INDEX($L$323:$L$330,MATCH(SMALL($I$323:$I$330,3),$I$323:$I$330,0)),"+0.0;-0.0")&amp;"x",TEXT(INDEX($E$323:$E$330,MATCH(SMALL($I$323:$I$330,3),$I$323:$I$330,0))-INDEX($L$323:$L$330,MATCH(SMALL($I$323:$I$330,3),$I$323:$I$330,0)),"+$0.00;-$0.00"))))</f>
        <v>+0.6 pp</v>
      </c>
      <c r="I115" s="130"/>
      <c r="J115" t="str" s="130">
        <f>IF(INDEX($H$323:$H$330,MATCH(SMALL($I$323:$I$330,3),$I$323:$I$330,0))="","Not reached",TEXT(INDEX($H$323:$H$330,MATCH(SMALL($I$323:$I$330,3),$I$323:$I$330,0)),INDEX($J$323:$J$330,MATCH(SMALL($I$323:$I$330,3),$I$323:$I$330,0))))</f>
        <v>20.8%</v>
      </c>
      <c r="K115" s="4"/>
      <c r="L115" s="4"/>
      <c r="M115" s="4"/>
      <c r="N115" s="4"/>
      <c r="O115" s="4"/>
      <c r="P115" s="4"/>
      <c r="Q115" s="4"/>
      <c r="R115" s="4"/>
      <c r="S115" s="4"/>
      <c r="T115" s="4"/>
      <c r="U115" s="4"/>
      <c r="V115" s="4"/>
      <c r="W115" s="4"/>
      <c r="X115" s="4"/>
      <c r="Y115" s="4"/>
      <c r="Z115" s="4"/>
      <c r="AA115" s="4"/>
      <c r="AB115" s="4"/>
      <c r="AC115" s="4"/>
      <c r="AD115" s="4"/>
      <c r="AE115" s="4"/>
      <c r="AF115" s="4"/>
      <c r="AG115" s="4"/>
      <c r="AH115" s="4"/>
    </row>
    <row r="116" ht="12.75">
      <c r="A116" s="4"/>
      <c r="B116" t="str" s="4">
        <f>INDEX($B$323:$B$330,MATCH(SMALL($I$323:$I$330,4),$I$323:$I$330,0))</f>
        <v>M&amp;S cost</v>
      </c>
      <c r="C116" s="4"/>
      <c r="D116" s="4"/>
      <c r="E116" t="str" s="130">
        <f>TEXT(INDEX($L$323:$L$330,MATCH(SMALL($I$323:$I$330,4),$I$323:$I$330,0)),INDEX($J$323:$J$330,MATCH(SMALL($I$323:$I$330,4),$I$323:$I$330,0)))</f>
        <v>13.0%</v>
      </c>
      <c r="F116" t="str" s="130">
        <f>TEXT(INDEX($M$323:$M$330,MATCH(SMALL($I$323:$I$330,4),$I$323:$I$330,0)),INDEX($J$323:$J$330,MATCH(SMALL($I$323:$I$330,4),$I$323:$I$330,0)))</f>
        <v>14.7%</v>
      </c>
      <c r="G116" t="str" s="130">
        <f>IF(INDEX($D$323:$D$330,MATCH(SMALL($I$323:$I$330,4),$I$323:$I$330,0))="","Not reached",TEXT(INDEX($E$323:$E$330,MATCH(SMALL($I$323:$I$330,4),$I$323:$I$330,0)),INDEX($J$323:$J$330,MATCH(SMALL($I$323:$I$330,4),$I$323:$I$330,0))))</f>
        <v>13.9%</v>
      </c>
      <c r="H116" t="str" s="130">
        <f>IF(INDEX($D$323:$D$330,MATCH(SMALL($I$323:$I$330,4),$I$323:$I$330,0))="","n.a.",IF(INDEX($K$323:$K$330,MATCH(SMALL($I$323:$I$330,4),$I$323:$I$330,0))="pp",TEXT((INDEX($E$323:$E$330,MATCH(SMALL($I$323:$I$330,4),$I$323:$I$330,0))-INDEX($L$323:$L$330,MATCH(SMALL($I$323:$I$330,4),$I$323:$I$330,0)))*100,"+0.0;-0.0")&amp;" pp",IF(INDEX($K$323:$K$330,MATCH(SMALL($I$323:$I$330,4),$I$323:$I$330,0))="x",TEXT(INDEX($E$323:$E$330,MATCH(SMALL($I$323:$I$330,4),$I$323:$I$330,0))-INDEX($L$323:$L$330,MATCH(SMALL($I$323:$I$330,4),$I$323:$I$330,0)),"+0.0;-0.0")&amp;"x",TEXT(INDEX($E$323:$E$330,MATCH(SMALL($I$323:$I$330,4),$I$323:$I$330,0))-INDEX($L$323:$L$330,MATCH(SMALL($I$323:$I$330,4),$I$323:$I$330,0)),"+$0.00;-$0.00"))))</f>
        <v>+0.9 pp</v>
      </c>
      <c r="I116" s="130"/>
      <c r="J116" t="str" s="130">
        <f>IF(INDEX($H$323:$H$330,MATCH(SMALL($I$323:$I$330,4),$I$323:$I$330,0))="","Not reached",TEXT(INDEX($H$323:$H$330,MATCH(SMALL($I$323:$I$330,4),$I$323:$I$330,0)),INDEX($J$323:$J$330,MATCH(SMALL($I$323:$I$330,4),$I$323:$I$330,0))))</f>
        <v>Not reached</v>
      </c>
      <c r="K116" s="4"/>
      <c r="L116" s="4"/>
      <c r="M116" s="4"/>
      <c r="N116" s="4"/>
      <c r="O116" s="4"/>
      <c r="P116" s="4"/>
      <c r="Q116" s="4"/>
      <c r="R116" s="4"/>
      <c r="S116" s="4"/>
      <c r="T116" s="4"/>
      <c r="U116" s="4"/>
      <c r="V116" s="4"/>
      <c r="W116" s="4"/>
      <c r="X116" s="4"/>
      <c r="Y116" s="4"/>
      <c r="Z116" s="4"/>
      <c r="AA116" s="4"/>
      <c r="AB116" s="4"/>
      <c r="AC116" s="4"/>
      <c r="AD116" s="4"/>
      <c r="AE116" s="4"/>
      <c r="AF116" s="4"/>
      <c r="AG116" s="4"/>
      <c r="AH116" s="4"/>
    </row>
    <row r="117" ht="12.75">
      <c r="A117" s="4"/>
      <c r="B117" t="str" s="4">
        <f>INDEX($B$323:$B$330,MATCH(SMALL($I$323:$I$330,5),$I$323:$I$330,0))</f>
        <v>Gross RMR adds</v>
      </c>
      <c r="C117" s="4"/>
      <c r="D117" s="4"/>
      <c r="E117" t="str" s="130">
        <f>TEXT(INDEX($L$323:$L$330,MATCH(SMALL($I$323:$I$330,5),$I$323:$I$330,0)),INDEX($J$323:$J$330,MATCH(SMALL($I$323:$I$330,5),$I$323:$I$330,0)))</f>
        <v>13.7%</v>
      </c>
      <c r="F117" t="str" s="130">
        <f>TEXT(INDEX($M$323:$M$330,MATCH(SMALL($I$323:$I$330,5),$I$323:$I$330,0)),INDEX($J$323:$J$330,MATCH(SMALL($I$323:$I$330,5),$I$323:$I$330,0)))</f>
        <v>12.6%</v>
      </c>
      <c r="G117" t="str" s="130">
        <f>IF(INDEX($D$323:$D$330,MATCH(SMALL($I$323:$I$330,5),$I$323:$I$330,0))="","Not reached",TEXT(INDEX($E$323:$E$330,MATCH(SMALL($I$323:$I$330,5),$I$323:$I$330,0)),INDEX($J$323:$J$330,MATCH(SMALL($I$323:$I$330,5),$I$323:$I$330,0))))</f>
        <v>13.0%</v>
      </c>
      <c r="H117" t="str" s="130">
        <f>IF(INDEX($D$323:$D$330,MATCH(SMALL($I$323:$I$330,5),$I$323:$I$330,0))="","n.a.",IF(INDEX($K$323:$K$330,MATCH(SMALL($I$323:$I$330,5),$I$323:$I$330,0))="pp",TEXT((INDEX($E$323:$E$330,MATCH(SMALL($I$323:$I$330,5),$I$323:$I$330,0))-INDEX($L$323:$L$330,MATCH(SMALL($I$323:$I$330,5),$I$323:$I$330,0)))*100,"+0.0;-0.0")&amp;" pp",IF(INDEX($K$323:$K$330,MATCH(SMALL($I$323:$I$330,5),$I$323:$I$330,0))="x",TEXT(INDEX($E$323:$E$330,MATCH(SMALL($I$323:$I$330,5),$I$323:$I$330,0))-INDEX($L$323:$L$330,MATCH(SMALL($I$323:$I$330,5),$I$323:$I$330,0)),"+0.0;-0.0")&amp;"x",TEXT(INDEX($E$323:$E$330,MATCH(SMALL($I$323:$I$330,5),$I$323:$I$330,0))-INDEX($L$323:$L$330,MATCH(SMALL($I$323:$I$330,5),$I$323:$I$330,0)),"+$0.00;-$0.00"))))</f>
        <v>-0.7 pp</v>
      </c>
      <c r="I117" s="130"/>
      <c r="J117" t="str" s="130">
        <f>IF(INDEX($H$323:$H$330,MATCH(SMALL($I$323:$I$330,5),$I$323:$I$330,0))="","Not reached",TEXT(INDEX($H$323:$H$330,MATCH(SMALL($I$323:$I$330,5),$I$323:$I$330,0)),INDEX($J$323:$J$330,MATCH(SMALL($I$323:$I$330,5),$I$323:$I$330,0))))</f>
        <v>Not reached</v>
      </c>
      <c r="K117" s="4"/>
      <c r="L117" s="4"/>
      <c r="M117" s="4"/>
      <c r="N117" s="4"/>
      <c r="O117" s="4"/>
      <c r="P117" s="4"/>
      <c r="Q117" s="4"/>
      <c r="R117" s="4"/>
      <c r="S117" s="4"/>
      <c r="T117" s="4"/>
      <c r="U117" s="4"/>
      <c r="V117" s="4"/>
      <c r="W117" s="4"/>
      <c r="X117" s="4"/>
      <c r="Y117" s="4"/>
      <c r="Z117" s="4"/>
      <c r="AA117" s="4"/>
      <c r="AB117" s="4"/>
      <c r="AC117" s="4"/>
      <c r="AD117" s="4"/>
      <c r="AE117" s="4"/>
      <c r="AF117" s="4"/>
      <c r="AG117" s="4"/>
      <c r="AH117" s="4"/>
    </row>
    <row r="118" ht="12.75">
      <c r="A118" s="4"/>
      <c r="B118" t="str" s="4">
        <f>INDEX($B$323:$B$330,MATCH(SMALL($I$323:$I$330,6),$I$323:$I$330,0))</f>
        <v>Offer price</v>
      </c>
      <c r="C118" s="4"/>
      <c r="D118" s="4"/>
      <c r="E118" t="str" s="130">
        <f>TEXT(INDEX($L$323:$L$330,MATCH(SMALL($I$323:$I$330,6),$I$323:$I$330,0)),INDEX($J$323:$J$330,MATCH(SMALL($I$323:$I$330,6),$I$323:$I$330,0)))</f>
        <v>$10.00</v>
      </c>
      <c r="F118" t="str" s="130">
        <f>TEXT(INDEX($M$323:$M$330,MATCH(SMALL($I$323:$I$330,6),$I$323:$I$330,0)),INDEX($J$323:$J$330,MATCH(SMALL($I$323:$I$330,6),$I$323:$I$330,0)))</f>
        <v>$10.50</v>
      </c>
      <c r="G118" t="str" s="130">
        <f>IF(INDEX($D$323:$D$330,MATCH(SMALL($I$323:$I$330,6),$I$323:$I$330,0))="","Not reached",TEXT(INDEX($E$323:$E$330,MATCH(SMALL($I$323:$I$330,6),$I$323:$I$330,0)),INDEX($J$323:$J$330,MATCH(SMALL($I$323:$I$330,6),$I$323:$I$330,0))))</f>
        <v>$10.30</v>
      </c>
      <c r="H118" t="str" s="130">
        <f>IF(INDEX($D$323:$D$330,MATCH(SMALL($I$323:$I$330,6),$I$323:$I$330,0))="","n.a.",IF(INDEX($K$323:$K$330,MATCH(SMALL($I$323:$I$330,6),$I$323:$I$330,0))="pp",TEXT((INDEX($E$323:$E$330,MATCH(SMALL($I$323:$I$330,6),$I$323:$I$330,0))-INDEX($L$323:$L$330,MATCH(SMALL($I$323:$I$330,6),$I$323:$I$330,0)))*100,"+0.0;-0.0")&amp;" pp",IF(INDEX($K$323:$K$330,MATCH(SMALL($I$323:$I$330,6),$I$323:$I$330,0))="x",TEXT(INDEX($E$323:$E$330,MATCH(SMALL($I$323:$I$330,6),$I$323:$I$330,0))-INDEX($L$323:$L$330,MATCH(SMALL($I$323:$I$330,6),$I$323:$I$330,0)),"+0.0;-0.0")&amp;"x",TEXT(INDEX($E$323:$E$330,MATCH(SMALL($I$323:$I$330,6),$I$323:$I$330,0))-INDEX($L$323:$L$330,MATCH(SMALL($I$323:$I$330,6),$I$323:$I$330,0)),"+$0.00;-$0.00"))))</f>
        <v>+$0.30</v>
      </c>
      <c r="I118" s="130"/>
      <c r="J118" t="str" s="130">
        <f>IF(INDEX($H$323:$H$330,MATCH(SMALL($I$323:$I$330,6),$I$323:$I$330,0))="","Not reached",TEXT(INDEX($H$323:$H$330,MATCH(SMALL($I$323:$I$330,6),$I$323:$I$330,0)),INDEX($J$323:$J$330,MATCH(SMALL($I$323:$I$330,6),$I$323:$I$330,0))))</f>
        <v>Not reached</v>
      </c>
      <c r="K118" s="4"/>
      <c r="L118" s="4"/>
      <c r="M118" s="4"/>
      <c r="N118" s="4"/>
      <c r="O118" s="4"/>
      <c r="P118" s="4"/>
      <c r="Q118" s="4"/>
      <c r="R118" s="4"/>
      <c r="S118" s="4"/>
      <c r="T118" s="4"/>
      <c r="U118" s="4"/>
      <c r="V118" s="4"/>
      <c r="W118" s="4"/>
      <c r="X118" s="4"/>
      <c r="Y118" s="4"/>
      <c r="Z118" s="4"/>
      <c r="AA118" s="4"/>
      <c r="AB118" s="4"/>
      <c r="AC118" s="4"/>
      <c r="AD118" s="4"/>
      <c r="AE118" s="4"/>
      <c r="AF118" s="4"/>
      <c r="AG118" s="4"/>
      <c r="AH118" s="4"/>
    </row>
    <row r="119" ht="12.75">
      <c r="A119" s="4"/>
      <c r="B119" t="str" s="4">
        <f>INDEX($B$323:$B$330,MATCH(SMALL($I$323:$I$330,7),$I$323:$I$330,0))</f>
        <v>Net SAC / add</v>
      </c>
      <c r="C119" s="4"/>
      <c r="D119" s="4"/>
      <c r="E119" t="str" s="130">
        <f>TEXT(INDEX($L$323:$L$330,MATCH(SMALL($I$323:$I$330,7),$I$323:$I$330,0)),INDEX($J$323:$J$330,MATCH(SMALL($I$323:$I$330,7),$I$323:$I$330,0)))</f>
        <v>22.8x</v>
      </c>
      <c r="F119" t="str" s="130">
        <f>TEXT(INDEX($M$323:$M$330,MATCH(SMALL($I$323:$I$330,7),$I$323:$I$330,0)),INDEX($J$323:$J$330,MATCH(SMALL($I$323:$I$330,7),$I$323:$I$330,0)))</f>
        <v>25.9x</v>
      </c>
      <c r="G119" t="str" s="130">
        <f>IF(INDEX($D$323:$D$330,MATCH(SMALL($I$323:$I$330,7),$I$323:$I$330,0))="","Not reached",TEXT(INDEX($E$323:$E$330,MATCH(SMALL($I$323:$I$330,7),$I$323:$I$330,0)),INDEX($J$323:$J$330,MATCH(SMALL($I$323:$I$330,7),$I$323:$I$330,0))))</f>
        <v>24.8x</v>
      </c>
      <c r="H119" t="str" s="130">
        <f>IF(INDEX($D$323:$D$330,MATCH(SMALL($I$323:$I$330,7),$I$323:$I$330,0))="","n.a.",IF(INDEX($K$323:$K$330,MATCH(SMALL($I$323:$I$330,7),$I$323:$I$330,0))="pp",TEXT((INDEX($E$323:$E$330,MATCH(SMALL($I$323:$I$330,7),$I$323:$I$330,0))-INDEX($L$323:$L$330,MATCH(SMALL($I$323:$I$330,7),$I$323:$I$330,0)))*100,"+0.0;-0.0")&amp;" pp",IF(INDEX($K$323:$K$330,MATCH(SMALL($I$323:$I$330,7),$I$323:$I$330,0))="x",TEXT(INDEX($E$323:$E$330,MATCH(SMALL($I$323:$I$330,7),$I$323:$I$330,0))-INDEX($L$323:$L$330,MATCH(SMALL($I$323:$I$330,7),$I$323:$I$330,0)),"+0.0;-0.0")&amp;"x",TEXT(INDEX($E$323:$E$330,MATCH(SMALL($I$323:$I$330,7),$I$323:$I$330,0))-INDEX($L$323:$L$330,MATCH(SMALL($I$323:$I$330,7),$I$323:$I$330,0)),"+$0.00;-$0.00"))))</f>
        <v>+2.0x</v>
      </c>
      <c r="I119" s="130"/>
      <c r="J119" t="str" s="130">
        <f>IF(INDEX($H$323:$H$330,MATCH(SMALL($I$323:$I$330,7),$I$323:$I$330,0))="","Not reached",TEXT(INDEX($H$323:$H$330,MATCH(SMALL($I$323:$I$330,7),$I$323:$I$330,0)),INDEX($J$323:$J$330,MATCH(SMALL($I$323:$I$330,7),$I$323:$I$330,0))))</f>
        <v>Not reached</v>
      </c>
      <c r="K119" s="4"/>
      <c r="L119" s="4"/>
      <c r="M119" s="4"/>
      <c r="N119" s="4"/>
      <c r="O119" s="4"/>
      <c r="P119" s="4"/>
      <c r="Q119" s="4"/>
      <c r="R119" s="4"/>
      <c r="S119" s="4"/>
      <c r="T119" s="4"/>
      <c r="U119" s="4"/>
      <c r="V119" s="4"/>
      <c r="W119" s="4"/>
      <c r="X119" s="4"/>
      <c r="Y119" s="4"/>
      <c r="Z119" s="4"/>
      <c r="AA119" s="4"/>
      <c r="AB119" s="4"/>
      <c r="AC119" s="4"/>
      <c r="AD119" s="4"/>
      <c r="AE119" s="4"/>
      <c r="AF119" s="4"/>
      <c r="AG119" s="4"/>
      <c r="AH119" s="4"/>
    </row>
    <row r="120" ht="12.75">
      <c r="A120" s="4"/>
      <c r="B120" t="str" s="296">
        <f>INDEX($B$323:$B$330,MATCH(SMALL($I$323:$I$330,8),$I$323:$I$330,0))</f>
        <v>Install rev. / add</v>
      </c>
      <c r="C120" s="296"/>
      <c r="D120" s="296"/>
      <c r="E120" t="str" s="295">
        <f>TEXT(INDEX($L$323:$L$330,MATCH(SMALL($I$323:$I$330,8),$I$323:$I$330,0)),INDEX($J$323:$J$330,MATCH(SMALL($I$323:$I$330,8),$I$323:$I$330,0)))</f>
        <v>19.5x</v>
      </c>
      <c r="F120" t="str" s="295">
        <f>TEXT(INDEX($M$323:$M$330,MATCH(SMALL($I$323:$I$330,8),$I$323:$I$330,0)),INDEX($J$323:$J$330,MATCH(SMALL($I$323:$I$330,8),$I$323:$I$330,0)))</f>
        <v>17.0x</v>
      </c>
      <c r="G120" t="str" s="295">
        <f>IF(INDEX($D$323:$D$330,MATCH(SMALL($I$323:$I$330,8),$I$323:$I$330,0))="","Not reached",TEXT(INDEX($E$323:$E$330,MATCH(SMALL($I$323:$I$330,8),$I$323:$I$330,0)),INDEX($J$323:$J$330,MATCH(SMALL($I$323:$I$330,8),$I$323:$I$330,0))))</f>
        <v>16.7x</v>
      </c>
      <c r="H120" t="str" s="295">
        <f>IF(INDEX($D$323:$D$330,MATCH(SMALL($I$323:$I$330,8),$I$323:$I$330,0))="","n.a.",IF(INDEX($K$323:$K$330,MATCH(SMALL($I$323:$I$330,8),$I$323:$I$330,0))="pp",TEXT((INDEX($E$323:$E$330,MATCH(SMALL($I$323:$I$330,8),$I$323:$I$330,0))-INDEX($L$323:$L$330,MATCH(SMALL($I$323:$I$330,8),$I$323:$I$330,0)))*100,"+0.0;-0.0")&amp;" pp",IF(INDEX($K$323:$K$330,MATCH(SMALL($I$323:$I$330,8),$I$323:$I$330,0))="x",TEXT(INDEX($E$323:$E$330,MATCH(SMALL($I$323:$I$330,8),$I$323:$I$330,0))-INDEX($L$323:$L$330,MATCH(SMALL($I$323:$I$330,8),$I$323:$I$330,0)),"+0.0;-0.0")&amp;"x",TEXT(INDEX($E$323:$E$330,MATCH(SMALL($I$323:$I$330,8),$I$323:$I$330,0))-INDEX($L$323:$L$330,MATCH(SMALL($I$323:$I$330,8),$I$323:$I$330,0)),"+$0.00;-$0.00"))))</f>
        <v>-2.8x</v>
      </c>
      <c r="I120" s="295"/>
      <c r="J120" t="str" s="295">
        <f>IF(INDEX($H$323:$H$330,MATCH(SMALL($I$323:$I$330,8),$I$323:$I$330,0))="","Not reached",TEXT(INDEX($H$323:$H$330,MATCH(SMALL($I$323:$I$330,8),$I$323:$I$330,0)),INDEX($J$323:$J$330,MATCH(SMALL($I$323:$I$330,8),$I$323:$I$330,0))))</f>
        <v>Not reached</v>
      </c>
      <c r="K120" s="4"/>
      <c r="L120" s="4"/>
      <c r="M120" s="4"/>
      <c r="N120" s="4"/>
      <c r="O120" s="4"/>
      <c r="P120" s="4"/>
      <c r="Q120" s="4"/>
      <c r="R120" s="4"/>
      <c r="S120" s="4"/>
      <c r="T120" s="4"/>
      <c r="U120" s="4"/>
      <c r="V120" s="4"/>
      <c r="W120" s="4"/>
      <c r="X120" s="4"/>
      <c r="Y120" s="4"/>
      <c r="Z120" s="4"/>
      <c r="AA120" s="4"/>
      <c r="AB120" s="4"/>
      <c r="AC120" s="4"/>
      <c r="AD120" s="4"/>
      <c r="AE120" s="4"/>
      <c r="AF120" s="4"/>
      <c r="AG120" s="4"/>
      <c r="AH120" s="4"/>
    </row>
    <row r="121" ht="12.7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row>
    <row r="122" ht="26" customHeight="1">
      <c r="A122" s="4"/>
      <c r="B122" t="str" s="350">
        <f>"Tightest: "&amp;B113&amp;" misses the hurdle at "&amp;G113&amp;" ("&amp;H113&amp;" from Base), then "&amp;B114&amp;" at "&amp;G114&amp;" ("&amp;H114&amp;") and "&amp;B115&amp;" at "&amp;G115&amp;" ("&amp;H115&amp;"). Offer price: the Base clears the hurdle up to "&amp;INDEX(G113:G120,MATCH("Offer price",B113:B120,0))&amp;" per share."</f>
        <v>Tightest: Exit multiple misses the hurdle at 5.8x (-0.2x from Base), then Adj. SG&amp;A at 26.5% (+0.8 pp) and Attrition at 12.7% (+0.6 pp). Offer price: the Base clears the hurdle up to $10.30 per share.</v>
      </c>
      <c r="C122" s="351"/>
      <c r="D122" s="351"/>
      <c r="E122" s="351"/>
      <c r="F122" s="351"/>
      <c r="G122" s="351"/>
      <c r="H122" s="351"/>
      <c r="I122" s="351"/>
      <c r="J122" s="351"/>
      <c r="K122" s="351"/>
      <c r="L122" s="351"/>
      <c r="M122" s="351"/>
      <c r="N122" s="351"/>
      <c r="O122" s="351"/>
      <c r="P122" s="351"/>
      <c r="Q122" s="351"/>
      <c r="R122" s="351"/>
      <c r="S122" s="351"/>
      <c r="T122" s="351"/>
      <c r="U122" s="351"/>
      <c r="V122" s="351"/>
      <c r="W122" s="351"/>
      <c r="X122" s="351"/>
      <c r="Y122" s="4"/>
      <c r="Z122" s="4"/>
      <c r="AA122" s="4"/>
      <c r="AB122" s="4"/>
      <c r="AC122" s="4"/>
      <c r="AD122" s="4"/>
      <c r="AE122" s="4"/>
      <c r="AF122" s="4"/>
      <c r="AG122" s="4"/>
      <c r="AH122" s="4"/>
    </row>
    <row r="123" ht="12.7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row>
    <row r="124" ht="12.75">
      <c r="A124" s="4"/>
      <c r="B124" t="s" s="26">
        <v>594</v>
      </c>
      <c r="C124" s="26"/>
      <c r="D124" s="26"/>
      <c r="E124" s="26"/>
      <c r="F124" s="26"/>
      <c r="G124" s="26"/>
      <c r="H124" s="26"/>
      <c r="I124" s="26"/>
      <c r="J124" s="26"/>
      <c r="K124" s="26"/>
      <c r="L124" s="26"/>
      <c r="M124" s="26"/>
      <c r="N124" s="26"/>
      <c r="O124" s="26"/>
      <c r="P124" s="26"/>
      <c r="Q124" s="26"/>
      <c r="R124" s="26"/>
      <c r="S124" s="26"/>
      <c r="T124" s="26"/>
      <c r="U124" s="26"/>
      <c r="V124" s="26"/>
      <c r="W124" s="26"/>
      <c r="X124" s="26"/>
      <c r="Y124" s="4"/>
      <c r="Z124" s="4"/>
      <c r="AA124" s="4"/>
      <c r="AB124" s="4"/>
      <c r="AC124" s="4"/>
      <c r="AD124" s="4"/>
      <c r="AE124" s="4"/>
      <c r="AF124" s="4"/>
      <c r="AG124" s="4"/>
      <c r="AH124" s="4"/>
    </row>
    <row r="125" ht="12.75">
      <c r="A125" s="4"/>
      <c r="B125" t="s" s="291">
        <v>595</v>
      </c>
      <c r="C125" s="291"/>
      <c r="D125" s="291"/>
      <c r="E125" t="s" s="291">
        <v>589</v>
      </c>
      <c r="F125" t="s" s="291">
        <v>18</v>
      </c>
      <c r="G125" t="s" s="360">
        <v>406</v>
      </c>
      <c r="H125" s="360"/>
      <c r="I125" s="360"/>
      <c r="J125" s="360"/>
      <c r="K125" s="360"/>
      <c r="L125" s="360"/>
      <c r="M125" s="360"/>
      <c r="N125" s="360"/>
      <c r="O125" s="360"/>
      <c r="P125" s="360"/>
      <c r="Q125" s="360"/>
      <c r="R125" s="360"/>
      <c r="S125" s="360"/>
      <c r="T125" s="360"/>
      <c r="U125" s="360"/>
      <c r="V125" s="360"/>
      <c r="W125" s="360"/>
      <c r="X125" s="360"/>
      <c r="Y125" s="4"/>
      <c r="Z125" s="4"/>
      <c r="AA125" s="4"/>
      <c r="AB125" s="4"/>
      <c r="AC125" s="4"/>
      <c r="AD125" s="4"/>
      <c r="AE125" s="4"/>
      <c r="AF125" s="4"/>
      <c r="AG125" s="4"/>
      <c r="AH125" s="4"/>
    </row>
    <row r="126" ht="28.05" customHeight="1">
      <c r="A126" s="4"/>
      <c r="B126" t="s" s="348">
        <v>596</v>
      </c>
      <c r="C126" s="348"/>
      <c r="D126" s="348"/>
      <c r="E126" s="383">
        <v>2030</v>
      </c>
      <c r="F126" s="384">
        <v>7</v>
      </c>
      <c r="G126" t="s" s="348">
        <v>597</v>
      </c>
      <c r="H126" s="348"/>
      <c r="I126" s="348"/>
      <c r="J126" s="348"/>
      <c r="K126" s="348"/>
      <c r="L126" s="348"/>
      <c r="M126" s="348"/>
      <c r="N126" s="348"/>
      <c r="O126" s="348"/>
      <c r="P126" s="348"/>
      <c r="Q126" s="348"/>
      <c r="R126" s="348"/>
      <c r="S126" s="348"/>
      <c r="T126" s="348"/>
      <c r="U126" s="348"/>
      <c r="V126" s="348"/>
      <c r="W126" s="348"/>
      <c r="X126" s="348"/>
      <c r="Y126" s="4"/>
      <c r="Z126" s="4"/>
      <c r="AA126" s="4"/>
      <c r="AB126" s="4"/>
      <c r="AC126" s="4"/>
      <c r="AD126" s="4"/>
      <c r="AE126" s="4"/>
      <c r="AF126" s="4"/>
      <c r="AG126" s="4"/>
      <c r="AH126" s="4"/>
    </row>
    <row r="127" ht="28.05" customHeight="1">
      <c r="A127" s="4"/>
      <c r="B127" t="s" s="348">
        <v>598</v>
      </c>
      <c r="C127" s="348"/>
      <c r="D127" s="348"/>
      <c r="E127" s="318">
        <f>YEAR(Model!$M$28)</f>
        <v>2031</v>
      </c>
      <c r="F127" s="319">
        <f>Model!$E$6</f>
        <v>6</v>
      </c>
      <c r="G127" t="s" s="348">
        <v>599</v>
      </c>
      <c r="H127" s="348"/>
      <c r="I127" s="348"/>
      <c r="J127" s="348"/>
      <c r="K127" s="348"/>
      <c r="L127" s="348"/>
      <c r="M127" s="348"/>
      <c r="N127" s="348"/>
      <c r="O127" s="348"/>
      <c r="P127" s="348"/>
      <c r="Q127" s="348"/>
      <c r="R127" s="348"/>
      <c r="S127" s="348"/>
      <c r="T127" s="348"/>
      <c r="U127" s="348"/>
      <c r="V127" s="348"/>
      <c r="W127" s="348"/>
      <c r="X127" s="348"/>
      <c r="Y127" s="4"/>
      <c r="Z127" s="4"/>
      <c r="AA127" s="4"/>
      <c r="AB127" s="4"/>
      <c r="AC127" s="4"/>
      <c r="AD127" s="4"/>
      <c r="AE127" s="4"/>
      <c r="AF127" s="4"/>
      <c r="AG127" s="4"/>
      <c r="AH127" s="4"/>
    </row>
    <row r="128" ht="28.05" customHeight="1">
      <c r="A128" s="4"/>
      <c r="B128" t="s" s="348">
        <v>600</v>
      </c>
      <c r="C128" s="348"/>
      <c r="D128" s="348"/>
      <c r="E128" s="383">
        <v>2032</v>
      </c>
      <c r="F128" s="319">
        <f>$E$18</f>
        <v>4.851919555126287</v>
      </c>
      <c r="G128" t="s" s="348">
        <v>601</v>
      </c>
      <c r="H128" s="348"/>
      <c r="I128" s="348"/>
      <c r="J128" s="348"/>
      <c r="K128" s="348"/>
      <c r="L128" s="348"/>
      <c r="M128" s="348"/>
      <c r="N128" s="348"/>
      <c r="O128" s="348"/>
      <c r="P128" s="348"/>
      <c r="Q128" s="348"/>
      <c r="R128" s="348"/>
      <c r="S128" s="348"/>
      <c r="T128" s="348"/>
      <c r="U128" s="348"/>
      <c r="V128" s="348"/>
      <c r="W128" s="348"/>
      <c r="X128" s="348"/>
      <c r="Y128" s="4"/>
      <c r="Z128" s="4"/>
      <c r="AA128" s="4"/>
      <c r="AB128" s="4"/>
      <c r="AC128" s="4"/>
      <c r="AD128" s="4"/>
      <c r="AE128" s="4"/>
      <c r="AF128" s="4"/>
      <c r="AG128" s="4"/>
      <c r="AH128" s="4"/>
    </row>
    <row r="129" ht="12.7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row>
    <row r="130" ht="26" customHeight="1">
      <c r="A130" s="4"/>
      <c r="B130" t="s" s="321">
        <v>602</v>
      </c>
      <c r="C130" s="306"/>
      <c r="D130" t="s" s="361">
        <v>595</v>
      </c>
      <c r="E130" s="361"/>
      <c r="F130" s="321"/>
      <c r="G130" t="s" s="361">
        <v>603</v>
      </c>
      <c r="H130" s="361"/>
      <c r="I130" s="306"/>
      <c r="J130" t="s" s="306">
        <v>604</v>
      </c>
      <c r="K130" t="s" s="306">
        <v>605</v>
      </c>
      <c r="L130" t="s" s="315">
        <v>589</v>
      </c>
      <c r="M130" t="s" s="315">
        <v>421</v>
      </c>
      <c r="N130" t="s" s="315">
        <v>606</v>
      </c>
      <c r="O130" t="s" s="315">
        <v>72</v>
      </c>
      <c r="P130" t="s" s="315">
        <v>71</v>
      </c>
      <c r="Q130" s="315"/>
      <c r="R130" t="str" s="315">
        <f>"Clears "&amp;TEXT($E$6,"0%")&amp;"?"</f>
        <v>Clears 20%?</v>
      </c>
      <c r="S130" t="s" s="315">
        <v>407</v>
      </c>
      <c r="T130" s="4"/>
      <c r="U130" s="4"/>
      <c r="V130" s="4"/>
      <c r="W130" s="4"/>
      <c r="X130" s="4"/>
      <c r="Y130" s="4"/>
      <c r="Z130" s="4"/>
      <c r="AA130" s="4"/>
      <c r="AB130" s="4"/>
      <c r="AC130" s="4"/>
      <c r="AD130" s="4"/>
      <c r="AE130" s="4"/>
      <c r="AF130" s="4"/>
      <c r="AG130" s="4"/>
      <c r="AH130" s="4"/>
    </row>
    <row r="131" ht="22.05" customHeight="1">
      <c r="A131" s="4"/>
      <c r="B131" s="15"/>
      <c r="C131" s="15"/>
      <c r="D131" s="15"/>
      <c r="E131" s="15"/>
      <c r="F131" s="15"/>
      <c r="G131" t="str" s="382">
        <f>"Model "&amp;INDEX({"Downside","Base","Upside"},$G$909)&amp;" · p "&amp;TEXT($S$131,"0%")</f>
        <v>Model Downside · p 15%</v>
      </c>
      <c r="H131" s="359"/>
      <c r="I131" s="15"/>
      <c r="J131" t="str" s="15" cm="1">
        <f t="array" ref="J131:J131">INDEX({"Strategic","Sponsor","IPO"},$F$909)</f>
        <v>Strategic</v>
      </c>
      <c r="K131" t="str" s="15" cm="1">
        <f t="array" ref="K131:K131">INDEX({"Downside","Base","Upside"},$G$909)</f>
        <v>Downside</v>
      </c>
      <c r="L131" s="324">
        <f>$I$909</f>
        <v>2030</v>
      </c>
      <c r="M131" s="325">
        <f>$K$909</f>
        <v>7</v>
      </c>
      <c r="N131" s="326">
        <f>$E$909</f>
        <v>7653.845101252472</v>
      </c>
      <c r="O131" s="327">
        <f>$D$909</f>
        <v>1.6987762708815397</v>
      </c>
      <c r="P131" s="328">
        <f>$C$909</f>
        <v>0.1416528009267104</v>
      </c>
      <c r="Q131" s="294"/>
      <c r="R131" t="str" s="322">
        <f>IF($C$909&gt;=$E$6,"Yes","No")</f>
        <v>No</v>
      </c>
      <c r="S131" s="385">
        <v>0.15</v>
      </c>
      <c r="T131" s="4"/>
      <c r="U131" s="4"/>
      <c r="V131" s="4"/>
      <c r="W131" s="4"/>
      <c r="X131" s="4"/>
      <c r="Y131" s="4"/>
      <c r="Z131" s="4"/>
      <c r="AA131" s="4"/>
      <c r="AB131" s="4"/>
      <c r="AC131" s="4"/>
      <c r="AD131" s="4"/>
      <c r="AE131" s="4"/>
      <c r="AF131" s="4"/>
      <c r="AG131" s="4"/>
      <c r="AH131" s="4"/>
    </row>
    <row r="132" ht="22" customHeight="1">
      <c r="A132" s="4"/>
      <c r="B132" s="15"/>
      <c r="C132" s="15"/>
      <c r="D132" t="str" s="363">
        <f>"Strategic: FY"&amp;RIGHT($E$126,2)&amp;" at "&amp;TEXT($F$126,"0.0x")&amp;CHAR(10)&amp;"p "&amp;TEXT($K$142,"0%")</f>
        <v>Strategic: FY30 at 7.0x
p 20%</v>
      </c>
      <c r="E132" s="359"/>
      <c r="F132" s="15"/>
      <c r="G132" t="str" s="382">
        <f>"Model "&amp;INDEX({"Downside","Base","Upside"},$G$910)&amp;" · p "&amp;TEXT($S$132,"0%")</f>
        <v>Model Base · p 55%</v>
      </c>
      <c r="H132" s="359"/>
      <c r="I132" s="15"/>
      <c r="J132" t="str" s="15" cm="1">
        <f t="array" ref="J132:J132">INDEX({"Strategic","Sponsor","IPO"},$F$910)</f>
        <v>Strategic</v>
      </c>
      <c r="K132" t="str" s="15" cm="1">
        <f t="array" ref="K132:K132">INDEX({"Downside","Base","Upside"},$G$910)</f>
        <v>Base</v>
      </c>
      <c r="L132" s="324">
        <f>$I$910</f>
        <v>2030</v>
      </c>
      <c r="M132" s="325">
        <f>$K$910</f>
        <v>7</v>
      </c>
      <c r="N132" s="326">
        <f>$E$910</f>
        <v>13037.836298712129</v>
      </c>
      <c r="O132" s="327">
        <f>$D$910</f>
        <v>2.89375688100427</v>
      </c>
      <c r="P132" s="328">
        <f>$C$910</f>
        <v>0.3042640093678213</v>
      </c>
      <c r="Q132" s="294"/>
      <c r="R132" t="str" s="322">
        <f>IF($C$910&gt;=$E$6,"Yes","No")</f>
        <v>Yes</v>
      </c>
      <c r="S132" s="385">
        <v>0.55</v>
      </c>
      <c r="T132" s="4"/>
      <c r="U132" s="4"/>
      <c r="V132" s="4"/>
      <c r="W132" s="4"/>
      <c r="X132" s="4"/>
      <c r="Y132" s="4"/>
      <c r="Z132" s="4"/>
      <c r="AA132" s="4"/>
      <c r="AB132" s="4"/>
      <c r="AC132" s="4"/>
      <c r="AD132" s="4"/>
      <c r="AE132" s="4"/>
      <c r="AF132" s="4"/>
      <c r="AG132" s="4"/>
      <c r="AH132" s="4"/>
    </row>
    <row r="133" ht="22.05" customHeight="1">
      <c r="A133" s="4"/>
      <c r="B133" s="15"/>
      <c r="C133" s="15"/>
      <c r="D133" s="15"/>
      <c r="E133" s="15"/>
      <c r="F133" s="15"/>
      <c r="G133" t="str" s="382">
        <f>"Model "&amp;INDEX({"Downside","Base","Upside"},$G$911)&amp;" · p "&amp;TEXT($S$133,"0%")</f>
        <v>Model Upside · p 30%</v>
      </c>
      <c r="H133" s="359"/>
      <c r="I133" s="15"/>
      <c r="J133" t="str" s="330" cm="1">
        <f t="array" ref="J133:J133">INDEX({"Strategic","Sponsor","IPO"},$F$911)</f>
        <v>Strategic</v>
      </c>
      <c r="K133" t="str" s="330" cm="1">
        <f t="array" ref="K133:K133">INDEX({"Downside","Base","Upside"},$G$911)</f>
        <v>Upside</v>
      </c>
      <c r="L133" s="331">
        <f>$I$911</f>
        <v>2030</v>
      </c>
      <c r="M133" s="332">
        <f>$K$911</f>
        <v>7</v>
      </c>
      <c r="N133" s="333">
        <f>$E$911</f>
        <v>16140.421320038127</v>
      </c>
      <c r="O133" s="334">
        <f>$D$911</f>
        <v>3.582377795446166</v>
      </c>
      <c r="P133" s="335">
        <f>$C$911</f>
        <v>0.3757605316741861</v>
      </c>
      <c r="Q133" s="336"/>
      <c r="R133" t="str" s="337">
        <f>IF($C$911&gt;=$E$6,"Yes","No")</f>
        <v>Yes</v>
      </c>
      <c r="S133" s="386">
        <v>0.3</v>
      </c>
      <c r="T133" s="4"/>
      <c r="U133" s="4"/>
      <c r="V133" s="4"/>
      <c r="W133" s="4"/>
      <c r="X133" s="4"/>
      <c r="Y133" s="4"/>
      <c r="Z133" s="4"/>
      <c r="AA133" s="4"/>
      <c r="AB133" s="4"/>
      <c r="AC133" s="4"/>
      <c r="AD133" s="4"/>
      <c r="AE133" s="4"/>
      <c r="AF133" s="4"/>
      <c r="AG133" s="4"/>
      <c r="AH133" s="4"/>
    </row>
    <row r="134" ht="22.05" customHeight="1">
      <c r="A134" s="4"/>
      <c r="B134" t="s" s="362">
        <v>595</v>
      </c>
      <c r="C134" s="15"/>
      <c r="D134" s="15"/>
      <c r="E134" s="15"/>
      <c r="F134" s="15"/>
      <c r="G134" t="str" s="382">
        <f>"Model "&amp;INDEX({"Downside","Base","Upside"},$G$912)&amp;" · p "&amp;TEXT($S$134,"0%")</f>
        <v>Model Downside · p 25%</v>
      </c>
      <c r="H134" s="359"/>
      <c r="I134" s="15"/>
      <c r="J134" t="str" s="15" cm="1">
        <f t="array" ref="J134:J134">INDEX({"Strategic","Sponsor","IPO"},$F$912)</f>
        <v>Sponsor</v>
      </c>
      <c r="K134" t="str" s="15" cm="1">
        <f t="array" ref="K134:K134">INDEX({"Downside","Base","Upside"},$G$912)</f>
        <v>Downside</v>
      </c>
      <c r="L134" s="324">
        <f>$I$912</f>
        <v>2031</v>
      </c>
      <c r="M134" s="325">
        <f>$K$912</f>
        <v>6</v>
      </c>
      <c r="N134" s="326">
        <f>$E$912</f>
        <v>5283.487541235487</v>
      </c>
      <c r="O134" s="327">
        <f>$D$912</f>
        <v>1.172673753363568</v>
      </c>
      <c r="P134" s="328">
        <f>$C$912</f>
        <v>0.03237015509973906</v>
      </c>
      <c r="Q134" s="294"/>
      <c r="R134" t="str" s="322">
        <f>IF($C$912&gt;=$E$6,"Yes","No")</f>
        <v>No</v>
      </c>
      <c r="S134" s="385">
        <v>0.25</v>
      </c>
      <c r="T134" s="4"/>
      <c r="U134" s="4"/>
      <c r="V134" s="4"/>
      <c r="W134" s="4"/>
      <c r="X134" s="4"/>
      <c r="Y134" s="4"/>
      <c r="Z134" s="4"/>
      <c r="AA134" s="4"/>
      <c r="AB134" s="4"/>
      <c r="AC134" s="4"/>
      <c r="AD134" s="4"/>
      <c r="AE134" s="4"/>
      <c r="AF134" s="4"/>
      <c r="AG134" s="4"/>
      <c r="AH134" s="4"/>
    </row>
    <row r="135" ht="22" customHeight="1">
      <c r="A135" s="4"/>
      <c r="B135" s="359"/>
      <c r="C135" s="15"/>
      <c r="D135" t="str" s="363">
        <f>"Sponsor: FY"&amp;RIGHT($E$127,2)&amp;" at "&amp;TEXT($F$127,"0.0x")&amp;CHAR(10)&amp;"p "&amp;TEXT($K$143,"0%")</f>
        <v>Sponsor: FY31 at 6.0x
p 55%</v>
      </c>
      <c r="E135" s="359"/>
      <c r="F135" s="15"/>
      <c r="G135" t="str" s="382">
        <f>"Model "&amp;INDEX({"Downside","Base","Upside"},$G$913)&amp;" · p "&amp;TEXT($S$135,"0%")</f>
        <v>Model Base · p 55%</v>
      </c>
      <c r="H135" s="359"/>
      <c r="I135" s="15"/>
      <c r="J135" t="str" s="8" cm="1">
        <f t="array" ref="J135:J135">INDEX({"Strategic","Sponsor","IPO"},$F$913)</f>
        <v>Sponsor</v>
      </c>
      <c r="K135" t="str" s="8" cm="1">
        <f t="array" ref="K135:K135">INDEX({"Downside","Base","Upside"},$G$913)</f>
        <v>Base</v>
      </c>
      <c r="L135" s="339">
        <f>$I$913</f>
        <v>2031</v>
      </c>
      <c r="M135" s="340">
        <f>$K$913</f>
        <v>6</v>
      </c>
      <c r="N135" s="341">
        <f>$E$913</f>
        <v>11770.16698129217</v>
      </c>
      <c r="O135" s="342">
        <f>$D$913</f>
        <v>2.6123967897992326</v>
      </c>
      <c r="P135" s="343">
        <f>$C$913</f>
        <v>0.211735490955125</v>
      </c>
      <c r="Q135" s="9"/>
      <c r="R135" t="str" s="7">
        <f>IF($C$913&gt;=$E$6,"Yes","No")</f>
        <v>Yes</v>
      </c>
      <c r="S135" s="387">
        <v>0.55</v>
      </c>
      <c r="T135" s="4"/>
      <c r="U135" s="4"/>
      <c r="V135" s="4"/>
      <c r="W135" s="4"/>
      <c r="X135" s="4"/>
      <c r="Y135" s="4"/>
      <c r="Z135" s="4"/>
      <c r="AA135" s="4"/>
      <c r="AB135" s="4"/>
      <c r="AC135" s="4"/>
      <c r="AD135" s="4"/>
      <c r="AE135" s="4"/>
      <c r="AF135" s="4"/>
      <c r="AG135" s="4"/>
      <c r="AH135" s="4"/>
    </row>
    <row r="136" ht="22.05" customHeight="1">
      <c r="A136" s="4"/>
      <c r="B136" s="359"/>
      <c r="C136" s="15"/>
      <c r="D136" s="15"/>
      <c r="E136" s="15"/>
      <c r="F136" s="15"/>
      <c r="G136" t="str" s="382">
        <f>"Model "&amp;INDEX({"Downside","Base","Upside"},$G$914)&amp;" · p "&amp;TEXT($S$136,"0%")</f>
        <v>Model Upside · p 20%</v>
      </c>
      <c r="H136" s="359"/>
      <c r="I136" s="15"/>
      <c r="J136" t="str" s="330" cm="1">
        <f t="array" ref="J136:J136">INDEX({"Strategic","Sponsor","IPO"},$F$914)</f>
        <v>Sponsor</v>
      </c>
      <c r="K136" t="str" s="330" cm="1">
        <f t="array" ref="K136:K136">INDEX({"Downside","Base","Upside"},$G$914)</f>
        <v>Upside</v>
      </c>
      <c r="L136" s="331">
        <f>$I$914</f>
        <v>2031</v>
      </c>
      <c r="M136" s="332">
        <f>$K$914</f>
        <v>6</v>
      </c>
      <c r="N136" s="333">
        <f>$E$914</f>
        <v>15217.789629278317</v>
      </c>
      <c r="O136" s="334">
        <f>$D$914</f>
        <v>3.3775990466876364</v>
      </c>
      <c r="P136" s="335">
        <f>$C$914</f>
        <v>0.2756208779409446</v>
      </c>
      <c r="Q136" s="336"/>
      <c r="R136" t="str" s="337">
        <f>IF($C$914&gt;=$E$6,"Yes","No")</f>
        <v>Yes</v>
      </c>
      <c r="S136" s="386">
        <v>0.2</v>
      </c>
      <c r="T136" s="4"/>
      <c r="U136" s="4"/>
      <c r="V136" s="4"/>
      <c r="W136" s="4"/>
      <c r="X136" s="4"/>
      <c r="Y136" s="4"/>
      <c r="Z136" s="4"/>
      <c r="AA136" s="4"/>
      <c r="AB136" s="4"/>
      <c r="AC136" s="4"/>
      <c r="AD136" s="4"/>
      <c r="AE136" s="4"/>
      <c r="AF136" s="4"/>
      <c r="AG136" s="4"/>
      <c r="AH136" s="4"/>
    </row>
    <row r="137" ht="22.05" customHeight="1">
      <c r="A137" s="4"/>
      <c r="B137" s="15"/>
      <c r="C137" s="15"/>
      <c r="D137" s="15"/>
      <c r="E137" s="15"/>
      <c r="F137" s="15"/>
      <c r="G137" t="str" s="382">
        <f>"Model "&amp;INDEX({"Downside","Base","Upside"},$G$915)&amp;" · p "&amp;TEXT($S$137,"0%")</f>
        <v>Model Downside · p 35%</v>
      </c>
      <c r="H137" s="359"/>
      <c r="I137" s="15"/>
      <c r="J137" t="str" s="15" cm="1">
        <f t="array" ref="J137:J137">INDEX({"Strategic","Sponsor","IPO"},$F$915)</f>
        <v>IPO</v>
      </c>
      <c r="K137" t="str" s="15" cm="1">
        <f t="array" ref="K137:K137">INDEX({"Downside","Base","Upside"},$G$915)</f>
        <v>Downside</v>
      </c>
      <c r="L137" s="324">
        <f>$I$915</f>
        <v>2032</v>
      </c>
      <c r="M137" s="325">
        <f>$K$915</f>
        <v>4.851919555126287</v>
      </c>
      <c r="N137" s="326">
        <f>$E$915</f>
        <v>2554.7577917034214</v>
      </c>
      <c r="O137" s="327">
        <f>$D$915</f>
        <v>0.5670302778514953</v>
      </c>
      <c r="P137" s="328">
        <f>$C$915</f>
        <v>-0.0902242115046914</v>
      </c>
      <c r="Q137" s="294"/>
      <c r="R137" t="str" s="322">
        <f>IF($C$915&gt;=$E$6,"Yes","No")</f>
        <v>No</v>
      </c>
      <c r="S137" s="385">
        <v>0.35</v>
      </c>
      <c r="T137" s="4"/>
      <c r="U137" s="4"/>
      <c r="V137" s="4"/>
      <c r="W137" s="4"/>
      <c r="X137" s="4"/>
      <c r="Y137" s="4"/>
      <c r="Z137" s="4"/>
      <c r="AA137" s="4"/>
      <c r="AB137" s="4"/>
      <c r="AC137" s="4"/>
      <c r="AD137" s="4"/>
      <c r="AE137" s="4"/>
      <c r="AF137" s="4"/>
      <c r="AG137" s="4"/>
      <c r="AH137" s="4"/>
    </row>
    <row r="138" ht="22" customHeight="1">
      <c r="A138" s="4"/>
      <c r="B138" s="15"/>
      <c r="C138" s="15"/>
      <c r="D138" t="str" s="363">
        <f>"IPO: FY"&amp;RIGHT($E$128,2)&amp;" at "&amp;TEXT($F$128,"0.0x")&amp;CHAR(10)&amp;"p "&amp;TEXT($K$144,"0%")</f>
        <v>IPO: FY32 at 4.9x
p 25%</v>
      </c>
      <c r="E138" s="359"/>
      <c r="F138" s="15"/>
      <c r="G138" t="str" s="382">
        <f>"Model "&amp;INDEX({"Downside","Base","Upside"},$G$916)&amp;" · p "&amp;TEXT($S$138,"0%")</f>
        <v>Model Base · p 50%</v>
      </c>
      <c r="H138" s="359"/>
      <c r="I138" s="15"/>
      <c r="J138" t="str" s="15" cm="1">
        <f t="array" ref="J138:J138">INDEX({"Strategic","Sponsor","IPO"},$F$916)</f>
        <v>IPO</v>
      </c>
      <c r="K138" t="str" s="15" cm="1">
        <f t="array" ref="K138:K138">INDEX({"Downside","Base","Upside"},$G$916)</f>
        <v>Base</v>
      </c>
      <c r="L138" s="324">
        <f>$I$916</f>
        <v>2032</v>
      </c>
      <c r="M138" s="325">
        <f>$K$916</f>
        <v>4.851919555126287</v>
      </c>
      <c r="N138" s="326">
        <f>$E$916</f>
        <v>9560.688842056048</v>
      </c>
      <c r="O138" s="327">
        <f>$D$916</f>
        <v>2.1220015721913383</v>
      </c>
      <c r="P138" s="328">
        <f>$C$916</f>
        <v>0.13359420443309267</v>
      </c>
      <c r="Q138" s="294"/>
      <c r="R138" t="str" s="322">
        <f>IF($C$916&gt;=$E$6,"Yes","No")</f>
        <v>No</v>
      </c>
      <c r="S138" s="385">
        <v>0.5</v>
      </c>
      <c r="T138" s="4"/>
      <c r="U138" s="4"/>
      <c r="V138" s="4"/>
      <c r="W138" s="4"/>
      <c r="X138" s="4"/>
      <c r="Y138" s="4"/>
      <c r="Z138" s="4"/>
      <c r="AA138" s="4"/>
      <c r="AB138" s="4"/>
      <c r="AC138" s="4"/>
      <c r="AD138" s="4"/>
      <c r="AE138" s="4"/>
      <c r="AF138" s="4"/>
      <c r="AG138" s="4"/>
      <c r="AH138" s="4"/>
    </row>
    <row r="139" ht="22.05" customHeight="1">
      <c r="A139" s="4"/>
      <c r="B139" s="15"/>
      <c r="C139" s="15"/>
      <c r="D139" s="15"/>
      <c r="E139" s="15"/>
      <c r="F139" s="15"/>
      <c r="G139" t="str" s="382">
        <f>"Model "&amp;INDEX({"Downside","Base","Upside"},$G$917)&amp;" · p "&amp;TEXT($S$139,"0%")</f>
        <v>Model Upside · p 15%</v>
      </c>
      <c r="H139" s="359"/>
      <c r="I139" s="15"/>
      <c r="J139" t="str" s="330" cm="1">
        <f t="array" ref="J139:J139">INDEX({"Strategic","Sponsor","IPO"},$F$917)</f>
        <v>IPO</v>
      </c>
      <c r="K139" t="str" s="330" cm="1">
        <f t="array" ref="K139:K139">INDEX({"Downside","Base","Upside"},$G$917)</f>
        <v>Upside</v>
      </c>
      <c r="L139" s="331">
        <f>$I$917</f>
        <v>2032</v>
      </c>
      <c r="M139" s="332">
        <f>$K$917</f>
        <v>4.851919555126287</v>
      </c>
      <c r="N139" s="333">
        <f>$E$917</f>
        <v>13252.799520296083</v>
      </c>
      <c r="O139" s="334">
        <f>$D$917</f>
        <v>2.941468118311557</v>
      </c>
      <c r="P139" s="335">
        <f>$C$917</f>
        <v>0.19699965231679561</v>
      </c>
      <c r="Q139" s="336"/>
      <c r="R139" t="str" s="337">
        <f>IF($C$917&gt;=$E$6,"Yes","No")</f>
        <v>No</v>
      </c>
      <c r="S139" s="386">
        <v>0.15</v>
      </c>
      <c r="T139" s="4"/>
      <c r="U139" s="4"/>
      <c r="V139" s="4"/>
      <c r="W139" s="4"/>
      <c r="X139" s="4"/>
      <c r="Y139" s="4"/>
      <c r="Z139" s="4"/>
      <c r="AA139" s="4"/>
      <c r="AB139" s="4"/>
      <c r="AC139" s="4"/>
      <c r="AD139" s="4"/>
      <c r="AE139" s="4"/>
      <c r="AF139" s="4"/>
      <c r="AG139" s="4"/>
      <c r="AH139" s="4"/>
    </row>
    <row r="140" ht="12.7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row>
    <row r="141" ht="26" customHeight="1">
      <c r="A141" s="4"/>
      <c r="B141" s="4"/>
      <c r="C141" s="4"/>
      <c r="D141" s="4"/>
      <c r="E141" s="4"/>
      <c r="F141" s="4"/>
      <c r="G141" s="4"/>
      <c r="H141" s="4"/>
      <c r="I141" s="4"/>
      <c r="J141" t="s" s="306">
        <v>604</v>
      </c>
      <c r="K141" t="s" s="315">
        <v>621</v>
      </c>
      <c r="L141" s="306"/>
      <c r="M141" s="306"/>
      <c r="N141" t="s" s="315">
        <v>613</v>
      </c>
      <c r="O141" t="s" s="315">
        <v>614</v>
      </c>
      <c r="P141" t="s" s="315">
        <v>607</v>
      </c>
      <c r="Q141" s="306"/>
      <c r="R141" t="str" s="364">
        <f>"What the route needs to clear "&amp;TEXT($E$6,"0%")</f>
        <v>What the route needs to clear 20%</v>
      </c>
      <c r="S141" s="364"/>
      <c r="T141" s="364"/>
      <c r="U141" s="364"/>
      <c r="V141" s="364"/>
      <c r="W141" s="364"/>
      <c r="X141" s="364"/>
      <c r="Y141" s="4"/>
      <c r="Z141" s="4"/>
      <c r="AA141" s="4"/>
      <c r="AB141" s="4"/>
      <c r="AC141" s="4"/>
      <c r="AD141" s="4"/>
      <c r="AE141" s="4"/>
      <c r="AF141" s="4"/>
      <c r="AG141" s="4"/>
      <c r="AH141" s="4"/>
    </row>
    <row r="142" ht="24" customHeight="1">
      <c r="A142" s="4"/>
      <c r="B142" s="4"/>
      <c r="C142" s="4"/>
      <c r="D142" s="4"/>
      <c r="E142" s="4"/>
      <c r="F142" s="4"/>
      <c r="G142" s="4"/>
      <c r="H142" s="4"/>
      <c r="I142" s="4"/>
      <c r="J142" t="s" s="15">
        <v>609</v>
      </c>
      <c r="K142" s="385">
        <v>0.2</v>
      </c>
      <c r="L142" s="15"/>
      <c r="M142" s="15"/>
      <c r="N142" s="293">
        <f>IF(AND(COUNT(S131:S133)=3,ABS(SUM(S131:S133)-1)&lt;0.0001),SUMPRODUCT(S131:S133,P131:P133),"")</f>
        <v>0.3013212847935641</v>
      </c>
      <c r="O142" s="323">
        <f>IF(AND(COUNT(S131:S133)=3,ABS(SUM(S131:S133)-1)&lt;0.0001),SUMPRODUCT(S131:S133,O131:O133),"")</f>
        <v>2.921096063818429</v>
      </c>
      <c r="P142" s="293">
        <f>P132</f>
        <v>0.3042640093678213</v>
      </c>
      <c r="Q142" s="15"/>
      <c r="R142" t="str" s="365">
        <f>J142&amp;" clears "&amp;TEXT($E$6,"0%")&amp;" "&amp;IF(P131&gt;=$E$6,"in every case",IF(P132&gt;=$E$6,"with the Base or Upside case, not the Downside ("&amp;TEXT(P131,"0.0%")&amp;")",IF(P133&gt;=$E$6,"only with the Upside case ("&amp;TEXT(P133,"0.0%")&amp;"; Base "&amp;TEXT(P132,"0.0%")&amp;")","in no case (Upside "&amp;TEXT(P133,"0.0%")&amp;")")))&amp;"; weighted "&amp;IF(N142="","n.a.",TEXT(N142,"0.0%"))&amp;"."</f>
        <v>Strategic clears 20% with the Base or Upside case, not the Downside (14.2%); weighted 30.1%.</v>
      </c>
      <c r="S142" s="359"/>
      <c r="T142" s="359"/>
      <c r="U142" s="359"/>
      <c r="V142" s="359"/>
      <c r="W142" s="359"/>
      <c r="X142" s="359"/>
      <c r="Y142" s="4"/>
      <c r="Z142" s="4"/>
      <c r="AA142" s="4"/>
      <c r="AB142" s="4"/>
      <c r="AC142" s="4"/>
      <c r="AD142" s="4"/>
      <c r="AE142" s="4"/>
      <c r="AF142" s="4"/>
      <c r="AG142" s="4"/>
      <c r="AH142" s="4"/>
    </row>
    <row r="143" ht="24" customHeight="1">
      <c r="A143" s="4"/>
      <c r="B143" s="4"/>
      <c r="C143" s="4"/>
      <c r="D143" s="4"/>
      <c r="E143" s="4"/>
      <c r="F143" s="4"/>
      <c r="G143" s="4"/>
      <c r="H143" s="4"/>
      <c r="I143" s="4"/>
      <c r="J143" t="s" s="15">
        <v>610</v>
      </c>
      <c r="K143" s="385">
        <v>0.55</v>
      </c>
      <c r="L143" s="15"/>
      <c r="M143" s="15"/>
      <c r="N143" s="293">
        <f>IF(AND(COUNT(S134:S136)=3,ABS(SUM(S134:S136)-1)&lt;0.0001),SUMPRODUCT(S134:S136,P134:P136),"")</f>
        <v>0.17967123438844246</v>
      </c>
      <c r="O143" s="323">
        <f>IF(AND(COUNT(S134:S136)=3,ABS(SUM(S134:S136)-1)&lt;0.0001),SUMPRODUCT(S134:S136,O134:O136),"")</f>
        <v>2.4055064820679974</v>
      </c>
      <c r="P143" s="293">
        <f>P135</f>
        <v>0.211735490955125</v>
      </c>
      <c r="Q143" s="15"/>
      <c r="R143" t="str" s="365">
        <f>J143&amp;" clears "&amp;TEXT($E$6,"0%")&amp;" "&amp;IF(P134&gt;=$E$6,"in every case",IF(P135&gt;=$E$6,"with the Base or Upside case, not the Downside ("&amp;TEXT(P134,"0.0%")&amp;")",IF(P136&gt;=$E$6,"only with the Upside case ("&amp;TEXT(P136,"0.0%")&amp;"; Base "&amp;TEXT(P135,"0.0%")&amp;")","in no case (Upside "&amp;TEXT(P136,"0.0%")&amp;")")))&amp;"; weighted "&amp;IF(N143="","n.a.",TEXT(N143,"0.0%"))&amp;"."</f>
        <v>Sponsor clears 20% with the Base or Upside case, not the Downside (3.2%); weighted 18.0%.</v>
      </c>
      <c r="S143" s="359"/>
      <c r="T143" s="359"/>
      <c r="U143" s="359"/>
      <c r="V143" s="359"/>
      <c r="W143" s="359"/>
      <c r="X143" s="359"/>
      <c r="Y143" s="4"/>
      <c r="Z143" s="4"/>
      <c r="AA143" s="4"/>
      <c r="AB143" s="4"/>
      <c r="AC143" s="4"/>
      <c r="AD143" s="4"/>
      <c r="AE143" s="4"/>
      <c r="AF143" s="4"/>
      <c r="AG143" s="4"/>
      <c r="AH143" s="4"/>
    </row>
    <row r="144" ht="24" customHeight="1">
      <c r="A144" s="4"/>
      <c r="B144" s="4"/>
      <c r="C144" s="4"/>
      <c r="D144" s="4"/>
      <c r="E144" s="4"/>
      <c r="F144" s="4"/>
      <c r="G144" s="4"/>
      <c r="H144" s="4"/>
      <c r="I144" s="4"/>
      <c r="J144" t="s" s="15">
        <v>611</v>
      </c>
      <c r="K144" s="385">
        <v>0.25</v>
      </c>
      <c r="L144" s="15"/>
      <c r="M144" s="15"/>
      <c r="N144" s="293">
        <f>IF(AND(COUNT(S137:S139)=3,ABS(SUM(S137:S139)-1)&lt;0.0001),SUMPRODUCT(S137:S139,P137:P139),"")</f>
        <v>0.06476857603742368</v>
      </c>
      <c r="O144" s="323">
        <f>IF(AND(COUNT(S137:S139)=3,ABS(SUM(S137:S139)-1)&lt;0.0001),SUMPRODUCT(S137:S139,O137:O139),"")</f>
        <v>1.700681601090426</v>
      </c>
      <c r="P144" s="293">
        <f>P138</f>
        <v>0.13359420443309267</v>
      </c>
      <c r="Q144" s="15"/>
      <c r="R144" t="str" s="365">
        <f>J144&amp;" clears "&amp;TEXT($E$6,"0%")&amp;" "&amp;IF(P137&gt;=$E$6,"in every case",IF(P138&gt;=$E$6,"with the Base or Upside case, not the Downside ("&amp;TEXT(P137,"0.0%")&amp;")",IF(P139&gt;=$E$6,"only with the Upside case ("&amp;TEXT(P139,"0.0%")&amp;"; Base "&amp;TEXT(P138,"0.0%")&amp;")","in no case (Upside "&amp;TEXT(P139,"0.0%")&amp;")")))&amp;"; weighted "&amp;IF(N144="","n.a.",TEXT(N144,"0.0%"))&amp;"."</f>
        <v>IPO clears 20% in no case (Upside 19.7%); weighted 6.5%.</v>
      </c>
      <c r="S144" s="359"/>
      <c r="T144" s="359"/>
      <c r="U144" s="359"/>
      <c r="V144" s="359"/>
      <c r="W144" s="359"/>
      <c r="X144" s="359"/>
      <c r="Y144" s="4"/>
      <c r="Z144" s="4"/>
      <c r="AA144" s="4"/>
      <c r="AB144" s="4"/>
      <c r="AC144" s="4"/>
      <c r="AD144" s="4"/>
      <c r="AE144" s="4"/>
      <c r="AF144" s="4"/>
      <c r="AG144" s="4"/>
      <c r="AH144" s="4"/>
    </row>
    <row r="145" ht="24" customHeight="1">
      <c r="A145" s="4"/>
      <c r="B145" s="4"/>
      <c r="C145" s="4"/>
      <c r="D145" s="4"/>
      <c r="E145" s="4"/>
      <c r="F145" s="4"/>
      <c r="G145" s="4"/>
      <c r="H145" s="4"/>
      <c r="I145" s="4"/>
      <c r="J145" t="s" s="377">
        <v>622</v>
      </c>
      <c r="K145" s="378">
        <f>SUM(K142:K144)</f>
        <v>1</v>
      </c>
      <c r="L145" s="377"/>
      <c r="M145" s="377"/>
      <c r="N145" s="379">
        <f>IF(AND(ABS(K145-1)&lt;0.0001,COUNT(N142:N144)=3),SUMPRODUCT(K142:K144,N142:N144),"")</f>
        <v>0.1752755798817121</v>
      </c>
      <c r="O145" s="380">
        <f>IF(AND(ABS(K145-1)&lt;0.0001,COUNT(O142:O144)=3),SUMPRODUCT(K142:K144,O142:O144),"")</f>
        <v>2.332418178173691</v>
      </c>
      <c r="P145" s="379">
        <f>P135</f>
        <v>0.211735490955125</v>
      </c>
      <c r="Q145" s="377"/>
      <c r="R145" t="str" s="381">
        <f>"Whole tree: probability-weighted IRR "&amp;IF(N145="","n.a.",TEXT(N145,"0.0%"))&amp;" / "&amp;IF(O145="","n.a.",TEXT(O145,"0.00x"))&amp;", beside the Base "&amp;TEXT(P145,"0.0%")&amp;" / "&amp;TEXT(O135,"0.00x")&amp;" (model route, Base case)."</f>
        <v>Whole tree: probability-weighted IRR 17.5% / 2.33x, beside the Base 21.2% / 2.61x (model route, Base case).</v>
      </c>
      <c r="S145" s="377"/>
      <c r="T145" s="377"/>
      <c r="U145" s="377"/>
      <c r="V145" s="377"/>
      <c r="W145" s="377"/>
      <c r="X145" s="377"/>
      <c r="Y145" s="4"/>
      <c r="Z145" s="4"/>
      <c r="AA145" s="4"/>
      <c r="AB145" s="4"/>
      <c r="AC145" s="4"/>
      <c r="AD145" s="4"/>
      <c r="AE145" s="4"/>
      <c r="AF145" s="4"/>
      <c r="AG145" s="4"/>
      <c r="AH145" s="4"/>
    </row>
    <row r="146" ht="30" customHeight="1">
      <c r="A146" s="4"/>
      <c r="B146" t="s" s="350">
        <v>623</v>
      </c>
      <c r="C146" s="351"/>
      <c r="D146" s="351"/>
      <c r="E146" s="351"/>
      <c r="F146" s="351"/>
      <c r="G146" s="351"/>
      <c r="H146" s="351"/>
      <c r="I146" s="351"/>
      <c r="J146" s="351"/>
      <c r="K146" s="351"/>
      <c r="L146" s="351"/>
      <c r="M146" s="351"/>
      <c r="N146" s="351"/>
      <c r="O146" s="351"/>
      <c r="P146" s="351"/>
      <c r="Q146" s="351"/>
      <c r="R146" s="351"/>
      <c r="S146" s="351"/>
      <c r="T146" s="351"/>
      <c r="U146" s="351"/>
      <c r="V146" s="351"/>
      <c r="W146" s="351"/>
      <c r="X146" s="351"/>
      <c r="Y146" s="4"/>
      <c r="Z146" s="4"/>
      <c r="AA146" s="4"/>
      <c r="AB146" s="4"/>
      <c r="AC146" s="4"/>
      <c r="AD146" s="4"/>
      <c r="AE146" s="4"/>
      <c r="AF146" s="4"/>
      <c r="AG146" s="4"/>
      <c r="AH146" s="4"/>
    </row>
    <row r="147" ht="26" customHeight="1">
      <c r="A147" s="4"/>
      <c r="B147" t="s" s="350">
        <v>624</v>
      </c>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row>
    <row r="148" ht="26" customHeight="1">
      <c r="A148" s="4"/>
      <c r="B148" t="s" s="350">
        <v>625</v>
      </c>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row>
    <row r="149" ht="26" customHeight="1">
      <c r="A149" s="4"/>
      <c r="B149" t="s" s="350">
        <v>626</v>
      </c>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row>
    <row r="150" ht="12.7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row>
    <row r="151" ht="12.7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row>
    <row r="152" ht="12.75">
      <c r="A152" s="4"/>
      <c r="B152" t="s" s="26">
        <v>555</v>
      </c>
      <c r="C152" s="26"/>
      <c r="D152" s="26"/>
      <c r="E152" s="26"/>
      <c r="F152" s="26"/>
      <c r="G152" s="26"/>
      <c r="H152" s="26"/>
      <c r="I152" s="26"/>
      <c r="J152" s="26"/>
      <c r="K152" s="26"/>
      <c r="L152" s="26"/>
      <c r="M152" s="26"/>
      <c r="N152" s="26"/>
      <c r="O152" s="26"/>
      <c r="P152" s="26"/>
      <c r="Q152" s="26"/>
      <c r="R152" s="26"/>
      <c r="S152" s="26"/>
      <c r="T152" s="26"/>
      <c r="U152" s="26"/>
      <c r="V152" s="26"/>
      <c r="W152" s="26"/>
      <c r="X152" s="26"/>
      <c r="Y152" s="4"/>
      <c r="Z152" s="4"/>
      <c r="AA152" s="4"/>
      <c r="AB152" s="4"/>
      <c r="AC152" s="4"/>
      <c r="AD152" s="4"/>
      <c r="AE152" s="4"/>
      <c r="AF152" s="4"/>
      <c r="AG152" s="4"/>
      <c r="AH152" s="4"/>
    </row>
    <row r="153" ht="12.75" hidden="1" outlineLevel="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row>
    <row r="154" ht="12.75" hidden="1" outlineLevel="1">
      <c r="A154" s="4"/>
      <c r="B154" t="s" s="16">
        <v>439</v>
      </c>
      <c r="C154" t="s" s="4">
        <v>462</v>
      </c>
      <c r="D154" t="s" s="4">
        <v>463</v>
      </c>
      <c r="E154" t="s" s="4">
        <v>464</v>
      </c>
      <c r="F154" t="s" s="4">
        <v>465</v>
      </c>
      <c r="G154" t="s" s="4">
        <v>466</v>
      </c>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row>
    <row r="155" ht="12.75" hidden="1" outlineLevel="1">
      <c r="A155" s="4"/>
      <c r="B155" t="s" s="4">
        <v>467</v>
      </c>
      <c r="C155" s="289">
        <v>0</v>
      </c>
      <c r="D155" s="289">
        <v>0</v>
      </c>
      <c r="E155" s="4">
        <f>IF(D155=0,0,IF((D155-$J$11)*($E$11-$J$11)&gt;=0,(D155-$J$11)/($E$11-$J$11),-(D155-$J$11)/($O$11-$J$11)))</f>
        <v>0</v>
      </c>
      <c r="F155" s="4">
        <f>IF($E$164=0,0,IF($E$164&lt;=64,MOD(INT(($E$164-1)/2^0),2),-MOD(INT(($E$164-65)/2^0),2)))</f>
        <v>0</v>
      </c>
      <c r="G155" s="4">
        <f>IF(D155&lt;&gt;0,E155,IF($E$164&lt;&gt;0,F155,C155))</f>
        <v>0</v>
      </c>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row>
    <row r="156" ht="12.75" hidden="1" outlineLevel="1">
      <c r="A156" s="4"/>
      <c r="B156" t="s" s="4">
        <v>418</v>
      </c>
      <c r="C156" s="289">
        <v>0</v>
      </c>
      <c r="D156" s="289">
        <v>0</v>
      </c>
      <c r="E156" s="4">
        <f>IF(D156=0,0,IF((D156-$J$12)*($E$12-$J$12)&gt;=0,(D156-$J$12)/($E$12-$J$12),-(D156-$J$12)/($O$12-$J$12)))</f>
        <v>0</v>
      </c>
      <c r="F156" s="4">
        <f>IF($E$164=0,0,IF($E$164&lt;=64,MOD(INT(($E$164-1)/2^1),2),-MOD(INT(($E$164-65)/2^1),2)))</f>
        <v>0</v>
      </c>
      <c r="G156" s="4">
        <f>IF(D156&lt;&gt;0,E156,IF($E$164&lt;&gt;0,F156,C156))</f>
        <v>0</v>
      </c>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row>
    <row r="157" ht="12.75" hidden="1" outlineLevel="1">
      <c r="A157" s="4"/>
      <c r="B157" t="s" s="4">
        <v>468</v>
      </c>
      <c r="C157" s="289">
        <v>0</v>
      </c>
      <c r="D157" s="289">
        <v>0</v>
      </c>
      <c r="E157" s="4">
        <f>IF(D157=0,0,IF((D157-$J$13)*($E$13-$J$13)&gt;=0,(D157-$J$13)/($E$13-$J$13),-(D157-$J$13)/($O$13-$J$13)))</f>
        <v>0</v>
      </c>
      <c r="F157" s="4">
        <f>IF($E$164=0,0,IF($E$164&lt;=64,MOD(INT(($E$164-1)/2^2),2),-MOD(INT(($E$164-65)/2^2),2)))</f>
        <v>0</v>
      </c>
      <c r="G157" s="4">
        <f>IF(D157&lt;&gt;0,E157,IF($E$164&lt;&gt;0,F157,C157))</f>
        <v>0</v>
      </c>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row>
    <row r="158" ht="12.75" hidden="1" outlineLevel="1">
      <c r="A158" s="4"/>
      <c r="B158" t="s" s="4">
        <v>420</v>
      </c>
      <c r="C158" s="289">
        <v>0</v>
      </c>
      <c r="D158" s="289">
        <v>0</v>
      </c>
      <c r="E158" s="4">
        <f>IF(D158=0,0,IF((D158-$J$14)*($E$14-$J$14)&gt;=0,(D158-$J$14)/($E$14-$J$14),-(D158-$J$14)/($O$14-$J$14)))</f>
        <v>0</v>
      </c>
      <c r="F158" s="4">
        <f>IF($E$164=0,0,IF($E$164&lt;=64,MOD(INT(($E$164-1)/2^3),2),-MOD(INT(($E$164-65)/2^3),2)))</f>
        <v>0</v>
      </c>
      <c r="G158" s="4">
        <f>IF(D158&lt;&gt;0,E158,IF($E$164&lt;&gt;0,F158,C158))</f>
        <v>0</v>
      </c>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row>
    <row r="159" ht="12.75" hidden="1" outlineLevel="1">
      <c r="A159" s="4"/>
      <c r="B159" t="s" s="4">
        <v>419</v>
      </c>
      <c r="C159" s="289">
        <v>0</v>
      </c>
      <c r="D159" s="289">
        <v>0</v>
      </c>
      <c r="E159" s="4">
        <f>IF(D159=0,0,IF((D159-$J$15)*($E$15-$J$15)&gt;=0,(D159-$J$15)/($E$15-$J$15),-(D159-$J$15)/($O$15-$J$15)))</f>
        <v>0</v>
      </c>
      <c r="F159" s="4">
        <f>IF($E$164=0,0,IF($E$164&lt;=64,MOD(INT(($E$164-1)/2^4),2),-MOD(INT(($E$164-65)/2^4),2)))</f>
        <v>0</v>
      </c>
      <c r="G159" s="4">
        <f>IF(D159&lt;&gt;0,E159,IF($E$164&lt;&gt;0,F159,C159))</f>
        <v>0</v>
      </c>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row>
    <row r="160" ht="12.75" hidden="1" outlineLevel="1">
      <c r="A160" s="4"/>
      <c r="B160" t="s" s="4">
        <v>469</v>
      </c>
      <c r="C160" s="289">
        <v>0</v>
      </c>
      <c r="D160" s="289">
        <v>0</v>
      </c>
      <c r="E160" s="4">
        <f>IF(D160=0,0,IF((D160-$J$16)*($E$16-$J$16)&gt;=0,(D160-$J$16)/($E$16-$J$16),-(D160-$J$16)/($O$16-$J$16)))</f>
        <v>0</v>
      </c>
      <c r="F160" s="4">
        <f>IF($E$164=0,0,IF($E$164&lt;=64,MOD(INT(($E$164-1)/2^5),2),-MOD(INT(($E$164-65)/2^5),2)))</f>
        <v>0</v>
      </c>
      <c r="G160" s="4">
        <f>IF(D160&lt;&gt;0,E160,IF($E$164&lt;&gt;0,F160,C160))</f>
        <v>0</v>
      </c>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row>
    <row r="161" ht="12.75" hidden="1" outlineLevel="1">
      <c r="A161" s="4"/>
      <c r="B161" t="s" s="4">
        <v>421</v>
      </c>
      <c r="C161" s="289">
        <v>0</v>
      </c>
      <c r="D161" s="289">
        <v>0</v>
      </c>
      <c r="E161" s="4">
        <f>IF(D161=0,0,(D161-$J$18)/($E$18-$J$18))</f>
        <v>0</v>
      </c>
      <c r="F161" s="4">
        <f>0</f>
        <v>0</v>
      </c>
      <c r="G161" s="4" cm="1">
        <f t="array" ref="G161:G161">IF(D161&lt;&gt;0,E161,IF($C$165&lt;&gt;0,INDEX($L$909:$L$917,$C$165),C161))</f>
        <v>0</v>
      </c>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row>
    <row r="162" ht="12.75" hidden="1" outlineLevel="1">
      <c r="A162" s="4"/>
      <c r="B162" t="s" s="4">
        <v>422</v>
      </c>
      <c r="C162" s="289">
        <v>0</v>
      </c>
      <c r="D162" s="289">
        <v>0</v>
      </c>
      <c r="E162" s="4">
        <f>IF(D162=0,0,(D162-$J$20)/($E$20-$J$20))</f>
        <v>0</v>
      </c>
      <c r="F162" s="4">
        <f>0</f>
        <v>0</v>
      </c>
      <c r="G162" s="4">
        <f>IF(D162&lt;&gt;0,E162,IF($C$164&lt;&gt;0,F162,C162))</f>
        <v>0</v>
      </c>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row>
    <row r="163" ht="12.75" hidden="1" outlineLevel="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row>
    <row r="164" ht="12.75" hidden="1" outlineLevel="1">
      <c r="A164" s="4"/>
      <c r="B164" t="s" s="4">
        <v>470</v>
      </c>
      <c r="C164" s="289">
        <v>0</v>
      </c>
      <c r="D164" t="s" s="4">
        <v>592</v>
      </c>
      <c r="E164" s="4" cm="1">
        <f t="array" ref="E164:E164">IF($C$164&lt;&gt;0,$C$164,IF($C$165&lt;&gt;0,INDEX($H$909:$H$917,$C$165),0))</f>
        <v>0</v>
      </c>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row>
    <row r="165" ht="12.75" hidden="1" outlineLevel="1">
      <c r="A165" s="4"/>
      <c r="B165" t="s" s="4">
        <v>593</v>
      </c>
      <c r="C165" s="289">
        <v>0</v>
      </c>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row>
    <row r="166" ht="12.75" hidden="1" outlineLevel="1">
      <c r="A166" s="4"/>
      <c r="B166" t="s" s="4">
        <v>471</v>
      </c>
      <c r="C166" s="187">
        <f>Model!M140</f>
        <v>0.211735490955125</v>
      </c>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row>
    <row r="167" ht="12.75" hidden="1" outlineLevel="1">
      <c r="A167" s="4"/>
      <c r="B167" t="s" s="4">
        <v>472</v>
      </c>
      <c r="C167" s="190">
        <f>Model!M141</f>
        <v>2.6123967897992326</v>
      </c>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row>
    <row r="168" ht="12.75" hidden="1" outlineLevel="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row>
    <row r="169" ht="12.75" hidden="1" outlineLevel="1">
      <c r="A169" s="4"/>
      <c r="B169" t="s" s="16">
        <v>460</v>
      </c>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row>
    <row r="170" ht="12.75" hidden="1" outlineLevel="1">
      <c r="A170" s="4"/>
      <c r="B170" s="4"/>
      <c r="C170" s="288">
        <f>'Driver Assumptions'!F6</f>
        <v>46387</v>
      </c>
      <c r="D170" s="288">
        <f>'Driver Assumptions'!G6</f>
        <v>46752</v>
      </c>
      <c r="E170" s="288">
        <f>'Driver Assumptions'!H6</f>
        <v>47118</v>
      </c>
      <c r="F170" s="288">
        <f>'Driver Assumptions'!I6</f>
        <v>47483</v>
      </c>
      <c r="G170" s="288">
        <f>'Driver Assumptions'!J6</f>
        <v>47848</v>
      </c>
      <c r="H170" s="288">
        <f>'Driver Assumptions'!K6</f>
        <v>48213</v>
      </c>
      <c r="I170" s="288">
        <f>'Driver Assumptions'!L6</f>
        <v>48579</v>
      </c>
      <c r="J170" s="288">
        <f>'Driver Assumptions'!M6</f>
        <v>48944</v>
      </c>
      <c r="K170" s="288">
        <f>'Driver Assumptions'!N6</f>
        <v>49309</v>
      </c>
      <c r="L170" s="288">
        <f>'Driver Assumptions'!O6</f>
        <v>49674</v>
      </c>
      <c r="M170" s="288">
        <f>'Driver Assumptions'!P6</f>
        <v>50040</v>
      </c>
      <c r="N170" s="4"/>
      <c r="O170" s="4"/>
      <c r="P170" s="4"/>
      <c r="Q170" s="4"/>
      <c r="R170" s="4"/>
      <c r="S170" s="4"/>
      <c r="T170" s="4"/>
      <c r="U170" s="4"/>
      <c r="V170" s="4"/>
      <c r="W170" s="4"/>
      <c r="X170" s="4"/>
      <c r="Y170" s="4"/>
      <c r="Z170" s="4"/>
      <c r="AA170" s="4"/>
      <c r="AB170" s="4"/>
      <c r="AC170" s="4"/>
      <c r="AD170" s="4"/>
      <c r="AE170" s="4"/>
      <c r="AF170" s="4"/>
      <c r="AG170" s="4"/>
      <c r="AH170" s="4"/>
    </row>
    <row r="171" ht="12.75" hidden="1" outlineLevel="1">
      <c r="A171" s="4"/>
      <c r="B171" t="s" s="4">
        <v>467</v>
      </c>
      <c r="C171" s="286">
        <f>'Driver Assumptions'!F10+IF($G$155&gt;=0,$G$155*('Driver Assumptions'!F9-'Driver Assumptions'!F10),-$G$155*('Driver Assumptions'!F11-'Driver Assumptions'!F10))</f>
        <v>0.132</v>
      </c>
      <c r="D171" s="286">
        <f>'Driver Assumptions'!G10+IF($G$155&gt;=0,$G$155*('Driver Assumptions'!G9-'Driver Assumptions'!G10),-$G$155*('Driver Assumptions'!G11-'Driver Assumptions'!G10))</f>
        <v>0.134</v>
      </c>
      <c r="E171" s="286">
        <f>'Driver Assumptions'!H10+IF($G$155&gt;=0,$G$155*('Driver Assumptions'!H9-'Driver Assumptions'!H10),-$G$155*('Driver Assumptions'!H11-'Driver Assumptions'!H10))</f>
        <v>0.136</v>
      </c>
      <c r="F171" s="286">
        <f>'Driver Assumptions'!I10+IF($G$155&gt;=0,$G$155*('Driver Assumptions'!I9-'Driver Assumptions'!I10),-$G$155*('Driver Assumptions'!I11-'Driver Assumptions'!I10))</f>
        <v>0.138</v>
      </c>
      <c r="G171" s="286">
        <f>'Driver Assumptions'!J10+IF($G$155&gt;=0,$G$155*('Driver Assumptions'!J9-'Driver Assumptions'!J10),-$G$155*('Driver Assumptions'!J11-'Driver Assumptions'!J10))</f>
        <v>0.139</v>
      </c>
      <c r="H171" s="286">
        <f>'Driver Assumptions'!K10+IF($G$155&gt;=0,$G$155*('Driver Assumptions'!K9-'Driver Assumptions'!K10),-$G$155*('Driver Assumptions'!K11-'Driver Assumptions'!K10))</f>
        <v>0.14</v>
      </c>
      <c r="I171" s="286">
        <f>'Driver Assumptions'!L10+IF($G$155&gt;=0,$G$155*('Driver Assumptions'!L9-'Driver Assumptions'!L10),-$G$155*('Driver Assumptions'!L11-'Driver Assumptions'!L10))</f>
        <v>0.14</v>
      </c>
      <c r="J171" s="286">
        <f>'Driver Assumptions'!M10+IF($G$155&gt;=0,$G$155*('Driver Assumptions'!M9-'Driver Assumptions'!M10),-$G$155*('Driver Assumptions'!M11-'Driver Assumptions'!M10))</f>
        <v>0.14</v>
      </c>
      <c r="K171" s="286">
        <f>'Driver Assumptions'!N10+IF($G$155&gt;=0,$G$155*('Driver Assumptions'!N9-'Driver Assumptions'!N10),-$G$155*('Driver Assumptions'!N11-'Driver Assumptions'!N10))</f>
        <v>0.14</v>
      </c>
      <c r="L171" s="286">
        <f>'Driver Assumptions'!O10+IF($G$155&gt;=0,$G$155*('Driver Assumptions'!O9-'Driver Assumptions'!O10),-$G$155*('Driver Assumptions'!O11-'Driver Assumptions'!O10))</f>
        <v>0.14</v>
      </c>
      <c r="M171" s="286">
        <f>'Driver Assumptions'!P10+IF($G$155&gt;=0,$G$155*('Driver Assumptions'!P9-'Driver Assumptions'!P10),-$G$155*('Driver Assumptions'!P11-'Driver Assumptions'!P10))</f>
        <v>0.14</v>
      </c>
      <c r="N171" s="4"/>
      <c r="O171" s="4"/>
      <c r="P171" s="4"/>
      <c r="Q171" s="4"/>
      <c r="R171" s="4"/>
      <c r="S171" s="4"/>
      <c r="T171" s="4"/>
      <c r="U171" s="4"/>
      <c r="V171" s="4"/>
      <c r="W171" s="4"/>
      <c r="X171" s="4"/>
      <c r="Y171" s="4"/>
      <c r="Z171" s="4"/>
      <c r="AA171" s="4"/>
      <c r="AB171" s="4"/>
      <c r="AC171" s="4"/>
      <c r="AD171" s="4"/>
      <c r="AE171" s="4"/>
      <c r="AF171" s="4"/>
      <c r="AG171" s="4"/>
      <c r="AH171" s="4"/>
    </row>
    <row r="172" ht="12.75" hidden="1" outlineLevel="1">
      <c r="A172" s="4"/>
      <c r="B172" t="s" s="4">
        <v>418</v>
      </c>
      <c r="C172" s="286">
        <f>'Driver Assumptions'!F15+IF($G$156&gt;=0,$G$156*('Driver Assumptions'!F14-'Driver Assumptions'!F15),-$G$156*('Driver Assumptions'!F16-'Driver Assumptions'!F15))</f>
        <v>0.131</v>
      </c>
      <c r="D172" s="286">
        <f>'Driver Assumptions'!G15+IF($G$156&gt;=0,$G$156*('Driver Assumptions'!G14-'Driver Assumptions'!G15),-$G$156*('Driver Assumptions'!G16-'Driver Assumptions'!G15))</f>
        <v>0.128</v>
      </c>
      <c r="E172" s="286">
        <f>'Driver Assumptions'!H15+IF($G$156&gt;=0,$G$156*('Driver Assumptions'!H14-'Driver Assumptions'!H15),-$G$156*('Driver Assumptions'!H16-'Driver Assumptions'!H15))</f>
        <v>0.124</v>
      </c>
      <c r="F172" s="286">
        <f>'Driver Assumptions'!I15+IF($G$156&gt;=0,$G$156*('Driver Assumptions'!I14-'Driver Assumptions'!I15),-$G$156*('Driver Assumptions'!I16-'Driver Assumptions'!I15))</f>
        <v>0.12</v>
      </c>
      <c r="G172" s="286">
        <f>'Driver Assumptions'!J15+IF($G$156&gt;=0,$G$156*('Driver Assumptions'!J14-'Driver Assumptions'!J15),-$G$156*('Driver Assumptions'!J16-'Driver Assumptions'!J15))</f>
        <v>0.117</v>
      </c>
      <c r="H172" s="286">
        <f>'Driver Assumptions'!K15+IF($G$156&gt;=0,$G$156*('Driver Assumptions'!K14-'Driver Assumptions'!K15),-$G$156*('Driver Assumptions'!K16-'Driver Assumptions'!K15))</f>
        <v>0.115</v>
      </c>
      <c r="I172" s="286">
        <f>'Driver Assumptions'!L15+IF($G$156&gt;=0,$G$156*('Driver Assumptions'!L14-'Driver Assumptions'!L15),-$G$156*('Driver Assumptions'!L16-'Driver Assumptions'!L15))</f>
        <v>0.115</v>
      </c>
      <c r="J172" s="286">
        <f>'Driver Assumptions'!M15+IF($G$156&gt;=0,$G$156*('Driver Assumptions'!M14-'Driver Assumptions'!M15),-$G$156*('Driver Assumptions'!M16-'Driver Assumptions'!M15))</f>
        <v>0.115</v>
      </c>
      <c r="K172" s="286">
        <f>'Driver Assumptions'!N15+IF($G$156&gt;=0,$G$156*('Driver Assumptions'!N14-'Driver Assumptions'!N15),-$G$156*('Driver Assumptions'!N16-'Driver Assumptions'!N15))</f>
        <v>0.115</v>
      </c>
      <c r="L172" s="286">
        <f>'Driver Assumptions'!O15+IF($G$156&gt;=0,$G$156*('Driver Assumptions'!O14-'Driver Assumptions'!O15),-$G$156*('Driver Assumptions'!O16-'Driver Assumptions'!O15))</f>
        <v>0.115</v>
      </c>
      <c r="M172" s="286">
        <f>'Driver Assumptions'!P15+IF($G$156&gt;=0,$G$156*('Driver Assumptions'!P14-'Driver Assumptions'!P15),-$G$156*('Driver Assumptions'!P16-'Driver Assumptions'!P15))</f>
        <v>0.115</v>
      </c>
      <c r="N172" s="4"/>
      <c r="O172" s="4"/>
      <c r="P172" s="4"/>
      <c r="Q172" s="4"/>
      <c r="R172" s="4"/>
      <c r="S172" s="4"/>
      <c r="T172" s="4"/>
      <c r="U172" s="4"/>
      <c r="V172" s="4"/>
      <c r="W172" s="4"/>
      <c r="X172" s="4"/>
      <c r="Y172" s="4"/>
      <c r="Z172" s="4"/>
      <c r="AA172" s="4"/>
      <c r="AB172" s="4"/>
      <c r="AC172" s="4"/>
      <c r="AD172" s="4"/>
      <c r="AE172" s="4"/>
      <c r="AF172" s="4"/>
      <c r="AG172" s="4"/>
      <c r="AH172" s="4"/>
    </row>
    <row r="173" ht="12.75" hidden="1" outlineLevel="1">
      <c r="A173" s="4"/>
      <c r="B173" t="s" s="4">
        <v>468</v>
      </c>
      <c r="C173" s="307">
        <f>'Driver Assumptions'!F20+IF($G$157&gt;=0,$G$157*('Driver Assumptions'!F19-'Driver Assumptions'!F20),-$G$157*('Driver Assumptions'!F21-'Driver Assumptions'!F20))</f>
        <v>18</v>
      </c>
      <c r="D173" s="307">
        <f>'Driver Assumptions'!G20+IF($G$157&gt;=0,$G$157*('Driver Assumptions'!G19-'Driver Assumptions'!G20),-$G$157*('Driver Assumptions'!G21-'Driver Assumptions'!G20))</f>
        <v>18.5</v>
      </c>
      <c r="E173" s="307">
        <f>'Driver Assumptions'!H20+IF($G$157&gt;=0,$G$157*('Driver Assumptions'!H19-'Driver Assumptions'!H20),-$G$157*('Driver Assumptions'!H21-'Driver Assumptions'!H20))</f>
        <v>19</v>
      </c>
      <c r="F173" s="307">
        <f>'Driver Assumptions'!I20+IF($G$157&gt;=0,$G$157*('Driver Assumptions'!I19-'Driver Assumptions'!I20),-$G$157*('Driver Assumptions'!I21-'Driver Assumptions'!I20))</f>
        <v>19.5</v>
      </c>
      <c r="G173" s="307">
        <f>'Driver Assumptions'!J20+IF($G$157&gt;=0,$G$157*('Driver Assumptions'!J19-'Driver Assumptions'!J20),-$G$157*('Driver Assumptions'!J21-'Driver Assumptions'!J20))</f>
        <v>20</v>
      </c>
      <c r="H173" s="307">
        <f>'Driver Assumptions'!K20+IF($G$157&gt;=0,$G$157*('Driver Assumptions'!K19-'Driver Assumptions'!K20),-$G$157*('Driver Assumptions'!K21-'Driver Assumptions'!K20))</f>
        <v>20.5</v>
      </c>
      <c r="I173" s="307">
        <f>'Driver Assumptions'!L20+IF($G$157&gt;=0,$G$157*('Driver Assumptions'!L19-'Driver Assumptions'!L20),-$G$157*('Driver Assumptions'!L21-'Driver Assumptions'!L20))</f>
        <v>20.5</v>
      </c>
      <c r="J173" s="307">
        <f>'Driver Assumptions'!M20+IF($G$157&gt;=0,$G$157*('Driver Assumptions'!M19-'Driver Assumptions'!M20),-$G$157*('Driver Assumptions'!M21-'Driver Assumptions'!M20))</f>
        <v>20.5</v>
      </c>
      <c r="K173" s="307">
        <f>'Driver Assumptions'!N20+IF($G$157&gt;=0,$G$157*('Driver Assumptions'!N19-'Driver Assumptions'!N20),-$G$157*('Driver Assumptions'!N21-'Driver Assumptions'!N20))</f>
        <v>20.5</v>
      </c>
      <c r="L173" s="307">
        <f>'Driver Assumptions'!O20+IF($G$157&gt;=0,$G$157*('Driver Assumptions'!O19-'Driver Assumptions'!O20),-$G$157*('Driver Assumptions'!O21-'Driver Assumptions'!O20))</f>
        <v>20.5</v>
      </c>
      <c r="M173" s="307">
        <f>'Driver Assumptions'!P20+IF($G$157&gt;=0,$G$157*('Driver Assumptions'!P19-'Driver Assumptions'!P20),-$G$157*('Driver Assumptions'!P21-'Driver Assumptions'!P20))</f>
        <v>20.5</v>
      </c>
      <c r="N173" s="4"/>
      <c r="O173" s="4"/>
      <c r="P173" s="4"/>
      <c r="Q173" s="4"/>
      <c r="R173" s="4"/>
      <c r="S173" s="4"/>
      <c r="T173" s="4"/>
      <c r="U173" s="4"/>
      <c r="V173" s="4"/>
      <c r="W173" s="4"/>
      <c r="X173" s="4"/>
      <c r="Y173" s="4"/>
      <c r="Z173" s="4"/>
      <c r="AA173" s="4"/>
      <c r="AB173" s="4"/>
      <c r="AC173" s="4"/>
      <c r="AD173" s="4"/>
      <c r="AE173" s="4"/>
      <c r="AF173" s="4"/>
      <c r="AG173" s="4"/>
      <c r="AH173" s="4"/>
    </row>
    <row r="174" ht="12.75" hidden="1" outlineLevel="1">
      <c r="A174" s="4"/>
      <c r="B174" t="s" s="4">
        <v>420</v>
      </c>
      <c r="C174" s="286">
        <f>'Driver Assumptions'!F25+IF($G$158&gt;=0,$G$158*('Driver Assumptions'!F24-'Driver Assumptions'!F25),-$G$158*('Driver Assumptions'!F26-'Driver Assumptions'!F25))</f>
        <v>0.145</v>
      </c>
      <c r="D174" s="286">
        <f>'Driver Assumptions'!G25+IF($G$158&gt;=0,$G$158*('Driver Assumptions'!G24-'Driver Assumptions'!G25),-$G$158*('Driver Assumptions'!G26-'Driver Assumptions'!G25))</f>
        <v>0.14</v>
      </c>
      <c r="E174" s="286">
        <f>'Driver Assumptions'!H25+IF($G$158&gt;=0,$G$158*('Driver Assumptions'!H24-'Driver Assumptions'!H25),-$G$158*('Driver Assumptions'!H26-'Driver Assumptions'!H25))</f>
        <v>0.135</v>
      </c>
      <c r="F174" s="286">
        <f>'Driver Assumptions'!I25+IF($G$158&gt;=0,$G$158*('Driver Assumptions'!I24-'Driver Assumptions'!I25),-$G$158*('Driver Assumptions'!I26-'Driver Assumptions'!I25))</f>
        <v>0.13</v>
      </c>
      <c r="G174" s="286">
        <f>'Driver Assumptions'!J25+IF($G$158&gt;=0,$G$158*('Driver Assumptions'!J24-'Driver Assumptions'!J25),-$G$158*('Driver Assumptions'!J26-'Driver Assumptions'!J25))</f>
        <v>0.125</v>
      </c>
      <c r="H174" s="286">
        <f>'Driver Assumptions'!K25+IF($G$158&gt;=0,$G$158*('Driver Assumptions'!K24-'Driver Assumptions'!K25),-$G$158*('Driver Assumptions'!K26-'Driver Assumptions'!K25))</f>
        <v>0.12</v>
      </c>
      <c r="I174" s="286">
        <f>'Driver Assumptions'!L25+IF($G$158&gt;=0,$G$158*('Driver Assumptions'!L24-'Driver Assumptions'!L25),-$G$158*('Driver Assumptions'!L26-'Driver Assumptions'!L25))</f>
        <v>0.12</v>
      </c>
      <c r="J174" s="286">
        <f>'Driver Assumptions'!M25+IF($G$158&gt;=0,$G$158*('Driver Assumptions'!M24-'Driver Assumptions'!M25),-$G$158*('Driver Assumptions'!M26-'Driver Assumptions'!M25))</f>
        <v>0.12</v>
      </c>
      <c r="K174" s="286">
        <f>'Driver Assumptions'!N25+IF($G$158&gt;=0,$G$158*('Driver Assumptions'!N24-'Driver Assumptions'!N25),-$G$158*('Driver Assumptions'!N26-'Driver Assumptions'!N25))</f>
        <v>0.12</v>
      </c>
      <c r="L174" s="286">
        <f>'Driver Assumptions'!O25+IF($G$158&gt;=0,$G$158*('Driver Assumptions'!O24-'Driver Assumptions'!O25),-$G$158*('Driver Assumptions'!O26-'Driver Assumptions'!O25))</f>
        <v>0.12</v>
      </c>
      <c r="M174" s="286">
        <f>'Driver Assumptions'!P25+IF($G$158&gt;=0,$G$158*('Driver Assumptions'!P24-'Driver Assumptions'!P25),-$G$158*('Driver Assumptions'!P26-'Driver Assumptions'!P25))</f>
        <v>0.12</v>
      </c>
      <c r="N174" s="4"/>
      <c r="O174" s="4"/>
      <c r="P174" s="4"/>
      <c r="Q174" s="4"/>
      <c r="R174" s="4"/>
      <c r="S174" s="4"/>
      <c r="T174" s="4"/>
      <c r="U174" s="4"/>
      <c r="V174" s="4"/>
      <c r="W174" s="4"/>
      <c r="X174" s="4"/>
      <c r="Y174" s="4"/>
      <c r="Z174" s="4"/>
      <c r="AA174" s="4"/>
      <c r="AB174" s="4"/>
      <c r="AC174" s="4"/>
      <c r="AD174" s="4"/>
      <c r="AE174" s="4"/>
      <c r="AF174" s="4"/>
      <c r="AG174" s="4"/>
      <c r="AH174" s="4"/>
    </row>
    <row r="175" ht="12.75" hidden="1" outlineLevel="1">
      <c r="A175" s="4"/>
      <c r="B175" t="s" s="4">
        <v>419</v>
      </c>
      <c r="C175" s="286">
        <f>'Driver Assumptions'!F30+IF($G$159&gt;=0,$G$159*('Driver Assumptions'!F29-'Driver Assumptions'!F30),-$G$159*('Driver Assumptions'!F31-'Driver Assumptions'!F30))</f>
        <v>0.285</v>
      </c>
      <c r="D175" s="286">
        <f>'Driver Assumptions'!G30+IF($G$159&gt;=0,$G$159*('Driver Assumptions'!G29-'Driver Assumptions'!G30),-$G$159*('Driver Assumptions'!G31-'Driver Assumptions'!G30))</f>
        <v>0.275</v>
      </c>
      <c r="E175" s="286">
        <f>'Driver Assumptions'!H30+IF($G$159&gt;=0,$G$159*('Driver Assumptions'!H29-'Driver Assumptions'!H30),-$G$159*('Driver Assumptions'!H31-'Driver Assumptions'!H30))</f>
        <v>0.265</v>
      </c>
      <c r="F175" s="286">
        <f>'Driver Assumptions'!I30+IF($G$159&gt;=0,$G$159*('Driver Assumptions'!I29-'Driver Assumptions'!I30),-$G$159*('Driver Assumptions'!I31-'Driver Assumptions'!I30))</f>
        <v>0.255</v>
      </c>
      <c r="G175" s="286">
        <f>'Driver Assumptions'!J30+IF($G$159&gt;=0,$G$159*('Driver Assumptions'!J29-'Driver Assumptions'!J30),-$G$159*('Driver Assumptions'!J31-'Driver Assumptions'!J30))</f>
        <v>0.248</v>
      </c>
      <c r="H175" s="286">
        <f>'Driver Assumptions'!K30+IF($G$159&gt;=0,$G$159*('Driver Assumptions'!K29-'Driver Assumptions'!K30),-$G$159*('Driver Assumptions'!K31-'Driver Assumptions'!K30))</f>
        <v>0.242</v>
      </c>
      <c r="I175" s="286">
        <f>'Driver Assumptions'!L30+IF($G$159&gt;=0,$G$159*('Driver Assumptions'!L29-'Driver Assumptions'!L30),-$G$159*('Driver Assumptions'!L31-'Driver Assumptions'!L30))</f>
        <v>0.242</v>
      </c>
      <c r="J175" s="286">
        <f>'Driver Assumptions'!M30+IF($G$159&gt;=0,$G$159*('Driver Assumptions'!M29-'Driver Assumptions'!M30),-$G$159*('Driver Assumptions'!M31-'Driver Assumptions'!M30))</f>
        <v>0.242</v>
      </c>
      <c r="K175" s="286">
        <f>'Driver Assumptions'!N30+IF($G$159&gt;=0,$G$159*('Driver Assumptions'!N29-'Driver Assumptions'!N30),-$G$159*('Driver Assumptions'!N31-'Driver Assumptions'!N30))</f>
        <v>0.242</v>
      </c>
      <c r="L175" s="286">
        <f>'Driver Assumptions'!O30+IF($G$159&gt;=0,$G$159*('Driver Assumptions'!O29-'Driver Assumptions'!O30),-$G$159*('Driver Assumptions'!O31-'Driver Assumptions'!O30))</f>
        <v>0.242</v>
      </c>
      <c r="M175" s="286">
        <f>'Driver Assumptions'!P30+IF($G$159&gt;=0,$G$159*('Driver Assumptions'!P29-'Driver Assumptions'!P30),-$G$159*('Driver Assumptions'!P31-'Driver Assumptions'!P30))</f>
        <v>0.242</v>
      </c>
      <c r="N175" s="4"/>
      <c r="O175" s="4"/>
      <c r="P175" s="4"/>
      <c r="Q175" s="4"/>
      <c r="R175" s="4"/>
      <c r="S175" s="4"/>
      <c r="T175" s="4"/>
      <c r="U175" s="4"/>
      <c r="V175" s="4"/>
      <c r="W175" s="4"/>
      <c r="X175" s="4"/>
      <c r="Y175" s="4"/>
      <c r="Z175" s="4"/>
      <c r="AA175" s="4"/>
      <c r="AB175" s="4"/>
      <c r="AC175" s="4"/>
      <c r="AD175" s="4"/>
      <c r="AE175" s="4"/>
      <c r="AF175" s="4"/>
      <c r="AG175" s="4"/>
      <c r="AH175" s="4"/>
    </row>
    <row r="176" ht="12.75" hidden="1" outlineLevel="1">
      <c r="A176" s="4"/>
      <c r="B176" t="s" s="4">
        <v>469</v>
      </c>
      <c r="C176" s="307">
        <f>'Driver Assumptions'!F35+IF($G$160&gt;=0,$G$160*('Driver Assumptions'!F34-'Driver Assumptions'!F35),-$G$160*('Driver Assumptions'!F36-'Driver Assumptions'!F35))</f>
        <v>24</v>
      </c>
      <c r="D176" s="307">
        <f>'Driver Assumptions'!G35+IF($G$160&gt;=0,$G$160*('Driver Assumptions'!G34-'Driver Assumptions'!G35),-$G$160*('Driver Assumptions'!G36-'Driver Assumptions'!G35))</f>
        <v>23.5</v>
      </c>
      <c r="E176" s="307">
        <f>'Driver Assumptions'!H35+IF($G$160&gt;=0,$G$160*('Driver Assumptions'!H34-'Driver Assumptions'!H35),-$G$160*('Driver Assumptions'!H36-'Driver Assumptions'!H35))</f>
        <v>23</v>
      </c>
      <c r="F176" s="307">
        <f>'Driver Assumptions'!I35+IF($G$160&gt;=0,$G$160*('Driver Assumptions'!I34-'Driver Assumptions'!I35),-$G$160*('Driver Assumptions'!I36-'Driver Assumptions'!I35))</f>
        <v>22.8</v>
      </c>
      <c r="G176" s="307">
        <f>'Driver Assumptions'!J35+IF($G$160&gt;=0,$G$160*('Driver Assumptions'!J34-'Driver Assumptions'!J35),-$G$160*('Driver Assumptions'!J36-'Driver Assumptions'!J35))</f>
        <v>22.5</v>
      </c>
      <c r="H176" s="307">
        <f>'Driver Assumptions'!K35+IF($G$160&gt;=0,$G$160*('Driver Assumptions'!K34-'Driver Assumptions'!K35),-$G$160*('Driver Assumptions'!K36-'Driver Assumptions'!K35))</f>
        <v>22.2</v>
      </c>
      <c r="I176" s="307">
        <f>'Driver Assumptions'!L35+IF($G$160&gt;=0,$G$160*('Driver Assumptions'!L34-'Driver Assumptions'!L35),-$G$160*('Driver Assumptions'!L36-'Driver Assumptions'!L35))</f>
        <v>22.2</v>
      </c>
      <c r="J176" s="307">
        <f>'Driver Assumptions'!M35+IF($G$160&gt;=0,$G$160*('Driver Assumptions'!M34-'Driver Assumptions'!M35),-$G$160*('Driver Assumptions'!M36-'Driver Assumptions'!M35))</f>
        <v>22.2</v>
      </c>
      <c r="K176" s="307">
        <f>'Driver Assumptions'!N35+IF($G$160&gt;=0,$G$160*('Driver Assumptions'!N34-'Driver Assumptions'!N35),-$G$160*('Driver Assumptions'!N36-'Driver Assumptions'!N35))</f>
        <v>22.2</v>
      </c>
      <c r="L176" s="307">
        <f>'Driver Assumptions'!O35+IF($G$160&gt;=0,$G$160*('Driver Assumptions'!O34-'Driver Assumptions'!O35),-$G$160*('Driver Assumptions'!O36-'Driver Assumptions'!O35))</f>
        <v>22.2</v>
      </c>
      <c r="M176" s="307">
        <f>'Driver Assumptions'!P35+IF($G$160&gt;=0,$G$160*('Driver Assumptions'!P34-'Driver Assumptions'!P35),-$G$160*('Driver Assumptions'!P36-'Driver Assumptions'!P35))</f>
        <v>22.2</v>
      </c>
      <c r="N176" s="4"/>
      <c r="O176" s="4"/>
      <c r="P176" s="4"/>
      <c r="Q176" s="4"/>
      <c r="R176" s="4"/>
      <c r="S176" s="4"/>
      <c r="T176" s="4"/>
      <c r="U176" s="4"/>
      <c r="V176" s="4"/>
      <c r="W176" s="4"/>
      <c r="X176" s="4"/>
      <c r="Y176" s="4"/>
      <c r="Z176" s="4"/>
      <c r="AA176" s="4"/>
      <c r="AB176" s="4"/>
      <c r="AC176" s="4"/>
      <c r="AD176" s="4"/>
      <c r="AE176" s="4"/>
      <c r="AF176" s="4"/>
      <c r="AG176" s="4"/>
      <c r="AH176" s="4"/>
    </row>
    <row r="177" ht="12.75" hidden="1" outlineLevel="1">
      <c r="A177" s="4"/>
      <c r="B177" t="s" s="4">
        <v>417</v>
      </c>
      <c r="C177" s="287">
        <f>$J$18+$G$161*($E$18-$J$18)</f>
        <v>6</v>
      </c>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row>
    <row r="178" ht="12.75" hidden="1" outlineLevel="1">
      <c r="A178" s="4"/>
      <c r="B178" t="s" s="4">
        <v>430</v>
      </c>
      <c r="C178" s="298">
        <f>$J$20+$G$162*($E$20-$J$20)</f>
        <v>10</v>
      </c>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row>
    <row r="179" ht="12.75" hidden="1" outlineLevel="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row>
    <row r="180" ht="12.75" hidden="1" outlineLevel="1">
      <c r="A180" s="4"/>
      <c r="B180" t="s" s="16">
        <v>479</v>
      </c>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row>
    <row r="181" ht="12.75" hidden="1" outlineLevel="1">
      <c r="A181" s="4"/>
      <c r="B181" t="s" s="4">
        <v>480</v>
      </c>
      <c r="C181" t="s" s="4">
        <v>71</v>
      </c>
      <c r="D181" t="s" s="4">
        <v>72</v>
      </c>
      <c r="E181" t="s" s="4">
        <v>481</v>
      </c>
      <c r="F181" t="s" s="4">
        <v>482</v>
      </c>
      <c r="G181" t="s" s="4">
        <v>483</v>
      </c>
      <c r="H181" t="s" s="4">
        <v>484</v>
      </c>
      <c r="I181" t="s" s="4">
        <v>485</v>
      </c>
      <c r="J181" t="s" s="4">
        <v>486</v>
      </c>
      <c r="K181" t="s" s="4">
        <v>487</v>
      </c>
      <c r="L181" t="s" s="4">
        <v>488</v>
      </c>
      <c r="M181" t="s" s="4">
        <v>489</v>
      </c>
      <c r="N181" s="4"/>
      <c r="O181" s="4"/>
      <c r="P181" s="4"/>
      <c r="Q181" s="4"/>
      <c r="R181" s="4"/>
      <c r="S181" s="4"/>
      <c r="T181" s="4"/>
      <c r="U181" s="4"/>
      <c r="V181" s="4"/>
      <c r="W181" s="4"/>
      <c r="X181" s="4"/>
      <c r="Y181" s="4"/>
      <c r="Z181" s="4"/>
      <c r="AA181" s="4"/>
      <c r="AB181" s="4"/>
      <c r="AC181" s="4"/>
      <c r="AD181" s="4"/>
      <c r="AE181" s="4"/>
      <c r="AF181" s="4"/>
      <c r="AG181" s="4"/>
      <c r="AH181" s="4"/>
    </row>
    <row r="182" ht="12.75" hidden="1" outlineLevel="1">
      <c r="A182" s="4"/>
      <c r="B182" s="4"/>
      <c r="C182" s="187">
        <f>$C$166</f>
        <v>0.211735490955125</v>
      </c>
      <c r="D182" s="190">
        <f>$C$167</f>
        <v>2.6123967897992326</v>
      </c>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row>
    <row r="183" ht="12.75" hidden="1" outlineLevel="1">
      <c r="A183" s="4"/>
      <c r="B183" s="4">
        <f>ROW()-ROW($B$182)</f>
        <v>1</v>
      </c>
      <c r="C183" s="187">
        <f t="dataTable" ref="C183:D310" r1="C164"/>
        <v>0.211735490955125</v>
      </c>
      <c r="D183" s="190">
        <v>2.6123967897992326</v>
      </c>
      <c r="E183" s="4">
        <f>MOD(B183-1,64)</f>
        <v>0</v>
      </c>
      <c r="F183" s="4">
        <f>IF(B183&lt;=64,1,2)</f>
        <v>1</v>
      </c>
      <c r="G183" s="4">
        <f>SUMPRODUCT(MOD(INT(E183/2^({0,1,2,3,4,5})),2))</f>
        <v>0</v>
      </c>
      <c r="H183" s="316">
        <f>IF(MOD(INT($E183/2^0),2)=1,0,FACT($G183)*FACT(5-$G183)/FACT(6)*IF($F183=1,1,-1)*($C183-INDEX($C$183:$C$310,$B183+2^0)))</f>
        <v>0.0033388287957639706</v>
      </c>
      <c r="I183" s="316">
        <f>IF(MOD(INT($E183/2^1),2)=1,0,FACT($G183)*FACT(5-$G183)/FACT(6)*IF($F183=1,1,-1)*($C183-INDEX($C$183:$C$310,$B183+2^1)))</f>
        <v>0.005655037316493305</v>
      </c>
      <c r="J183" s="316">
        <f>IF(MOD(INT($E183/2^2),2)=1,0,FACT($G183)*FACT(5-$G183)/FACT(6)*IF($F183=1,1,-1)*($C183-INDEX($C$183:$C$310,$B183+2^2)))</f>
        <v>0.001746471574444482</v>
      </c>
      <c r="K183" s="316">
        <f>IF(MOD(INT($E183/2^3),2)=1,0,FACT($G183)*FACT(5-$G183)/FACT(6)*IF($F183=1,1,-1)*($C183-INDEX($C$183:$C$310,$B183+2^3)))</f>
        <v>0.0036554015991673294</v>
      </c>
      <c r="L183" s="316">
        <f>IF(MOD(INT($E183/2^4),2)=1,0,FACT($G183)*FACT(5-$G183)/FACT(6)*IF($F183=1,1,-1)*($C183-INDEX($C$183:$C$310,$B183+2^4)))</f>
        <v>0.008638884117731727</v>
      </c>
      <c r="M183" s="316">
        <f>IF(MOD(INT($E183/2^5),2)=1,0,FACT($G183)*FACT(5-$G183)/FACT(6)*IF($F183=1,1,-1)*($C183-INDEX($C$183:$C$310,$B183+2^5)))</f>
        <v>0.00300018381299616</v>
      </c>
      <c r="N183" s="4"/>
      <c r="O183" s="4"/>
      <c r="P183" s="4"/>
      <c r="Q183" s="4"/>
      <c r="R183" s="4"/>
      <c r="S183" s="4"/>
      <c r="T183" s="4"/>
      <c r="U183" s="4"/>
      <c r="V183" s="4"/>
      <c r="W183" s="4"/>
      <c r="X183" s="4"/>
      <c r="Y183" s="4"/>
      <c r="Z183" s="4"/>
      <c r="AA183" s="4"/>
      <c r="AB183" s="4"/>
      <c r="AC183" s="4"/>
      <c r="AD183" s="4"/>
      <c r="AE183" s="4"/>
      <c r="AF183" s="4"/>
      <c r="AG183" s="4"/>
      <c r="AH183" s="4"/>
    </row>
    <row r="184" ht="12.75" hidden="1" outlineLevel="1">
      <c r="A184" s="4"/>
      <c r="B184" s="4">
        <f>ROW()-ROW($B$182)</f>
        <v>2</v>
      </c>
      <c r="C184" s="187">
        <v>0.19170251818054118</v>
      </c>
      <c r="D184" s="190">
        <v>2.4034732076306495</v>
      </c>
      <c r="E184" s="4">
        <f>MOD(B184-1,64)</f>
        <v>1</v>
      </c>
      <c r="F184" s="4">
        <f>IF(B184&lt;=64,1,2)</f>
        <v>1</v>
      </c>
      <c r="G184" s="4">
        <f>SUMPRODUCT(MOD(INT(E184/2^({0,1,2,3,4,5})),2))</f>
        <v>1</v>
      </c>
      <c r="H184" s="316">
        <f>IF(MOD(INT($E184/2^0),2)=1,0,FACT($G184)*FACT(5-$G184)/FACT(6)*IF($F184=1,1,-1)*($C184-INDEX($C$183:$C$310,$B184+2^0)))</f>
        <v>0</v>
      </c>
      <c r="I184" s="316">
        <f>IF(MOD(INT($E184/2^1),2)=1,0,FACT($G184)*FACT(5-$G184)/FACT(6)*IF($F184=1,1,-1)*($C184-INDEX($C$183:$C$310,$B184+2^1)))</f>
        <v>0.0011665155083451894</v>
      </c>
      <c r="J184" s="316">
        <f>IF(MOD(INT($E184/2^2),2)=1,0,FACT($G184)*FACT(5-$G184)/FACT(6)*IF($F184=1,1,-1)*($C184-INDEX($C$183:$C$310,$B184+2^2)))</f>
        <v>0.0003198842570041549</v>
      </c>
      <c r="K184" s="316">
        <f>IF(MOD(INT($E184/2^3),2)=1,0,FACT($G184)*FACT(5-$G184)/FACT(6)*IF($F184=1,1,-1)*($C184-INDEX($C$183:$C$310,$B184+2^3)))</f>
        <v>0.0007483927081844311</v>
      </c>
      <c r="L184" s="316">
        <f>IF(MOD(INT($E184/2^4),2)=1,0,FACT($G184)*FACT(5-$G184)/FACT(6)*IF($F184=1,1,-1)*($C184-INDEX($C$183:$C$310,$B184+2^4)))</f>
        <v>0.0017352759581243864</v>
      </c>
      <c r="M184" s="316">
        <f>IF(MOD(INT($E184/2^5),2)=1,0,FACT($G184)*FACT(5-$G184)/FACT(6)*IF($F184=1,1,-1)*($C184-INDEX($C$183:$C$310,$B184+2^5)))</f>
        <v>0.0005677497342685189</v>
      </c>
      <c r="N184" s="4"/>
      <c r="O184" s="4"/>
      <c r="P184" s="4"/>
      <c r="Q184" s="4"/>
      <c r="R184" s="4"/>
      <c r="S184" s="4"/>
      <c r="T184" s="4"/>
      <c r="U184" s="4"/>
      <c r="V184" s="4"/>
      <c r="W184" s="4"/>
      <c r="X184" s="4"/>
      <c r="Y184" s="4"/>
      <c r="Z184" s="4"/>
      <c r="AA184" s="4"/>
      <c r="AB184" s="4"/>
      <c r="AC184" s="4"/>
      <c r="AD184" s="4"/>
      <c r="AE184" s="4"/>
      <c r="AF184" s="4"/>
      <c r="AG184" s="4"/>
      <c r="AH184" s="4"/>
    </row>
    <row r="185" ht="12.75" hidden="1" outlineLevel="1">
      <c r="A185" s="4"/>
      <c r="B185" s="4">
        <f>ROW()-ROW($B$182)</f>
        <v>3</v>
      </c>
      <c r="C185" s="187">
        <v>0.17780526705616517</v>
      </c>
      <c r="D185" s="190">
        <v>2.266561255064353</v>
      </c>
      <c r="E185" s="4">
        <f>MOD(B185-1,64)</f>
        <v>2</v>
      </c>
      <c r="F185" s="4">
        <f>IF(B185&lt;=64,1,2)</f>
        <v>1</v>
      </c>
      <c r="G185" s="4">
        <f>SUMPRODUCT(MOD(INT(E185/2^({0,1,2,3,4,5})),2))</f>
        <v>1</v>
      </c>
      <c r="H185" s="316">
        <f>IF(MOD(INT($E185/2^0),2)=1,0,FACT($G185)*FACT(5-$G185)/FACT(6)*IF($F185=1,1,-1)*($C185-INDEX($C$183:$C$310,$B185+2^0)))</f>
        <v>0.0007032738041993225</v>
      </c>
      <c r="I185" s="316">
        <f>IF(MOD(INT($E185/2^1),2)=1,0,FACT($G185)*FACT(5-$G185)/FACT(6)*IF($F185=1,1,-1)*($C185-INDEX($C$183:$C$310,$B185+2^1)))</f>
        <v>0</v>
      </c>
      <c r="J185" s="316">
        <f>IF(MOD(INT($E185/2^2),2)=1,0,FACT($G185)*FACT(5-$G185)/FACT(6)*IF($F185=1,1,-1)*($C185-INDEX($C$183:$C$310,$B185+2^2)))</f>
        <v>0.0003732118288825618</v>
      </c>
      <c r="K185" s="316">
        <f>IF(MOD(INT($E185/2^3),2)=1,0,FACT($G185)*FACT(5-$G185)/FACT(6)*IF($F185=1,1,-1)*($C185-INDEX($C$183:$C$310,$B185+2^3)))</f>
        <v>0.0007716318838442296</v>
      </c>
      <c r="L185" s="316">
        <f>IF(MOD(INT($E185/2^4),2)=1,0,FACT($G185)*FACT(5-$G185)/FACT(6)*IF($F185=1,1,-1)*($C185-INDEX($C$183:$C$310,$B185+2^4)))</f>
        <v>0.0018385484245908579</v>
      </c>
      <c r="M185" s="316">
        <f>IF(MOD(INT($E185/2^5),2)=1,0,FACT($G185)*FACT(5-$G185)/FACT(6)*IF($F185=1,1,-1)*($C185-INDEX($C$183:$C$310,$B185+2^5)))</f>
        <v>0.0006547179639840787</v>
      </c>
      <c r="N185" s="4"/>
      <c r="O185" s="4"/>
      <c r="P185" s="4"/>
      <c r="Q185" s="4"/>
      <c r="R185" s="4"/>
      <c r="S185" s="4"/>
      <c r="T185" s="4"/>
      <c r="U185" s="4"/>
      <c r="V185" s="4"/>
      <c r="W185" s="4"/>
      <c r="X185" s="4"/>
      <c r="Y185" s="4"/>
      <c r="Z185" s="4"/>
      <c r="AA185" s="4"/>
      <c r="AB185" s="4"/>
      <c r="AC185" s="4"/>
      <c r="AD185" s="4"/>
      <c r="AE185" s="4"/>
      <c r="AF185" s="4"/>
      <c r="AG185" s="4"/>
      <c r="AH185" s="4"/>
    </row>
    <row r="186" ht="12.75" hidden="1" outlineLevel="1">
      <c r="A186" s="4"/>
      <c r="B186" s="4">
        <f>ROW()-ROW($B$182)</f>
        <v>4</v>
      </c>
      <c r="C186" s="187">
        <v>0.1567070529301855</v>
      </c>
      <c r="D186" s="190">
        <v>2.0706987356962734</v>
      </c>
      <c r="E186" s="4">
        <f>MOD(B186-1,64)</f>
        <v>3</v>
      </c>
      <c r="F186" s="4">
        <f>IF(B186&lt;=64,1,2)</f>
        <v>1</v>
      </c>
      <c r="G186" s="4">
        <f>SUMPRODUCT(MOD(INT(E186/2^({0,1,2,3,4,5})),2))</f>
        <v>2</v>
      </c>
      <c r="H186" s="316">
        <f>IF(MOD(INT($E186/2^0),2)=1,0,FACT($G186)*FACT(5-$G186)/FACT(6)*IF($F186=1,1,-1)*($C186-INDEX($C$183:$C$310,$B186+2^0)))</f>
        <v>0</v>
      </c>
      <c r="I186" s="316">
        <f>IF(MOD(INT($E186/2^1),2)=1,0,FACT($G186)*FACT(5-$G186)/FACT(6)*IF($F186=1,1,-1)*($C186-INDEX($C$183:$C$310,$B186+2^1)))</f>
        <v>0</v>
      </c>
      <c r="J186" s="316">
        <f>IF(MOD(INT($E186/2^2),2)=1,0,FACT($G186)*FACT(5-$G186)/FACT(6)*IF($F186=1,1,-1)*($C186-INDEX($C$183:$C$310,$B186+2^2)))</f>
        <v>0.00017188271517747748</v>
      </c>
      <c r="K186" s="316">
        <f>IF(MOD(INT($E186/2^3),2)=1,0,FACT($G186)*FACT(5-$G186)/FACT(6)*IF($F186=1,1,-1)*($C186-INDEX($C$183:$C$310,$B186+2^3)))</f>
        <v>0.0003971709212930589</v>
      </c>
      <c r="L186" s="316">
        <f>IF(MOD(INT($E186/2^4),2)=1,0,FACT($G186)*FACT(5-$G186)/FACT(6)*IF($F186=1,1,-1)*($C186-INDEX($C$183:$C$310,$B186+2^4)))</f>
        <v>0.0009288171424947385</v>
      </c>
      <c r="M186" s="316">
        <f>IF(MOD(INT($E186/2^5),2)=1,0,FACT($G186)*FACT(5-$G186)/FACT(6)*IF($F186=1,1,-1)*($C186-INDEX($C$183:$C$310,$B186+2^5)))</f>
        <v>0.0003117064580668849</v>
      </c>
      <c r="N186" s="4"/>
      <c r="O186" s="4"/>
      <c r="P186" s="4"/>
      <c r="Q186" s="4"/>
      <c r="R186" s="4"/>
      <c r="S186" s="4"/>
      <c r="T186" s="4"/>
      <c r="U186" s="4"/>
      <c r="V186" s="4"/>
      <c r="W186" s="4"/>
      <c r="X186" s="4"/>
      <c r="Y186" s="4"/>
      <c r="Z186" s="4"/>
      <c r="AA186" s="4"/>
      <c r="AB186" s="4"/>
      <c r="AC186" s="4"/>
      <c r="AD186" s="4"/>
      <c r="AE186" s="4"/>
      <c r="AF186" s="4"/>
      <c r="AG186" s="4"/>
      <c r="AH186" s="4"/>
    </row>
    <row r="187" ht="12.75" hidden="1" outlineLevel="1">
      <c r="A187" s="4"/>
      <c r="B187" s="4">
        <f>ROW()-ROW($B$182)</f>
        <v>5</v>
      </c>
      <c r="C187" s="187">
        <v>0.2012566615084581</v>
      </c>
      <c r="D187" s="190">
        <v>2.501376383655689</v>
      </c>
      <c r="E187" s="4">
        <f>MOD(B187-1,64)</f>
        <v>4</v>
      </c>
      <c r="F187" s="4">
        <f>IF(B187&lt;=64,1,2)</f>
        <v>1</v>
      </c>
      <c r="G187" s="4">
        <f>SUMPRODUCT(MOD(INT(E187/2^({0,1,2,3,4,5})),2))</f>
        <v>1</v>
      </c>
      <c r="H187" s="316">
        <f>IF(MOD(INT($E187/2^0),2)=1,0,FACT($G187)*FACT(5-$G187)/FACT(6)*IF($F187=1,1,-1)*($C187-INDEX($C$183:$C$310,$B187+2^0)))</f>
        <v>0.0006383557012680526</v>
      </c>
      <c r="I187" s="316">
        <f>IF(MOD(INT($E187/2^1),2)=1,0,FACT($G187)*FACT(5-$G187)/FACT(6)*IF($F187=1,1,-1)*($C187-INDEX($C$183:$C$310,$B187+2^1)))</f>
        <v>0.0011549249772923264</v>
      </c>
      <c r="J187" s="316">
        <f>IF(MOD(INT($E187/2^2),2)=1,0,FACT($G187)*FACT(5-$G187)/FACT(6)*IF($F187=1,1,-1)*($C187-INDEX($C$183:$C$310,$B187+2^2)))</f>
        <v>0</v>
      </c>
      <c r="K187" s="316">
        <f>IF(MOD(INT($E187/2^3),2)=1,0,FACT($G187)*FACT(5-$G187)/FACT(6)*IF($F187=1,1,-1)*($C187-INDEX($C$183:$C$310,$B187+2^3)))</f>
        <v>0.0007581903574898962</v>
      </c>
      <c r="L187" s="316">
        <f>IF(MOD(INT($E187/2^4),2)=1,0,FACT($G187)*FACT(5-$G187)/FACT(6)*IF($F187=1,1,-1)*($C187-INDEX($C$183:$C$310,$B187+2^4)))</f>
        <v>0.001737203486010297</v>
      </c>
      <c r="M187" s="316">
        <f>IF(MOD(INT($E187/2^5),2)=1,0,FACT($G187)*FACT(5-$G187)/FACT(6)*IF($F187=1,1,-1)*($C187-INDEX($C$183:$C$310,$B187+2^5)))</f>
        <v>0.0006220953006883227</v>
      </c>
      <c r="N187" s="4"/>
      <c r="O187" s="4"/>
      <c r="P187" s="4"/>
      <c r="Q187" s="4"/>
      <c r="R187" s="4"/>
      <c r="S187" s="4"/>
      <c r="T187" s="4"/>
      <c r="U187" s="4"/>
      <c r="V187" s="4"/>
      <c r="W187" s="4"/>
      <c r="X187" s="4"/>
      <c r="Y187" s="4"/>
      <c r="Z187" s="4"/>
      <c r="AA187" s="4"/>
      <c r="AB187" s="4"/>
      <c r="AC187" s="4"/>
      <c r="AD187" s="4"/>
      <c r="AE187" s="4"/>
      <c r="AF187" s="4"/>
      <c r="AG187" s="4"/>
      <c r="AH187" s="4"/>
    </row>
    <row r="188" ht="12.75" hidden="1" outlineLevel="1">
      <c r="A188" s="4"/>
      <c r="B188" s="4">
        <f>ROW()-ROW($B$182)</f>
        <v>6</v>
      </c>
      <c r="C188" s="187">
        <v>0.18210599047041653</v>
      </c>
      <c r="D188" s="190">
        <v>2.30824599609429</v>
      </c>
      <c r="E188" s="4">
        <f>MOD(B188-1,64)</f>
        <v>5</v>
      </c>
      <c r="F188" s="4">
        <f>IF(B188&lt;=64,1,2)</f>
        <v>1</v>
      </c>
      <c r="G188" s="4">
        <f>SUMPRODUCT(MOD(INT(E188/2^({0,1,2,3,4,5})),2))</f>
        <v>2</v>
      </c>
      <c r="H188" s="316">
        <f>IF(MOD(INT($E188/2^0),2)=1,0,FACT($G188)*FACT(5-$G188)/FACT(6)*IF($F188=1,1,-1)*($C188-INDEX($C$183:$C$310,$B188+2^0)))</f>
        <v>0</v>
      </c>
      <c r="I188" s="316">
        <f>IF(MOD(INT($E188/2^1),2)=1,0,FACT($G188)*FACT(5-$G188)/FACT(6)*IF($F188=1,1,-1)*($C188-INDEX($C$183:$C$310,$B188+2^1)))</f>
        <v>0.0005951983408479947</v>
      </c>
      <c r="J188" s="316">
        <f>IF(MOD(INT($E188/2^2),2)=1,0,FACT($G188)*FACT(5-$G188)/FACT(6)*IF($F188=1,1,-1)*($C188-INDEX($C$183:$C$310,$B188+2^2)))</f>
        <v>0</v>
      </c>
      <c r="K188" s="316">
        <f>IF(MOD(INT($E188/2^3),2)=1,0,FACT($G188)*FACT(5-$G188)/FACT(6)*IF($F188=1,1,-1)*($C188-INDEX($C$183:$C$310,$B188+2^3)))</f>
        <v>0.00038712201978939874</v>
      </c>
      <c r="L188" s="316">
        <f>IF(MOD(INT($E188/2^4),2)=1,0,FACT($G188)*FACT(5-$G188)/FACT(6)*IF($F188=1,1,-1)*($C188-INDEX($C$183:$C$310,$B188+2^4)))</f>
        <v>0.000872794759568618</v>
      </c>
      <c r="M188" s="316">
        <f>IF(MOD(INT($E188/2^5),2)=1,0,FACT($G188)*FACT(5-$G188)/FACT(6)*IF($F188=1,1,-1)*($C188-INDEX($C$183:$C$310,$B188+2^5)))</f>
        <v>0.00029356246109366973</v>
      </c>
      <c r="N188" s="4"/>
      <c r="O188" s="4"/>
      <c r="P188" s="4"/>
      <c r="Q188" s="4"/>
      <c r="R188" s="4"/>
      <c r="S188" s="4"/>
      <c r="T188" s="4"/>
      <c r="U188" s="4"/>
      <c r="V188" s="4"/>
      <c r="W188" s="4"/>
      <c r="X188" s="4"/>
      <c r="Y188" s="4"/>
      <c r="Z188" s="4"/>
      <c r="AA188" s="4"/>
      <c r="AB188" s="4"/>
      <c r="AC188" s="4"/>
      <c r="AD188" s="4"/>
      <c r="AE188" s="4"/>
      <c r="AF188" s="4"/>
      <c r="AG188" s="4"/>
      <c r="AH188" s="4"/>
    </row>
    <row r="189" ht="12.75" hidden="1" outlineLevel="1">
      <c r="A189" s="4"/>
      <c r="B189" s="4">
        <f>ROW()-ROW($B$182)</f>
        <v>7</v>
      </c>
      <c r="C189" s="187">
        <v>0.16660891218968832</v>
      </c>
      <c r="D189" s="190">
        <v>2.1608590993930346</v>
      </c>
      <c r="E189" s="4">
        <f>MOD(B189-1,64)</f>
        <v>6</v>
      </c>
      <c r="F189" s="4">
        <f>IF(B189&lt;=64,1,2)</f>
        <v>1</v>
      </c>
      <c r="G189" s="4">
        <f>SUMPRODUCT(MOD(INT(E189/2^({0,1,2,3,4,5})),2))</f>
        <v>2</v>
      </c>
      <c r="H189" s="316">
        <f>IF(MOD(INT($E189/2^0),2)=1,0,FACT($G189)*FACT(5-$G189)/FACT(6)*IF($F189=1,1,-1)*($C189-INDEX($C$183:$C$310,$B189+2^0)))</f>
        <v>0.0003369137028358578</v>
      </c>
      <c r="I189" s="316">
        <f>IF(MOD(INT($E189/2^1),2)=1,0,FACT($G189)*FACT(5-$G189)/FACT(6)*IF($F189=1,1,-1)*($C189-INDEX($C$183:$C$310,$B189+2^1)))</f>
        <v>0</v>
      </c>
      <c r="J189" s="316">
        <f>IF(MOD(INT($E189/2^2),2)=1,0,FACT($G189)*FACT(5-$G189)/FACT(6)*IF($F189=1,1,-1)*($C189-INDEX($C$183:$C$310,$B189+2^2)))</f>
        <v>0</v>
      </c>
      <c r="K189" s="316">
        <f>IF(MOD(INT($E189/2^3),2)=1,0,FACT($G189)*FACT(5-$G189)/FACT(6)*IF($F189=1,1,-1)*($C189-INDEX($C$183:$C$310,$B189+2^3)))</f>
        <v>0.00040164634870167856</v>
      </c>
      <c r="L189" s="316">
        <f>IF(MOD(INT($E189/2^4),2)=1,0,FACT($G189)*FACT(5-$G189)/FACT(6)*IF($F189=1,1,-1)*($C189-INDEX($C$183:$C$310,$B189+2^4)))</f>
        <v>0.0009278332569909953</v>
      </c>
      <c r="M189" s="316">
        <f>IF(MOD(INT($E189/2^5),2)=1,0,FACT($G189)*FACT(5-$G189)/FACT(6)*IF($F189=1,1,-1)*($C189-INDEX($C$183:$C$310,$B189+2^5)))</f>
        <v>0.00034068359582903514</v>
      </c>
      <c r="N189" s="4"/>
      <c r="O189" s="4"/>
      <c r="P189" s="4"/>
      <c r="Q189" s="4"/>
      <c r="R189" s="4"/>
      <c r="S189" s="4"/>
      <c r="T189" s="4"/>
      <c r="U189" s="4"/>
      <c r="V189" s="4"/>
      <c r="W189" s="4"/>
      <c r="X189" s="4"/>
      <c r="Y189" s="4"/>
      <c r="Z189" s="4"/>
      <c r="AA189" s="4"/>
      <c r="AB189" s="4"/>
      <c r="AC189" s="4"/>
      <c r="AD189" s="4"/>
      <c r="AE189" s="4"/>
      <c r="AF189" s="4"/>
      <c r="AG189" s="4"/>
      <c r="AH189" s="4"/>
    </row>
    <row r="190" ht="12.75" hidden="1" outlineLevel="1">
      <c r="A190" s="4"/>
      <c r="B190" s="4">
        <f>ROW()-ROW($B$182)</f>
        <v>8</v>
      </c>
      <c r="C190" s="187">
        <v>0.14639409001953685</v>
      </c>
      <c r="D190" s="190">
        <v>1.9800205260300572</v>
      </c>
      <c r="E190" s="4">
        <f>MOD(B190-1,64)</f>
        <v>7</v>
      </c>
      <c r="F190" s="4">
        <f>IF(B190&lt;=64,1,2)</f>
        <v>1</v>
      </c>
      <c r="G190" s="4">
        <f>SUMPRODUCT(MOD(INT(E190/2^({0,1,2,3,4,5})),2))</f>
        <v>3</v>
      </c>
      <c r="H190" s="316">
        <f>IF(MOD(INT($E190/2^0),2)=1,0,FACT($G190)*FACT(5-$G190)/FACT(6)*IF($F190=1,1,-1)*($C190-INDEX($C$183:$C$310,$B190+2^0)))</f>
        <v>0</v>
      </c>
      <c r="I190" s="316">
        <f>IF(MOD(INT($E190/2^1),2)=1,0,FACT($G190)*FACT(5-$G190)/FACT(6)*IF($F190=1,1,-1)*($C190-INDEX($C$183:$C$310,$B190+2^1)))</f>
        <v>0</v>
      </c>
      <c r="J190" s="316">
        <f>IF(MOD(INT($E190/2^2),2)=1,0,FACT($G190)*FACT(5-$G190)/FACT(6)*IF($F190=1,1,-1)*($C190-INDEX($C$183:$C$310,$B190+2^2)))</f>
        <v>0</v>
      </c>
      <c r="K190" s="316">
        <f>IF(MOD(INT($E190/2^3),2)=1,0,FACT($G190)*FACT(5-$G190)/FACT(6)*IF($F190=1,1,-1)*($C190-INDEX($C$183:$C$310,$B190+2^3)))</f>
        <v>0.0004124691494524139</v>
      </c>
      <c r="L190" s="316">
        <f>IF(MOD(INT($E190/2^4),2)=1,0,FACT($G190)*FACT(5-$G190)/FACT(6)*IF($F190=1,1,-1)*($C190-INDEX($C$183:$C$310,$B190+2^4)))</f>
        <v>0.0009379740547576991</v>
      </c>
      <c r="M190" s="316">
        <f>IF(MOD(INT($E190/2^5),2)=1,0,FACT($G190)*FACT(5-$G190)/FACT(6)*IF($F190=1,1,-1)*($C190-INDEX($C$183:$C$310,$B190+2^5)))</f>
        <v>0.00032357069251714256</v>
      </c>
      <c r="N190" s="4"/>
      <c r="O190" s="4"/>
      <c r="P190" s="4"/>
      <c r="Q190" s="4"/>
      <c r="R190" s="4"/>
      <c r="S190" s="4"/>
      <c r="T190" s="4"/>
      <c r="U190" s="4"/>
      <c r="V190" s="4"/>
      <c r="W190" s="4"/>
      <c r="X190" s="4"/>
      <c r="Y190" s="4"/>
      <c r="Z190" s="4"/>
      <c r="AA190" s="4"/>
      <c r="AB190" s="4"/>
      <c r="AC190" s="4"/>
      <c r="AD190" s="4"/>
      <c r="AE190" s="4"/>
      <c r="AF190" s="4"/>
      <c r="AG190" s="4"/>
      <c r="AH190" s="4"/>
    </row>
    <row r="191" ht="12.75" hidden="1" outlineLevel="1">
      <c r="A191" s="4"/>
      <c r="B191" s="4">
        <f>ROW()-ROW($B$182)</f>
        <v>9</v>
      </c>
      <c r="C191" s="187">
        <v>0.18980308136012103</v>
      </c>
      <c r="D191" s="190">
        <v>2.3843798698965064</v>
      </c>
      <c r="E191" s="4">
        <f>MOD(B191-1,64)</f>
        <v>8</v>
      </c>
      <c r="F191" s="4">
        <f>IF(B191&lt;=64,1,2)</f>
        <v>1</v>
      </c>
      <c r="G191" s="4">
        <f>SUMPRODUCT(MOD(INT(E191/2^({0,1,2,3,4,5})),2))</f>
        <v>1</v>
      </c>
      <c r="H191" s="316">
        <f>IF(MOD(INT($E191/2^0),2)=1,0,FACT($G191)*FACT(5-$G191)/FACT(6)*IF($F191=1,1,-1)*($C191-INDEX($C$183:$C$310,$B191+2^0)))</f>
        <v>0.0006850781475037593</v>
      </c>
      <c r="I191" s="316">
        <f>IF(MOD(INT($E191/2^1),2)=1,0,FACT($G191)*FACT(5-$G191)/FACT(6)*IF($F191=1,1,-1)*($C191-INDEX($C$183:$C$310,$B191+2^1)))</f>
        <v>0.0011715590273094249</v>
      </c>
      <c r="J191" s="316">
        <f>IF(MOD(INT($E191/2^2),2)=1,0,FACT($G191)*FACT(5-$G191)/FACT(6)*IF($F191=1,1,-1)*($C191-INDEX($C$183:$C$310,$B191+2^2)))</f>
        <v>0.0003764043525453268</v>
      </c>
      <c r="K191" s="316">
        <f>IF(MOD(INT($E191/2^3),2)=1,0,FACT($G191)*FACT(5-$G191)/FACT(6)*IF($F191=1,1,-1)*($C191-INDEX($C$183:$C$310,$B191+2^3)))</f>
        <v>0</v>
      </c>
      <c r="L191" s="316">
        <f>IF(MOD(INT($E191/2^4),2)=1,0,FACT($G191)*FACT(5-$G191)/FACT(6)*IF($F191=1,1,-1)*($C191-INDEX($C$183:$C$310,$B191+2^4)))</f>
        <v>0.0018755837860868615</v>
      </c>
      <c r="M191" s="316">
        <f>IF(MOD(INT($E191/2^5),2)=1,0,FACT($G191)*FACT(5-$G191)/FACT(6)*IF($F191=1,1,-1)*($C191-INDEX($C$183:$C$310,$B191+2^5)))</f>
        <v>0.0006474171275374788</v>
      </c>
      <c r="N191" s="4"/>
      <c r="O191" s="4"/>
      <c r="P191" s="4"/>
      <c r="Q191" s="4"/>
      <c r="R191" s="4"/>
      <c r="S191" s="4"/>
      <c r="T191" s="4"/>
      <c r="U191" s="4"/>
      <c r="V191" s="4"/>
      <c r="W191" s="4"/>
      <c r="X191" s="4"/>
      <c r="Y191" s="4"/>
      <c r="Z191" s="4"/>
      <c r="AA191" s="4"/>
      <c r="AB191" s="4"/>
      <c r="AC191" s="4"/>
      <c r="AD191" s="4"/>
      <c r="AE191" s="4"/>
      <c r="AF191" s="4"/>
      <c r="AG191" s="4"/>
      <c r="AH191" s="4"/>
    </row>
    <row r="192" ht="12.75" hidden="1" outlineLevel="1">
      <c r="A192" s="4"/>
      <c r="B192" s="4">
        <f>ROW()-ROW($B$182)</f>
        <v>10</v>
      </c>
      <c r="C192" s="187">
        <v>0.16925073693500825</v>
      </c>
      <c r="D192" s="190">
        <v>2.185436848949289</v>
      </c>
      <c r="E192" s="4">
        <f>MOD(B192-1,64)</f>
        <v>9</v>
      </c>
      <c r="F192" s="4">
        <f>IF(B192&lt;=64,1,2)</f>
        <v>1</v>
      </c>
      <c r="G192" s="4">
        <f>SUMPRODUCT(MOD(INT(E192/2^({0,1,2,3,4,5})),2))</f>
        <v>2</v>
      </c>
      <c r="H192" s="316">
        <f>IF(MOD(INT($E192/2^0),2)=1,0,FACT($G192)*FACT(5-$G192)/FACT(6)*IF($F192=1,1,-1)*($C192-INDEX($C$183:$C$310,$B192+2^0)))</f>
        <v>0</v>
      </c>
      <c r="I192" s="316">
        <f>IF(MOD(INT($E192/2^1),2)=1,0,FACT($G192)*FACT(5-$G192)/FACT(6)*IF($F192=1,1,-1)*($C192-INDEX($C$183:$C$310,$B192+2^1)))</f>
        <v>0.0006062323213734381</v>
      </c>
      <c r="J192" s="316">
        <f>IF(MOD(INT($E192/2^2),2)=1,0,FACT($G192)*FACT(5-$G192)/FACT(6)*IF($F192=1,1,-1)*($C192-INDEX($C$183:$C$310,$B192+2^2)))</f>
        <v>0.0001728677941992607</v>
      </c>
      <c r="K192" s="316">
        <f>IF(MOD(INT($E192/2^3),2)=1,0,FACT($G192)*FACT(5-$G192)/FACT(6)*IF($F192=1,1,-1)*($C192-INDEX($C$183:$C$310,$B192+2^3)))</f>
        <v>0</v>
      </c>
      <c r="L192" s="316">
        <f>IF(MOD(INT($E192/2^4),2)=1,0,FACT($G192)*FACT(5-$G192)/FACT(6)*IF($F192=1,1,-1)*($C192-INDEX($C$183:$C$310,$B192+2^4)))</f>
        <v>0.0009452884234862828</v>
      </c>
      <c r="M192" s="316">
        <f>IF(MOD(INT($E192/2^5),2)=1,0,FACT($G192)*FACT(5-$G192)/FACT(6)*IF($F192=1,1,-1)*($C192-INDEX($C$183:$C$310,$B192+2^5)))</f>
        <v>0.0003072178378752029</v>
      </c>
      <c r="N192" s="4"/>
      <c r="O192" s="4"/>
      <c r="P192" s="4"/>
      <c r="Q192" s="4"/>
      <c r="R192" s="4"/>
      <c r="S192" s="4"/>
      <c r="T192" s="4"/>
      <c r="U192" s="4"/>
      <c r="V192" s="4"/>
      <c r="W192" s="4"/>
      <c r="X192" s="4"/>
      <c r="Y192" s="4"/>
      <c r="Z192" s="4"/>
      <c r="AA192" s="4"/>
      <c r="AB192" s="4"/>
      <c r="AC192" s="4"/>
      <c r="AD192" s="4"/>
      <c r="AE192" s="4"/>
      <c r="AF192" s="4"/>
      <c r="AG192" s="4"/>
      <c r="AH192" s="4"/>
    </row>
    <row r="193" ht="12.75" hidden="1" outlineLevel="1">
      <c r="A193" s="4"/>
      <c r="B193" s="4">
        <f>ROW()-ROW($B$182)</f>
        <v>11</v>
      </c>
      <c r="C193" s="187">
        <v>0.15465631054083828</v>
      </c>
      <c r="D193" s="190">
        <v>2.05240785089222</v>
      </c>
      <c r="E193" s="4">
        <f>MOD(B193-1,64)</f>
        <v>10</v>
      </c>
      <c r="F193" s="4">
        <f>IF(B193&lt;=64,1,2)</f>
        <v>1</v>
      </c>
      <c r="G193" s="4">
        <f>SUMPRODUCT(MOD(INT(E193/2^({0,1,2,3,4,5})),2))</f>
        <v>2</v>
      </c>
      <c r="H193" s="316">
        <f>IF(MOD(INT($E193/2^0),2)=1,0,FACT($G193)*FACT(5-$G193)/FACT(6)*IF($F193=1,1,-1)*($C193-INDEX($C$183:$C$310,$B193+2^0)))</f>
        <v>0.0003629918814706053</v>
      </c>
      <c r="I193" s="316">
        <f>IF(MOD(INT($E193/2^1),2)=1,0,FACT($G193)*FACT(5-$G193)/FACT(6)*IF($F193=1,1,-1)*($C193-INDEX($C$183:$C$310,$B193+2^1)))</f>
        <v>0</v>
      </c>
      <c r="J193" s="316">
        <f>IF(MOD(INT($E193/2^2),2)=1,0,FACT($G193)*FACT(5-$G193)/FACT(6)*IF($F193=1,1,-1)*($C193-INDEX($C$183:$C$310,$B193+2^2)))</f>
        <v>0.00020243632122084464</v>
      </c>
      <c r="K193" s="316">
        <f>IF(MOD(INT($E193/2^3),2)=1,0,FACT($G193)*FACT(5-$G193)/FACT(6)*IF($F193=1,1,-1)*($C193-INDEX($C$183:$C$310,$B193+2^3)))</f>
        <v>0</v>
      </c>
      <c r="L193" s="316">
        <f>IF(MOD(INT($E193/2^4),2)=1,0,FACT($G193)*FACT(5-$G193)/FACT(6)*IF($F193=1,1,-1)*($C193-INDEX($C$183:$C$310,$B193+2^4)))</f>
        <v>0.0010061395113191373</v>
      </c>
      <c r="M193" s="316">
        <f>IF(MOD(INT($E193/2^5),2)=1,0,FACT($G193)*FACT(5-$G193)/FACT(6)*IF($F193=1,1,-1)*($C193-INDEX($C$183:$C$310,$B193+2^5)))</f>
        <v>0.0003556938373829495</v>
      </c>
      <c r="N193" s="4"/>
      <c r="O193" s="4"/>
      <c r="P193" s="4"/>
      <c r="Q193" s="4"/>
      <c r="R193" s="4"/>
      <c r="S193" s="4"/>
      <c r="T193" s="4"/>
      <c r="U193" s="4"/>
      <c r="V193" s="4"/>
      <c r="W193" s="4"/>
      <c r="X193" s="4"/>
      <c r="Y193" s="4"/>
      <c r="Z193" s="4"/>
      <c r="AA193" s="4"/>
      <c r="AB193" s="4"/>
      <c r="AC193" s="4"/>
      <c r="AD193" s="4"/>
      <c r="AE193" s="4"/>
      <c r="AF193" s="4"/>
      <c r="AG193" s="4"/>
      <c r="AH193" s="4"/>
    </row>
    <row r="194" ht="12.75" hidden="1" outlineLevel="1">
      <c r="A194" s="4"/>
      <c r="B194" s="4">
        <f>ROW()-ROW($B$182)</f>
        <v>12</v>
      </c>
      <c r="C194" s="187">
        <v>0.13287679765260196</v>
      </c>
      <c r="D194" s="190">
        <v>1.8660076106113046</v>
      </c>
      <c r="E194" s="4">
        <f>MOD(B194-1,64)</f>
        <v>11</v>
      </c>
      <c r="F194" s="4">
        <f>IF(B194&lt;=64,1,2)</f>
        <v>1</v>
      </c>
      <c r="G194" s="4">
        <f>SUMPRODUCT(MOD(INT(E194/2^({0,1,2,3,4,5})),2))</f>
        <v>3</v>
      </c>
      <c r="H194" s="316">
        <f>IF(MOD(INT($E194/2^0),2)=1,0,FACT($G194)*FACT(5-$G194)/FACT(6)*IF($F194=1,1,-1)*($C194-INDEX($C$183:$C$310,$B194+2^0)))</f>
        <v>0</v>
      </c>
      <c r="I194" s="316">
        <f>IF(MOD(INT($E194/2^1),2)=1,0,FACT($G194)*FACT(5-$G194)/FACT(6)*IF($F194=1,1,-1)*($C194-INDEX($C$183:$C$310,$B194+2^1)))</f>
        <v>0</v>
      </c>
      <c r="J194" s="316">
        <f>IF(MOD(INT($E194/2^2),2)=1,0,FACT($G194)*FACT(5-$G194)/FACT(6)*IF($F194=1,1,-1)*($C194-INDEX($C$183:$C$310,$B194+2^2)))</f>
        <v>0.00018718094333683248</v>
      </c>
      <c r="K194" s="316">
        <f>IF(MOD(INT($E194/2^3),2)=1,0,FACT($G194)*FACT(5-$G194)/FACT(6)*IF($F194=1,1,-1)*($C194-INDEX($C$183:$C$310,$B194+2^3)))</f>
        <v>0</v>
      </c>
      <c r="L194" s="316">
        <f>IF(MOD(INT($E194/2^4),2)=1,0,FACT($G194)*FACT(5-$G194)/FACT(6)*IF($F194=1,1,-1)*($C194-INDEX($C$183:$C$310,$B194+2^4)))</f>
        <v>0.0010214777974521046</v>
      </c>
      <c r="M194" s="316">
        <f>IF(MOD(INT($E194/2^5),2)=1,0,FACT($G194)*FACT(5-$G194)/FACT(6)*IF($F194=1,1,-1)*($C194-INDEX($C$183:$C$310,$B194+2^5)))</f>
        <v>0.0003400214786660009</v>
      </c>
      <c r="N194" s="4"/>
      <c r="O194" s="4"/>
      <c r="P194" s="4"/>
      <c r="Q194" s="4"/>
      <c r="R194" s="4"/>
      <c r="S194" s="4"/>
      <c r="T194" s="4"/>
      <c r="U194" s="4"/>
      <c r="V194" s="4"/>
      <c r="W194" s="4"/>
      <c r="X194" s="4"/>
      <c r="Y194" s="4"/>
      <c r="Z194" s="4"/>
      <c r="AA194" s="4"/>
      <c r="AB194" s="4"/>
      <c r="AC194" s="4"/>
      <c r="AD194" s="4"/>
      <c r="AE194" s="4"/>
      <c r="AF194" s="4"/>
      <c r="AG194" s="4"/>
      <c r="AH194" s="4"/>
    </row>
    <row r="195" ht="12.75" hidden="1" outlineLevel="1">
      <c r="A195" s="4"/>
      <c r="B195" s="4">
        <f>ROW()-ROW($B$182)</f>
        <v>13</v>
      </c>
      <c r="C195" s="187">
        <v>0.17851095078376122</v>
      </c>
      <c r="D195" s="190">
        <v>2.2733594637529624</v>
      </c>
      <c r="E195" s="4">
        <f>MOD(B195-1,64)</f>
        <v>12</v>
      </c>
      <c r="F195" s="4">
        <f>IF(B195&lt;=64,1,2)</f>
        <v>1</v>
      </c>
      <c r="G195" s="4">
        <f>SUMPRODUCT(MOD(INT(E195/2^({0,1,2,3,4,5})),2))</f>
        <v>2</v>
      </c>
      <c r="H195" s="316">
        <f>IF(MOD(INT($E195/2^0),2)=1,0,FACT($G195)*FACT(5-$G195)/FACT(6)*IF($F195=1,1,-1)*($C195-INDEX($C$183:$C$310,$B195+2^0)))</f>
        <v>0.0003272046916784769</v>
      </c>
      <c r="I195" s="316">
        <f>IF(MOD(INT($E195/2^1),2)=1,0,FACT($G195)*FACT(5-$G195)/FACT(6)*IF($F195=1,1,-1)*($C195-INDEX($C$183:$C$310,$B195+2^1)))</f>
        <v>0.0006000136586028937</v>
      </c>
      <c r="J195" s="316">
        <f>IF(MOD(INT($E195/2^2),2)=1,0,FACT($G195)*FACT(5-$G195)/FACT(6)*IF($F195=1,1,-1)*($C195-INDEX($C$183:$C$310,$B195+2^2)))</f>
        <v>0</v>
      </c>
      <c r="K195" s="316">
        <f>IF(MOD(INT($E195/2^3),2)=1,0,FACT($G195)*FACT(5-$G195)/FACT(6)*IF($F195=1,1,-1)*($C195-INDEX($C$183:$C$310,$B195+2^3)))</f>
        <v>0</v>
      </c>
      <c r="L195" s="316">
        <f>IF(MOD(INT($E195/2^4),2)=1,0,FACT($G195)*FACT(5-$G195)/FACT(6)*IF($F195=1,1,-1)*($C195-INDEX($C$183:$C$310,$B195+2^4)))</f>
        <v>0.0009466841584875504</v>
      </c>
      <c r="M195" s="316">
        <f>IF(MOD(INT($E195/2^5),2)=1,0,FACT($G195)*FACT(5-$G195)/FACT(6)*IF($F195=1,1,-1)*($C195-INDEX($C$183:$C$310,$B195+2^5)))</f>
        <v>0.00033685031626811134</v>
      </c>
      <c r="N195" s="4"/>
      <c r="O195" s="4"/>
      <c r="P195" s="4"/>
      <c r="Q195" s="4"/>
      <c r="R195" s="4"/>
      <c r="S195" s="4"/>
      <c r="T195" s="4"/>
      <c r="U195" s="4"/>
      <c r="V195" s="4"/>
      <c r="W195" s="4"/>
      <c r="X195" s="4"/>
      <c r="Y195" s="4"/>
      <c r="Z195" s="4"/>
      <c r="AA195" s="4"/>
      <c r="AB195" s="4"/>
      <c r="AC195" s="4"/>
      <c r="AD195" s="4"/>
      <c r="AE195" s="4"/>
      <c r="AF195" s="4"/>
      <c r="AG195" s="4"/>
      <c r="AH195" s="4"/>
    </row>
    <row r="196" ht="12.75" hidden="1" outlineLevel="1">
      <c r="A196" s="4"/>
      <c r="B196" s="4">
        <f>ROW()-ROW($B$182)</f>
        <v>14</v>
      </c>
      <c r="C196" s="187">
        <v>0.1588786692830526</v>
      </c>
      <c r="D196" s="190">
        <v>2.090209637412929</v>
      </c>
      <c r="E196" s="4">
        <f>MOD(B196-1,64)</f>
        <v>13</v>
      </c>
      <c r="F196" s="4">
        <f>IF(B196&lt;=64,1,2)</f>
        <v>1</v>
      </c>
      <c r="G196" s="4">
        <f>SUMPRODUCT(MOD(INT(E196/2^({0,1,2,3,4,5})),2))</f>
        <v>3</v>
      </c>
      <c r="H196" s="316">
        <f>IF(MOD(INT($E196/2^0),2)=1,0,FACT($G196)*FACT(5-$G196)/FACT(6)*IF($F196=1,1,-1)*($C196-INDEX($C$183:$C$310,$B196+2^0)))</f>
        <v>0</v>
      </c>
      <c r="I196" s="316">
        <f>IF(MOD(INT($E196/2^1),2)=1,0,FACT($G196)*FACT(5-$G196)/FACT(6)*IF($F196=1,1,-1)*($C196-INDEX($C$183:$C$310,$B196+2^1)))</f>
        <v>0.0006205454705110099</v>
      </c>
      <c r="J196" s="316">
        <f>IF(MOD(INT($E196/2^2),2)=1,0,FACT($G196)*FACT(5-$G196)/FACT(6)*IF($F196=1,1,-1)*($C196-INDEX($C$183:$C$310,$B196+2^2)))</f>
        <v>0</v>
      </c>
      <c r="K196" s="316">
        <f>IF(MOD(INT($E196/2^3),2)=1,0,FACT($G196)*FACT(5-$G196)/FACT(6)*IF($F196=1,1,-1)*($C196-INDEX($C$183:$C$310,$B196+2^3)))</f>
        <v>0</v>
      </c>
      <c r="L196" s="316">
        <f>IF(MOD(INT($E196/2^4),2)=1,0,FACT($G196)*FACT(5-$G196)/FACT(6)*IF($F196=1,1,-1)*($C196-INDEX($C$183:$C$310,$B196+2^4)))</f>
        <v>0.0009546230966598493</v>
      </c>
      <c r="M196" s="316">
        <f>IF(MOD(INT($E196/2^5),2)=1,0,FACT($G196)*FACT(5-$G196)/FACT(6)*IF($F196=1,1,-1)*($C196-INDEX($C$183:$C$310,$B196+2^5)))</f>
        <v>0.0003188380904420196</v>
      </c>
      <c r="N196" s="4"/>
      <c r="O196" s="4"/>
      <c r="P196" s="4"/>
      <c r="Q196" s="4"/>
      <c r="R196" s="4"/>
      <c r="S196" s="4"/>
      <c r="T196" s="4"/>
      <c r="U196" s="4"/>
      <c r="V196" s="4"/>
      <c r="W196" s="4"/>
      <c r="X196" s="4"/>
      <c r="Y196" s="4"/>
      <c r="Z196" s="4"/>
      <c r="AA196" s="4"/>
      <c r="AB196" s="4"/>
      <c r="AC196" s="4"/>
      <c r="AD196" s="4"/>
      <c r="AE196" s="4"/>
      <c r="AF196" s="4"/>
      <c r="AG196" s="4"/>
      <c r="AH196" s="4"/>
    </row>
    <row r="197" ht="12.75" hidden="1" outlineLevel="1">
      <c r="A197" s="4"/>
      <c r="B197" s="4">
        <f>ROW()-ROW($B$182)</f>
        <v>15</v>
      </c>
      <c r="C197" s="187">
        <v>0.1425101312675876</v>
      </c>
      <c r="D197" s="190">
        <v>1.9467056952209008</v>
      </c>
      <c r="E197" s="4">
        <f>MOD(B197-1,64)</f>
        <v>14</v>
      </c>
      <c r="F197" s="4">
        <f>IF(B197&lt;=64,1,2)</f>
        <v>1</v>
      </c>
      <c r="G197" s="4">
        <f>SUMPRODUCT(MOD(INT(E197/2^({0,1,2,3,4,5})),2))</f>
        <v>3</v>
      </c>
      <c r="H197" s="316">
        <f>IF(MOD(INT($E197/2^0),2)=1,0,FACT($G197)*FACT(5-$G197)/FACT(6)*IF($F197=1,1,-1)*($C197-INDEX($C$183:$C$310,$B197+2^0)))</f>
        <v>0.0003477365035865931</v>
      </c>
      <c r="I197" s="316">
        <f>IF(MOD(INT($E197/2^1),2)=1,0,FACT($G197)*FACT(5-$G197)/FACT(6)*IF($F197=1,1,-1)*($C197-INDEX($C$183:$C$310,$B197+2^1)))</f>
        <v>0</v>
      </c>
      <c r="J197" s="316">
        <f>IF(MOD(INT($E197/2^2),2)=1,0,FACT($G197)*FACT(5-$G197)/FACT(6)*IF($F197=1,1,-1)*($C197-INDEX($C$183:$C$310,$B197+2^2)))</f>
        <v>0</v>
      </c>
      <c r="K197" s="316">
        <f>IF(MOD(INT($E197/2^3),2)=1,0,FACT($G197)*FACT(5-$G197)/FACT(6)*IF($F197=1,1,-1)*($C197-INDEX($C$183:$C$310,$B197+2^3)))</f>
        <v>0</v>
      </c>
      <c r="L197" s="316">
        <f>IF(MOD(INT($E197/2^4),2)=1,0,FACT($G197)*FACT(5-$G197)/FACT(6)*IF($F197=1,1,-1)*($C197-INDEX($C$183:$C$310,$B197+2^4)))</f>
        <v>0.0010205322870812587</v>
      </c>
      <c r="M197" s="316">
        <f>IF(MOD(INT($E197/2^5),2)=1,0,FACT($G197)*FACT(5-$G197)/FACT(6)*IF($F197=1,1,-1)*($C197-INDEX($C$183:$C$310,$B197+2^5)))</f>
        <v>0.0003718381649380505</v>
      </c>
      <c r="N197" s="4"/>
      <c r="O197" s="4"/>
      <c r="P197" s="4"/>
      <c r="Q197" s="4"/>
      <c r="R197" s="4"/>
      <c r="S197" s="4"/>
      <c r="T197" s="4"/>
      <c r="U197" s="4"/>
      <c r="V197" s="4"/>
      <c r="W197" s="4"/>
      <c r="X197" s="4"/>
      <c r="Y197" s="4"/>
      <c r="Z197" s="4"/>
      <c r="AA197" s="4"/>
      <c r="AB197" s="4"/>
      <c r="AC197" s="4"/>
      <c r="AD197" s="4"/>
      <c r="AE197" s="4"/>
      <c r="AF197" s="4"/>
      <c r="AG197" s="4"/>
      <c r="AH197" s="4"/>
    </row>
    <row r="198" ht="12.75" hidden="1" outlineLevel="1">
      <c r="A198" s="4"/>
      <c r="B198" s="4">
        <f>ROW()-ROW($B$182)</f>
        <v>16</v>
      </c>
      <c r="C198" s="187">
        <v>0.12164594105239201</v>
      </c>
      <c r="D198" s="190">
        <v>1.7753294009450873</v>
      </c>
      <c r="E198" s="4">
        <f>MOD(B198-1,64)</f>
        <v>15</v>
      </c>
      <c r="F198" s="4">
        <f>IF(B198&lt;=64,1,2)</f>
        <v>1</v>
      </c>
      <c r="G198" s="4">
        <f>SUMPRODUCT(MOD(INT(E198/2^({0,1,2,3,4,5})),2))</f>
        <v>4</v>
      </c>
      <c r="H198" s="316">
        <f>IF(MOD(INT($E198/2^0),2)=1,0,FACT($G198)*FACT(5-$G198)/FACT(6)*IF($F198=1,1,-1)*($C198-INDEX($C$183:$C$310,$B198+2^0)))</f>
        <v>0</v>
      </c>
      <c r="I198" s="316">
        <f>IF(MOD(INT($E198/2^1),2)=1,0,FACT($G198)*FACT(5-$G198)/FACT(6)*IF($F198=1,1,-1)*($C198-INDEX($C$183:$C$310,$B198+2^1)))</f>
        <v>0</v>
      </c>
      <c r="J198" s="316">
        <f>IF(MOD(INT($E198/2^2),2)=1,0,FACT($G198)*FACT(5-$G198)/FACT(6)*IF($F198=1,1,-1)*($C198-INDEX($C$183:$C$310,$B198+2^2)))</f>
        <v>0</v>
      </c>
      <c r="K198" s="316">
        <f>IF(MOD(INT($E198/2^3),2)=1,0,FACT($G198)*FACT(5-$G198)/FACT(6)*IF($F198=1,1,-1)*($C198-INDEX($C$183:$C$310,$B198+2^3)))</f>
        <v>0</v>
      </c>
      <c r="L198" s="316">
        <f>IF(MOD(INT($E198/2^4),2)=1,0,FACT($G198)*FACT(5-$G198)/FACT(6)*IF($F198=1,1,-1)*($C198-INDEX($C$183:$C$310,$B198+2^4)))</f>
        <v>0.0020732411080889375</v>
      </c>
      <c r="M198" s="316">
        <f>IF(MOD(INT($E198/2^5),2)=1,0,FACT($G198)*FACT(5-$G198)/FACT(6)*IF($F198=1,1,-1)*($C198-INDEX($C$183:$C$310,$B198+2^5)))</f>
        <v>0.0007090456130264563</v>
      </c>
      <c r="N198" s="4"/>
      <c r="O198" s="4"/>
      <c r="P198" s="4"/>
      <c r="Q198" s="4"/>
      <c r="R198" s="4"/>
      <c r="S198" s="4"/>
      <c r="T198" s="4"/>
      <c r="U198" s="4"/>
      <c r="V198" s="4"/>
      <c r="W198" s="4"/>
      <c r="X198" s="4"/>
      <c r="Y198" s="4"/>
      <c r="Z198" s="4"/>
      <c r="AA198" s="4"/>
      <c r="AB198" s="4"/>
      <c r="AC198" s="4"/>
      <c r="AD198" s="4"/>
      <c r="AE198" s="4"/>
      <c r="AF198" s="4"/>
      <c r="AG198" s="4"/>
      <c r="AH198" s="4"/>
    </row>
    <row r="199" ht="12.75" hidden="1" outlineLevel="1">
      <c r="A199" s="4"/>
      <c r="B199" s="4">
        <f>ROW()-ROW($B$182)</f>
        <v>17</v>
      </c>
      <c r="C199" s="187">
        <v>0.15990218624873465</v>
      </c>
      <c r="D199" s="190">
        <v>2.0994562797866476</v>
      </c>
      <c r="E199" s="4">
        <f>MOD(B199-1,64)</f>
        <v>16</v>
      </c>
      <c r="F199" s="4">
        <f>IF(B199&lt;=64,1,2)</f>
        <v>1</v>
      </c>
      <c r="G199" s="4">
        <f>SUMPRODUCT(MOD(INT(E199/2^({0,1,2,3,4,5})),2))</f>
        <v>1</v>
      </c>
      <c r="H199" s="316">
        <f>IF(MOD(INT($E199/2^0),2)=1,0,FACT($G199)*FACT(5-$G199)/FACT(6)*IF($F199=1,1,-1)*($C199-INDEX($C$183:$C$310,$B199+2^0)))</f>
        <v>0.0006752648937308351</v>
      </c>
      <c r="I199" s="316">
        <f>IF(MOD(INT($E199/2^1),2)=1,0,FACT($G199)*FACT(5-$G199)/FACT(6)*IF($F199=1,1,-1)*($C199-INDEX($C$183:$C$310,$B199+2^1)))</f>
        <v>0.0012417790643431737</v>
      </c>
      <c r="J199" s="316">
        <f>IF(MOD(INT($E199/2^2),2)=1,0,FACT($G199)*FACT(5-$G199)/FACT(6)*IF($F199=1,1,-1)*($C199-INDEX($C$183:$C$310,$B199+2^2)))</f>
        <v>0.00035872097735284805</v>
      </c>
      <c r="K199" s="316">
        <f>IF(MOD(INT($E199/2^3),2)=1,0,FACT($G199)*FACT(5-$G199)/FACT(6)*IF($F199=1,1,-1)*($C199-INDEX($C$183:$C$310,$B199+2^3)))</f>
        <v>0.000878887282373982</v>
      </c>
      <c r="L199" s="316">
        <f>IF(MOD(INT($E199/2^4),2)=1,0,FACT($G199)*FACT(5-$G199)/FACT(6)*IF($F199=1,1,-1)*($C199-INDEX($C$183:$C$310,$B199+2^4)))</f>
        <v>0</v>
      </c>
      <c r="M199" s="316">
        <f>IF(MOD(INT($E199/2^5),2)=1,0,FACT($G199)*FACT(5-$G199)/FACT(6)*IF($F199=1,1,-1)*($C199-INDEX($C$183:$C$310,$B199+2^5)))</f>
        <v>0.0007201074399450613</v>
      </c>
      <c r="N199" s="4"/>
      <c r="O199" s="4"/>
      <c r="P199" s="4"/>
      <c r="Q199" s="4"/>
      <c r="R199" s="4"/>
      <c r="S199" s="4"/>
      <c r="T199" s="4"/>
      <c r="U199" s="4"/>
      <c r="V199" s="4"/>
      <c r="W199" s="4"/>
      <c r="X199" s="4"/>
      <c r="Y199" s="4"/>
      <c r="Z199" s="4"/>
      <c r="AA199" s="4"/>
      <c r="AB199" s="4"/>
      <c r="AC199" s="4"/>
      <c r="AD199" s="4"/>
      <c r="AE199" s="4"/>
      <c r="AF199" s="4"/>
      <c r="AG199" s="4"/>
      <c r="AH199" s="4"/>
    </row>
    <row r="200" ht="12.75" hidden="1" outlineLevel="1">
      <c r="A200" s="4"/>
      <c r="B200" s="4">
        <f>ROW()-ROW($B$182)</f>
        <v>18</v>
      </c>
      <c r="C200" s="187">
        <v>0.1396442394368096</v>
      </c>
      <c r="D200" s="190">
        <v>1.9224121298510124</v>
      </c>
      <c r="E200" s="4">
        <f>MOD(B200-1,64)</f>
        <v>17</v>
      </c>
      <c r="F200" s="4">
        <f>IF(B200&lt;=64,1,2)</f>
        <v>1</v>
      </c>
      <c r="G200" s="4">
        <f>SUMPRODUCT(MOD(INT(E200/2^({0,1,2,3,4,5})),2))</f>
        <v>2</v>
      </c>
      <c r="H200" s="316">
        <f>IF(MOD(INT($E200/2^0),2)=1,0,FACT($G200)*FACT(5-$G200)/FACT(6)*IF($F200=1,1,-1)*($C200-INDEX($C$183:$C$310,$B200+2^0)))</f>
        <v>0</v>
      </c>
      <c r="I200" s="316">
        <f>IF(MOD(INT($E200/2^1),2)=1,0,FACT($G200)*FACT(5-$G200)/FACT(6)*IF($F200=1,1,-1)*($C200-INDEX($C$183:$C$310,$B200+2^1)))</f>
        <v>0.0006444369176051401</v>
      </c>
      <c r="J200" s="316">
        <f>IF(MOD(INT($E200/2^2),2)=1,0,FACT($G200)*FACT(5-$G200)/FACT(6)*IF($F200=1,1,-1)*($C200-INDEX($C$183:$C$310,$B200+2^2)))</f>
        <v>0.00016509890900850236</v>
      </c>
      <c r="K200" s="316">
        <f>IF(MOD(INT($E200/2^3),2)=1,0,FACT($G200)*FACT(5-$G200)/FACT(6)*IF($F200=1,1,-1)*($C200-INDEX($C$183:$C$310,$B200+2^3)))</f>
        <v>0.0004518467985163051</v>
      </c>
      <c r="L200" s="316">
        <f>IF(MOD(INT($E200/2^4),2)=1,0,FACT($G200)*FACT(5-$G200)/FACT(6)*IF($F200=1,1,-1)*($C200-INDEX($C$183:$C$310,$B200+2^4)))</f>
        <v>0</v>
      </c>
      <c r="M200" s="316">
        <f>IF(MOD(INT($E200/2^5),2)=1,0,FACT($G200)*FACT(5-$G200)/FACT(6)*IF($F200=1,1,-1)*($C200-INDEX($C$183:$C$310,$B200+2^5)))</f>
        <v>0.00034193445291241055</v>
      </c>
      <c r="N200" s="4"/>
      <c r="O200" s="4"/>
      <c r="P200" s="4"/>
      <c r="Q200" s="4"/>
      <c r="R200" s="4"/>
      <c r="S200" s="4"/>
      <c r="T200" s="4"/>
      <c r="U200" s="4"/>
      <c r="V200" s="4"/>
      <c r="W200" s="4"/>
      <c r="X200" s="4"/>
      <c r="Y200" s="4"/>
      <c r="Z200" s="4"/>
      <c r="AA200" s="4"/>
      <c r="AB200" s="4"/>
      <c r="AC200" s="4"/>
      <c r="AD200" s="4"/>
      <c r="AE200" s="4"/>
      <c r="AF200" s="4"/>
      <c r="AG200" s="4"/>
      <c r="AH200" s="4"/>
    </row>
    <row r="201" ht="12.75" hidden="1" outlineLevel="1">
      <c r="A201" s="4"/>
      <c r="B201" s="4">
        <f>ROW()-ROW($B$182)</f>
        <v>19</v>
      </c>
      <c r="C201" s="187">
        <v>0.12264881431843944</v>
      </c>
      <c r="D201" s="190">
        <v>1.7832802924585853</v>
      </c>
      <c r="E201" s="4">
        <f>MOD(B201-1,64)</f>
        <v>18</v>
      </c>
      <c r="F201" s="4">
        <f>IF(B201&lt;=64,1,2)</f>
        <v>1</v>
      </c>
      <c r="G201" s="4">
        <f>SUMPRODUCT(MOD(INT(E201/2^({0,1,2,3,4,5})),2))</f>
        <v>2</v>
      </c>
      <c r="H201" s="316">
        <f>IF(MOD(INT($E201/2^0),2)=1,0,FACT($G201)*FACT(5-$G201)/FACT(6)*IF($F201=1,1,-1)*($C201-INDEX($C$183:$C$310,$B201+2^0)))</f>
        <v>0.00036117983229897084</v>
      </c>
      <c r="I201" s="316">
        <f>IF(MOD(INT($E201/2^1),2)=1,0,FACT($G201)*FACT(5-$G201)/FACT(6)*IF($F201=1,1,-1)*($C201-INDEX($C$183:$C$310,$B201+2^1)))</f>
        <v>0</v>
      </c>
      <c r="J201" s="316">
        <f>IF(MOD(INT($E201/2^2),2)=1,0,FACT($G201)*FACT(5-$G201)/FACT(6)*IF($F201=1,1,-1)*($C201-INDEX($C$183:$C$310,$B201+2^2)))</f>
        <v>0.00019516495913684723</v>
      </c>
      <c r="K201" s="316">
        <f>IF(MOD(INT($E201/2^3),2)=1,0,FACT($G201)*FACT(5-$G201)/FACT(6)*IF($F201=1,1,-1)*($C201-INDEX($C$183:$C$310,$B201+2^3)))</f>
        <v>0.00047268124094582327</v>
      </c>
      <c r="L201" s="316">
        <f>IF(MOD(INT($E201/2^4),2)=1,0,FACT($G201)*FACT(5-$G201)/FACT(6)*IF($F201=1,1,-1)*($C201-INDEX($C$183:$C$310,$B201+2^4)))</f>
        <v>0</v>
      </c>
      <c r="M201" s="316">
        <f>IF(MOD(INT($E201/2^5),2)=1,0,FACT($G201)*FACT(5-$G201)/FACT(6)*IF($F201=1,1,-1)*($C201-INDEX($C$183:$C$310,$B201+2^5)))</f>
        <v>0.00040035190333245204</v>
      </c>
      <c r="N201" s="4"/>
      <c r="O201" s="4"/>
      <c r="P201" s="4"/>
      <c r="Q201" s="4"/>
      <c r="R201" s="4"/>
      <c r="S201" s="4"/>
      <c r="T201" s="4"/>
      <c r="U201" s="4"/>
      <c r="V201" s="4"/>
      <c r="W201" s="4"/>
      <c r="X201" s="4"/>
      <c r="Y201" s="4"/>
      <c r="Z201" s="4"/>
      <c r="AA201" s="4"/>
      <c r="AB201" s="4"/>
      <c r="AC201" s="4"/>
      <c r="AD201" s="4"/>
      <c r="AE201" s="4"/>
      <c r="AF201" s="4"/>
      <c r="AG201" s="4"/>
      <c r="AH201" s="4"/>
    </row>
    <row r="202" ht="12.75" hidden="1" outlineLevel="1">
      <c r="A202" s="4"/>
      <c r="B202" s="4">
        <f>ROW()-ROW($B$182)</f>
        <v>20</v>
      </c>
      <c r="C202" s="187">
        <v>0.10097802438050119</v>
      </c>
      <c r="D202" s="190">
        <v>1.6176823702389576</v>
      </c>
      <c r="E202" s="4">
        <f>MOD(B202-1,64)</f>
        <v>19</v>
      </c>
      <c r="F202" s="4">
        <f>IF(B202&lt;=64,1,2)</f>
        <v>1</v>
      </c>
      <c r="G202" s="4">
        <f>SUMPRODUCT(MOD(INT(E202/2^({0,1,2,3,4,5})),2))</f>
        <v>3</v>
      </c>
      <c r="H202" s="316">
        <f>IF(MOD(INT($E202/2^0),2)=1,0,FACT($G202)*FACT(5-$G202)/FACT(6)*IF($F202=1,1,-1)*($C202-INDEX($C$183:$C$310,$B202+2^0)))</f>
        <v>0</v>
      </c>
      <c r="I202" s="316">
        <f>IF(MOD(INT($E202/2^1),2)=1,0,FACT($G202)*FACT(5-$G202)/FACT(6)*IF($F202=1,1,-1)*($C202-INDEX($C$183:$C$310,$B202+2^1)))</f>
        <v>0</v>
      </c>
      <c r="J202" s="316">
        <f>IF(MOD(INT($E202/2^2),2)=1,0,FACT($G202)*FACT(5-$G202)/FACT(6)*IF($F202=1,1,-1)*($C202-INDEX($C$183:$C$310,$B202+2^2)))</f>
        <v>0.000181039627440438</v>
      </c>
      <c r="K202" s="316">
        <f>IF(MOD(INT($E202/2^3),2)=1,0,FACT($G202)*FACT(5-$G202)/FACT(6)*IF($F202=1,1,-1)*($C202-INDEX($C$183:$C$310,$B202+2^3)))</f>
        <v>0.000489831576250425</v>
      </c>
      <c r="L202" s="316">
        <f>IF(MOD(INT($E202/2^4),2)=1,0,FACT($G202)*FACT(5-$G202)/FACT(6)*IF($F202=1,1,-1)*($C202-INDEX($C$183:$C$310,$B202+2^4)))</f>
        <v>0</v>
      </c>
      <c r="M202" s="316">
        <f>IF(MOD(INT($E202/2^5),2)=1,0,FACT($G202)*FACT(5-$G202)/FACT(6)*IF($F202=1,1,-1)*($C202-INDEX($C$183:$C$310,$B202+2^5)))</f>
        <v>0.00038337828125997546</v>
      </c>
      <c r="N202" s="4"/>
      <c r="O202" s="4"/>
      <c r="P202" s="4"/>
      <c r="Q202" s="4"/>
      <c r="R202" s="4"/>
      <c r="S202" s="4"/>
      <c r="T202" s="4"/>
      <c r="U202" s="4"/>
      <c r="V202" s="4"/>
      <c r="W202" s="4"/>
      <c r="X202" s="4"/>
      <c r="Y202" s="4"/>
      <c r="Z202" s="4"/>
      <c r="AA202" s="4"/>
      <c r="AB202" s="4"/>
      <c r="AC202" s="4"/>
      <c r="AD202" s="4"/>
      <c r="AE202" s="4"/>
      <c r="AF202" s="4"/>
      <c r="AG202" s="4"/>
      <c r="AH202" s="4"/>
    </row>
    <row r="203" ht="12.75" hidden="1" outlineLevel="1">
      <c r="A203" s="4"/>
      <c r="B203" s="4">
        <f>ROW()-ROW($B$182)</f>
        <v>21</v>
      </c>
      <c r="C203" s="187">
        <v>0.1491405569281492</v>
      </c>
      <c r="D203" s="190">
        <v>2.003852556414202</v>
      </c>
      <c r="E203" s="4">
        <f>MOD(B203-1,64)</f>
        <v>20</v>
      </c>
      <c r="F203" s="4">
        <f>IF(B203&lt;=64,1,2)</f>
        <v>1</v>
      </c>
      <c r="G203" s="4">
        <f>SUMPRODUCT(MOD(INT(E203/2^({0,1,2,3,4,5})),2))</f>
        <v>2</v>
      </c>
      <c r="H203" s="316">
        <f>IF(MOD(INT($E203/2^0),2)=1,0,FACT($G203)*FACT(5-$G203)/FACT(6)*IF($F203=1,1,-1)*($C203-INDEX($C$183:$C$310,$B203+2^0)))</f>
        <v>0.0003233708671974959</v>
      </c>
      <c r="I203" s="316">
        <f>IF(MOD(INT($E203/2^1),2)=1,0,FACT($G203)*FACT(5-$G203)/FACT(6)*IF($F203=1,1,-1)*($C203-INDEX($C$183:$C$310,$B203+2^1)))</f>
        <v>0.00063669400263201</v>
      </c>
      <c r="J203" s="316">
        <f>IF(MOD(INT($E203/2^2),2)=1,0,FACT($G203)*FACT(5-$G203)/FACT(6)*IF($F203=1,1,-1)*($C203-INDEX($C$183:$C$310,$B203+2^2)))</f>
        <v>0</v>
      </c>
      <c r="K203" s="316">
        <f>IF(MOD(INT($E203/2^3),2)=1,0,FACT($G203)*FACT(5-$G203)/FACT(6)*IF($F203=1,1,-1)*($C203-INDEX($C$183:$C$310,$B203+2^3)))</f>
        <v>0.00045717759422735</v>
      </c>
      <c r="L203" s="316">
        <f>IF(MOD(INT($E203/2^4),2)=1,0,FACT($G203)*FACT(5-$G203)/FACT(6)*IF($F203=1,1,-1)*($C203-INDEX($C$183:$C$310,$B203+2^4)))</f>
        <v>0</v>
      </c>
      <c r="M203" s="316">
        <f>IF(MOD(INT($E203/2^5),2)=1,0,FACT($G203)*FACT(5-$G203)/FACT(6)*IF($F203=1,1,-1)*($C203-INDEX($C$183:$C$310,$B203+2^5)))</f>
        <v>0.0003744235953782186</v>
      </c>
      <c r="N203" s="4"/>
      <c r="O203" s="4"/>
      <c r="P203" s="4"/>
      <c r="Q203" s="4"/>
      <c r="R203" s="4"/>
      <c r="S203" s="4"/>
      <c r="T203" s="4"/>
      <c r="U203" s="4"/>
      <c r="V203" s="4"/>
      <c r="W203" s="4"/>
      <c r="X203" s="4"/>
      <c r="Y203" s="4"/>
      <c r="Z203" s="4"/>
      <c r="AA203" s="4"/>
      <c r="AB203" s="4"/>
      <c r="AC203" s="4"/>
      <c r="AD203" s="4"/>
      <c r="AE203" s="4"/>
      <c r="AF203" s="4"/>
      <c r="AG203" s="4"/>
      <c r="AH203" s="4"/>
    </row>
    <row r="204" ht="12.75" hidden="1" outlineLevel="1">
      <c r="A204" s="4"/>
      <c r="B204" s="4">
        <f>ROW()-ROW($B$182)</f>
        <v>22</v>
      </c>
      <c r="C204" s="187">
        <v>0.12973830489629945</v>
      </c>
      <c r="D204" s="190">
        <v>1.840302732427235</v>
      </c>
      <c r="E204" s="4">
        <f>MOD(B204-1,64)</f>
        <v>21</v>
      </c>
      <c r="F204" s="4">
        <f>IF(B204&lt;=64,1,2)</f>
        <v>1</v>
      </c>
      <c r="G204" s="4">
        <f>SUMPRODUCT(MOD(INT(E204/2^({0,1,2,3,4,5})),2))</f>
        <v>3</v>
      </c>
      <c r="H204" s="316">
        <f>IF(MOD(INT($E204/2^0),2)=1,0,FACT($G204)*FACT(5-$G204)/FACT(6)*IF($F204=1,1,-1)*($C204-INDEX($C$183:$C$310,$B204+2^0)))</f>
        <v>0</v>
      </c>
      <c r="I204" s="316">
        <f>IF(MOD(INT($E204/2^1),2)=1,0,FACT($G204)*FACT(5-$G204)/FACT(6)*IF($F204=1,1,-1)*($C204-INDEX($C$183:$C$310,$B204+2^1)))</f>
        <v>0.0006603776360370757</v>
      </c>
      <c r="J204" s="316">
        <f>IF(MOD(INT($E204/2^2),2)=1,0,FACT($G204)*FACT(5-$G204)/FACT(6)*IF($F204=1,1,-1)*($C204-INDEX($C$183:$C$310,$B204+2^2)))</f>
        <v>0</v>
      </c>
      <c r="K204" s="316">
        <f>IF(MOD(INT($E204/2^3),2)=1,0,FACT($G204)*FACT(5-$G204)/FACT(6)*IF($F204=1,1,-1)*($C204-INDEX($C$183:$C$310,$B204+2^3)))</f>
        <v>0.00046895035688063007</v>
      </c>
      <c r="L204" s="316">
        <f>IF(MOD(INT($E204/2^4),2)=1,0,FACT($G204)*FACT(5-$G204)/FACT(6)*IF($F204=1,1,-1)*($C204-INDEX($C$183:$C$310,$B204+2^4)))</f>
        <v>0</v>
      </c>
      <c r="M204" s="316">
        <f>IF(MOD(INT($E204/2^5),2)=1,0,FACT($G204)*FACT(5-$G204)/FACT(6)*IF($F204=1,1,-1)*($C204-INDEX($C$183:$C$310,$B204+2^5)))</f>
        <v>0.00035467735477410963</v>
      </c>
      <c r="N204" s="4"/>
      <c r="O204" s="4"/>
      <c r="P204" s="4"/>
      <c r="Q204" s="4"/>
      <c r="R204" s="4"/>
      <c r="S204" s="4"/>
      <c r="T204" s="4"/>
      <c r="U204" s="4"/>
      <c r="V204" s="4"/>
      <c r="W204" s="4"/>
      <c r="X204" s="4"/>
      <c r="Y204" s="4"/>
      <c r="Z204" s="4"/>
      <c r="AA204" s="4"/>
      <c r="AB204" s="4"/>
      <c r="AC204" s="4"/>
      <c r="AD204" s="4"/>
      <c r="AE204" s="4"/>
      <c r="AF204" s="4"/>
      <c r="AG204" s="4"/>
      <c r="AH204" s="4"/>
    </row>
    <row r="205" ht="12.75" hidden="1" outlineLevel="1">
      <c r="A205" s="4"/>
      <c r="B205" s="4">
        <f>ROW()-ROW($B$182)</f>
        <v>23</v>
      </c>
      <c r="C205" s="187">
        <v>0.1109389167702286</v>
      </c>
      <c r="D205" s="190">
        <v>1.6921969306864275</v>
      </c>
      <c r="E205" s="4">
        <f>MOD(B205-1,64)</f>
        <v>22</v>
      </c>
      <c r="F205" s="4">
        <f>IF(B205&lt;=64,1,2)</f>
        <v>1</v>
      </c>
      <c r="G205" s="4">
        <f>SUMPRODUCT(MOD(INT(E205/2^({0,1,2,3,4,5})),2))</f>
        <v>3</v>
      </c>
      <c r="H205" s="316">
        <f>IF(MOD(INT($E205/2^0),2)=1,0,FACT($G205)*FACT(5-$G205)/FACT(6)*IF($F205=1,1,-1)*($C205-INDEX($C$183:$C$310,$B205+2^0)))</f>
        <v>0.0003470545006025616</v>
      </c>
      <c r="I205" s="316">
        <f>IF(MOD(INT($E205/2^1),2)=1,0,FACT($G205)*FACT(5-$G205)/FACT(6)*IF($F205=1,1,-1)*($C205-INDEX($C$183:$C$310,$B205+2^1)))</f>
        <v>0</v>
      </c>
      <c r="J205" s="316">
        <f>IF(MOD(INT($E205/2^2),2)=1,0,FACT($G205)*FACT(5-$G205)/FACT(6)*IF($F205=1,1,-1)*($C205-INDEX($C$183:$C$310,$B205+2^2)))</f>
        <v>0</v>
      </c>
      <c r="K205" s="316">
        <f>IF(MOD(INT($E205/2^3),2)=1,0,FACT($G205)*FACT(5-$G205)/FACT(6)*IF($F205=1,1,-1)*($C205-INDEX($C$183:$C$310,$B205+2^3)))</f>
        <v>0.000494345378791942</v>
      </c>
      <c r="L205" s="316">
        <f>IF(MOD(INT($E205/2^4),2)=1,0,FACT($G205)*FACT(5-$G205)/FACT(6)*IF($F205=1,1,-1)*($C205-INDEX($C$183:$C$310,$B205+2^4)))</f>
        <v>0</v>
      </c>
      <c r="M205" s="316">
        <f>IF(MOD(INT($E205/2^5),2)=1,0,FACT($G205)*FACT(5-$G205)/FACT(6)*IF($F205=1,1,-1)*($C205-INDEX($C$183:$C$310,$B205+2^5)))</f>
        <v>0.00041850846364979526</v>
      </c>
      <c r="N205" s="4"/>
      <c r="O205" s="4"/>
      <c r="P205" s="4"/>
      <c r="Q205" s="4"/>
      <c r="R205" s="4"/>
      <c r="S205" s="4"/>
      <c r="T205" s="4"/>
      <c r="U205" s="4"/>
      <c r="V205" s="4"/>
      <c r="W205" s="4"/>
      <c r="X205" s="4"/>
      <c r="Y205" s="4"/>
      <c r="Z205" s="4"/>
      <c r="AA205" s="4"/>
      <c r="AB205" s="4"/>
      <c r="AC205" s="4"/>
      <c r="AD205" s="4"/>
      <c r="AE205" s="4"/>
      <c r="AF205" s="4"/>
      <c r="AG205" s="4"/>
      <c r="AH205" s="4"/>
    </row>
    <row r="206" ht="12.75" hidden="1" outlineLevel="1">
      <c r="A206" s="4"/>
      <c r="B206" s="4">
        <f>ROW()-ROW($B$182)</f>
        <v>24</v>
      </c>
      <c r="C206" s="187">
        <v>0.0901156467340749</v>
      </c>
      <c r="D206" s="190">
        <v>1.5394403521331035</v>
      </c>
      <c r="E206" s="4">
        <f>MOD(B206-1,64)</f>
        <v>23</v>
      </c>
      <c r="F206" s="4">
        <f>IF(B206&lt;=64,1,2)</f>
        <v>1</v>
      </c>
      <c r="G206" s="4">
        <f>SUMPRODUCT(MOD(INT(E206/2^({0,1,2,3,4,5})),2))</f>
        <v>4</v>
      </c>
      <c r="H206" s="316">
        <f>IF(MOD(INT($E206/2^0),2)=1,0,FACT($G206)*FACT(5-$G206)/FACT(6)*IF($F206=1,1,-1)*($C206-INDEX($C$183:$C$310,$B206+2^0)))</f>
        <v>0</v>
      </c>
      <c r="I206" s="316">
        <f>IF(MOD(INT($E206/2^1),2)=1,0,FACT($G206)*FACT(5-$G206)/FACT(6)*IF($F206=1,1,-1)*($C206-INDEX($C$183:$C$310,$B206+2^1)))</f>
        <v>0</v>
      </c>
      <c r="J206" s="316">
        <f>IF(MOD(INT($E206/2^2),2)=1,0,FACT($G206)*FACT(5-$G206)/FACT(6)*IF($F206=1,1,-1)*($C206-INDEX($C$183:$C$310,$B206+2^2)))</f>
        <v>0</v>
      </c>
      <c r="K206" s="316">
        <f>IF(MOD(INT($E206/2^3),2)=1,0,FACT($G206)*FACT(5-$G206)/FACT(6)*IF($F206=1,1,-1)*($C206-INDEX($C$183:$C$310,$B206+2^3)))</f>
        <v>0.0010222312974783672</v>
      </c>
      <c r="L206" s="316">
        <f>IF(MOD(INT($E206/2^4),2)=1,0,FACT($G206)*FACT(5-$G206)/FACT(6)*IF($F206=1,1,-1)*($C206-INDEX($C$183:$C$310,$B206+2^4)))</f>
        <v>0</v>
      </c>
      <c r="M206" s="316">
        <f>IF(MOD(INT($E206/2^5),2)=1,0,FACT($G206)*FACT(5-$G206)/FACT(6)*IF($F206=1,1,-1)*($C206-INDEX($C$183:$C$310,$B206+2^5)))</f>
        <v>0.0007995512834517271</v>
      </c>
      <c r="N206" s="4"/>
      <c r="O206" s="4"/>
      <c r="P206" s="4"/>
      <c r="Q206" s="4"/>
      <c r="R206" s="4"/>
      <c r="S206" s="4"/>
      <c r="T206" s="4"/>
      <c r="U206" s="4"/>
      <c r="V206" s="4"/>
      <c r="W206" s="4"/>
      <c r="X206" s="4"/>
      <c r="Y206" s="4"/>
      <c r="Z206" s="4"/>
      <c r="AA206" s="4"/>
      <c r="AB206" s="4"/>
      <c r="AC206" s="4"/>
      <c r="AD206" s="4"/>
      <c r="AE206" s="4"/>
      <c r="AF206" s="4"/>
      <c r="AG206" s="4"/>
      <c r="AH206" s="4"/>
    </row>
    <row r="207" ht="12.75" hidden="1" outlineLevel="1">
      <c r="A207" s="4"/>
      <c r="B207" s="4">
        <f>ROW()-ROW($B$182)</f>
        <v>25</v>
      </c>
      <c r="C207" s="187">
        <v>0.13353556777751519</v>
      </c>
      <c r="D207" s="190">
        <v>1.8714393598839214</v>
      </c>
      <c r="E207" s="4">
        <f>MOD(B207-1,64)</f>
        <v>24</v>
      </c>
      <c r="F207" s="4">
        <f>IF(B207&lt;=64,1,2)</f>
        <v>1</v>
      </c>
      <c r="G207" s="4">
        <f>SUMPRODUCT(MOD(INT(E207/2^({0,1,2,3,4,5})),2))</f>
        <v>2</v>
      </c>
      <c r="H207" s="316">
        <f>IF(MOD(INT($E207/2^0),2)=1,0,FACT($G207)*FACT(5-$G207)/FACT(6)*IF($F207=1,1,-1)*($C207-INDEX($C$183:$C$310,$B207+2^0)))</f>
        <v>0.0003500356041947317</v>
      </c>
      <c r="I207" s="316">
        <f>IF(MOD(INT($E207/2^1),2)=1,0,FACT($G207)*FACT(5-$G207)/FACT(6)*IF($F207=1,1,-1)*($C207-INDEX($C$183:$C$310,$B207+2^1)))</f>
        <v>0.0006541271319304191</v>
      </c>
      <c r="J207" s="316">
        <f>IF(MOD(INT($E207/2^2),2)=1,0,FACT($G207)*FACT(5-$G207)/FACT(6)*IF($F207=1,1,-1)*($C207-INDEX($C$183:$C$310,$B207+2^2)))</f>
        <v>0.00019709444171678303</v>
      </c>
      <c r="K207" s="316">
        <f>IF(MOD(INT($E207/2^3),2)=1,0,FACT($G207)*FACT(5-$G207)/FACT(6)*IF($F207=1,1,-1)*($C207-INDEX($C$183:$C$310,$B207+2^3)))</f>
        <v>0</v>
      </c>
      <c r="L207" s="316">
        <f>IF(MOD(INT($E207/2^4),2)=1,0,FACT($G207)*FACT(5-$G207)/FACT(6)*IF($F207=1,1,-1)*($C207-INDEX($C$183:$C$310,$B207+2^4)))</f>
        <v>0</v>
      </c>
      <c r="M207" s="316">
        <f>IF(MOD(INT($E207/2^5),2)=1,0,FACT($G207)*FACT(5-$G207)/FACT(6)*IF($F207=1,1,-1)*($C207-INDEX($C$183:$C$310,$B207+2^5)))</f>
        <v>0.00039661485949125106</v>
      </c>
      <c r="N207" s="4"/>
      <c r="O207" s="4"/>
      <c r="P207" s="4"/>
      <c r="Q207" s="4"/>
      <c r="R207" s="4"/>
      <c r="S207" s="4"/>
      <c r="T207" s="4"/>
      <c r="U207" s="4"/>
      <c r="V207" s="4"/>
      <c r="W207" s="4"/>
      <c r="X207" s="4"/>
      <c r="Y207" s="4"/>
      <c r="Z207" s="4"/>
      <c r="AA207" s="4"/>
      <c r="AB207" s="4"/>
      <c r="AC207" s="4"/>
      <c r="AD207" s="4"/>
      <c r="AE207" s="4"/>
      <c r="AF207" s="4"/>
      <c r="AG207" s="4"/>
      <c r="AH207" s="4"/>
    </row>
    <row r="208" ht="12.75" hidden="1" outlineLevel="1">
      <c r="A208" s="4"/>
      <c r="B208" s="4">
        <f>ROW()-ROW($B$182)</f>
        <v>26</v>
      </c>
      <c r="C208" s="187">
        <v>0.11253343152583128</v>
      </c>
      <c r="D208" s="190">
        <v>1.7043757711696512</v>
      </c>
      <c r="E208" s="4">
        <f>MOD(B208-1,64)</f>
        <v>25</v>
      </c>
      <c r="F208" s="4">
        <f>IF(B208&lt;=64,1,2)</f>
        <v>1</v>
      </c>
      <c r="G208" s="4">
        <f>SUMPRODUCT(MOD(INT(E208/2^({0,1,2,3,4,5})),2))</f>
        <v>3</v>
      </c>
      <c r="H208" s="316">
        <f>IF(MOD(INT($E208/2^0),2)=1,0,FACT($G208)*FACT(5-$G208)/FACT(6)*IF($F208=1,1,-1)*($C208-INDEX($C$183:$C$310,$B208+2^0)))</f>
        <v>0</v>
      </c>
      <c r="I208" s="316">
        <f>IF(MOD(INT($E208/2^1),2)=1,0,FACT($G208)*FACT(5-$G208)/FACT(6)*IF($F208=1,1,-1)*($C208-INDEX($C$183:$C$310,$B208+2^1)))</f>
        <v>0.0006824216953392599</v>
      </c>
      <c r="J208" s="316">
        <f>IF(MOD(INT($E208/2^2),2)=1,0,FACT($G208)*FACT(5-$G208)/FACT(6)*IF($F208=1,1,-1)*($C208-INDEX($C$183:$C$310,$B208+2^2)))</f>
        <v>0.0001822024673728273</v>
      </c>
      <c r="K208" s="316">
        <f>IF(MOD(INT($E208/2^3),2)=1,0,FACT($G208)*FACT(5-$G208)/FACT(6)*IF($F208=1,1,-1)*($C208-INDEX($C$183:$C$310,$B208+2^3)))</f>
        <v>0</v>
      </c>
      <c r="L208" s="316">
        <f>IF(MOD(INT($E208/2^4),2)=1,0,FACT($G208)*FACT(5-$G208)/FACT(6)*IF($F208=1,1,-1)*($C208-INDEX($C$183:$C$310,$B208+2^4)))</f>
        <v>0</v>
      </c>
      <c r="M208" s="316">
        <f>IF(MOD(INT($E208/2^5),2)=1,0,FACT($G208)*FACT(5-$G208)/FACT(6)*IF($F208=1,1,-1)*($C208-INDEX($C$183:$C$310,$B208+2^5)))</f>
        <v>0.0003783141551179388</v>
      </c>
      <c r="N208" s="4"/>
      <c r="O208" s="4"/>
      <c r="P208" s="4"/>
      <c r="Q208" s="4"/>
      <c r="R208" s="4"/>
      <c r="S208" s="4"/>
      <c r="T208" s="4"/>
      <c r="U208" s="4"/>
      <c r="V208" s="4"/>
      <c r="W208" s="4"/>
      <c r="X208" s="4"/>
      <c r="Y208" s="4"/>
      <c r="Z208" s="4"/>
      <c r="AA208" s="4"/>
      <c r="AB208" s="4"/>
      <c r="AC208" s="4"/>
      <c r="AD208" s="4"/>
      <c r="AE208" s="4"/>
      <c r="AF208" s="4"/>
      <c r="AG208" s="4"/>
      <c r="AH208" s="4"/>
    </row>
    <row r="209" ht="12.75" hidden="1" outlineLevel="1">
      <c r="A209" s="4"/>
      <c r="B209" s="4">
        <f>ROW()-ROW($B$182)</f>
        <v>27</v>
      </c>
      <c r="C209" s="187">
        <v>0.09428793986169004</v>
      </c>
      <c r="D209" s="190">
        <v>1.5691268882864522</v>
      </c>
      <c r="E209" s="4">
        <f>MOD(B209-1,64)</f>
        <v>26</v>
      </c>
      <c r="F209" s="4">
        <f>IF(B209&lt;=64,1,2)</f>
        <v>1</v>
      </c>
      <c r="G209" s="4">
        <f>SUMPRODUCT(MOD(INT(E209/2^({0,1,2,3,4,5})),2))</f>
        <v>3</v>
      </c>
      <c r="H209" s="316">
        <f>IF(MOD(INT($E209/2^0),2)=1,0,FACT($G209)*FACT(5-$G209)/FACT(6)*IF($F209=1,1,-1)*($C209-INDEX($C$183:$C$310,$B209+2^0)))</f>
        <v>0.00037833016760357253</v>
      </c>
      <c r="I209" s="316">
        <f>IF(MOD(INT($E209/2^1),2)=1,0,FACT($G209)*FACT(5-$G209)/FACT(6)*IF($F209=1,1,-1)*($C209-INDEX($C$183:$C$310,$B209+2^1)))</f>
        <v>0</v>
      </c>
      <c r="J209" s="316">
        <f>IF(MOD(INT($E209/2^2),2)=1,0,FACT($G209)*FACT(5-$G209)/FACT(6)*IF($F209=1,1,-1)*($C209-INDEX($C$183:$C$310,$B209+2^2)))</f>
        <v>0.00021682909698296596</v>
      </c>
      <c r="K209" s="316">
        <f>IF(MOD(INT($E209/2^3),2)=1,0,FACT($G209)*FACT(5-$G209)/FACT(6)*IF($F209=1,1,-1)*($C209-INDEX($C$183:$C$310,$B209+2^3)))</f>
        <v>0</v>
      </c>
      <c r="L209" s="316">
        <f>IF(MOD(INT($E209/2^4),2)=1,0,FACT($G209)*FACT(5-$G209)/FACT(6)*IF($F209=1,1,-1)*($C209-INDEX($C$183:$C$310,$B209+2^4)))</f>
        <v>0</v>
      </c>
      <c r="M209" s="316">
        <f>IF(MOD(INT($E209/2^5),2)=1,0,FACT($G209)*FACT(5-$G209)/FACT(6)*IF($F209=1,1,-1)*($C209-INDEX($C$183:$C$310,$B209+2^5)))</f>
        <v>0.0004462281263701776</v>
      </c>
      <c r="N209" s="4"/>
      <c r="O209" s="4"/>
      <c r="P209" s="4"/>
      <c r="Q209" s="4"/>
      <c r="R209" s="4"/>
      <c r="S209" s="4"/>
      <c r="T209" s="4"/>
      <c r="U209" s="4"/>
      <c r="V209" s="4"/>
      <c r="W209" s="4"/>
      <c r="X209" s="4"/>
      <c r="Y209" s="4"/>
      <c r="Z209" s="4"/>
      <c r="AA209" s="4"/>
      <c r="AB209" s="4"/>
      <c r="AC209" s="4"/>
      <c r="AD209" s="4"/>
      <c r="AE209" s="4"/>
      <c r="AF209" s="4"/>
      <c r="AG209" s="4"/>
      <c r="AH209" s="4"/>
    </row>
    <row r="210" ht="12.75" hidden="1" outlineLevel="1">
      <c r="A210" s="4"/>
      <c r="B210" s="4">
        <f>ROW()-ROW($B$182)</f>
        <v>28</v>
      </c>
      <c r="C210" s="187">
        <v>0.07158812980547569</v>
      </c>
      <c r="D210" s="190">
        <v>1.4129912451539886</v>
      </c>
      <c r="E210" s="4">
        <f>MOD(B210-1,64)</f>
        <v>27</v>
      </c>
      <c r="F210" s="4">
        <f>IF(B210&lt;=64,1,2)</f>
        <v>1</v>
      </c>
      <c r="G210" s="4">
        <f>SUMPRODUCT(MOD(INT(E210/2^({0,1,2,3,4,5})),2))</f>
        <v>4</v>
      </c>
      <c r="H210" s="316">
        <f>IF(MOD(INT($E210/2^0),2)=1,0,FACT($G210)*FACT(5-$G210)/FACT(6)*IF($F210=1,1,-1)*($C210-INDEX($C$183:$C$310,$B210+2^0)))</f>
        <v>0</v>
      </c>
      <c r="I210" s="316">
        <f>IF(MOD(INT($E210/2^1),2)=1,0,FACT($G210)*FACT(5-$G210)/FACT(6)*IF($F210=1,1,-1)*($C210-INDEX($C$183:$C$310,$B210+2^1)))</f>
        <v>0</v>
      </c>
      <c r="J210" s="316">
        <f>IF(MOD(INT($E210/2^2),2)=1,0,FACT($G210)*FACT(5-$G210)/FACT(6)*IF($F210=1,1,-1)*($C210-INDEX($C$183:$C$310,$B210+2^2)))</f>
        <v>0.00040464739985839325</v>
      </c>
      <c r="K210" s="316">
        <f>IF(MOD(INT($E210/2^3),2)=1,0,FACT($G210)*FACT(5-$G210)/FACT(6)*IF($F210=1,1,-1)*($C210-INDEX($C$183:$C$310,$B210+2^3)))</f>
        <v>0</v>
      </c>
      <c r="L210" s="316">
        <f>IF(MOD(INT($E210/2^4),2)=1,0,FACT($G210)*FACT(5-$G210)/FACT(6)*IF($F210=1,1,-1)*($C210-INDEX($C$183:$C$310,$B210+2^4)))</f>
        <v>0</v>
      </c>
      <c r="M210" s="316">
        <f>IF(MOD(INT($E210/2^5),2)=1,0,FACT($G210)*FACT(5-$G210)/FACT(6)*IF($F210=1,1,-1)*($C210-INDEX($C$183:$C$310,$B210+2^5)))</f>
        <v>0.0008598470464420859</v>
      </c>
      <c r="N210" s="4"/>
      <c r="O210" s="4"/>
      <c r="P210" s="4"/>
      <c r="Q210" s="4"/>
      <c r="R210" s="4"/>
      <c r="S210" s="4"/>
      <c r="T210" s="4"/>
      <c r="U210" s="4"/>
      <c r="V210" s="4"/>
      <c r="W210" s="4"/>
      <c r="X210" s="4"/>
      <c r="Y210" s="4"/>
      <c r="Z210" s="4"/>
      <c r="AA210" s="4"/>
      <c r="AB210" s="4"/>
      <c r="AC210" s="4"/>
      <c r="AD210" s="4"/>
      <c r="AE210" s="4"/>
      <c r="AF210" s="4"/>
      <c r="AG210" s="4"/>
      <c r="AH210" s="4"/>
    </row>
    <row r="211" ht="12.75" hidden="1" outlineLevel="1">
      <c r="A211" s="4"/>
      <c r="B211" s="4">
        <f>ROW()-ROW($B$182)</f>
        <v>29</v>
      </c>
      <c r="C211" s="187">
        <v>0.1217099012745082</v>
      </c>
      <c r="D211" s="190">
        <v>1.775835636511475</v>
      </c>
      <c r="E211" s="4">
        <f>MOD(B211-1,64)</f>
        <v>28</v>
      </c>
      <c r="F211" s="4">
        <f>IF(B211&lt;=64,1,2)</f>
        <v>1</v>
      </c>
      <c r="G211" s="4">
        <f>SUMPRODUCT(MOD(INT(E211/2^({0,1,2,3,4,5})),2))</f>
        <v>3</v>
      </c>
      <c r="H211" s="316">
        <f>IF(MOD(INT($E211/2^0),2)=1,0,FACT($G211)*FACT(5-$G211)/FACT(6)*IF($F211=1,1,-1)*($C211-INDEX($C$183:$C$310,$B211+2^0)))</f>
        <v>0.00033514362985077596</v>
      </c>
      <c r="I211" s="316">
        <f>IF(MOD(INT($E211/2^1),2)=1,0,FACT($G211)*FACT(5-$G211)/FACT(6)*IF($F211=1,1,-1)*($C211-INDEX($C$183:$C$310,$B211+2^1)))</f>
        <v>0.0006738617871966021</v>
      </c>
      <c r="J211" s="316">
        <f>IF(MOD(INT($E211/2^2),2)=1,0,FACT($G211)*FACT(5-$G211)/FACT(6)*IF($F211=1,1,-1)*($C211-INDEX($C$183:$C$310,$B211+2^2)))</f>
        <v>0</v>
      </c>
      <c r="K211" s="316">
        <f>IF(MOD(INT($E211/2^3),2)=1,0,FACT($G211)*FACT(5-$G211)/FACT(6)*IF($F211=1,1,-1)*($C211-INDEX($C$183:$C$310,$B211+2^3)))</f>
        <v>0</v>
      </c>
      <c r="L211" s="316">
        <f>IF(MOD(INT($E211/2^4),2)=1,0,FACT($G211)*FACT(5-$G211)/FACT(6)*IF($F211=1,1,-1)*($C211-INDEX($C$183:$C$310,$B211+2^4)))</f>
        <v>0</v>
      </c>
      <c r="M211" s="316">
        <f>IF(MOD(INT($E211/2^5),2)=1,0,FACT($G211)*FACT(5-$G211)/FACT(6)*IF($F211=1,1,-1)*($C211-INDEX($C$183:$C$310,$B211+2^5)))</f>
        <v>0.0004145856902606049</v>
      </c>
      <c r="N211" s="4"/>
      <c r="O211" s="4"/>
      <c r="P211" s="4"/>
      <c r="Q211" s="4"/>
      <c r="R211" s="4"/>
      <c r="S211" s="4"/>
      <c r="T211" s="4"/>
      <c r="U211" s="4"/>
      <c r="V211" s="4"/>
      <c r="W211" s="4"/>
      <c r="X211" s="4"/>
      <c r="Y211" s="4"/>
      <c r="Z211" s="4"/>
      <c r="AA211" s="4"/>
      <c r="AB211" s="4"/>
      <c r="AC211" s="4"/>
      <c r="AD211" s="4"/>
      <c r="AE211" s="4"/>
      <c r="AF211" s="4"/>
      <c r="AG211" s="4"/>
      <c r="AH211" s="4"/>
    </row>
    <row r="212" ht="12.75" hidden="1" outlineLevel="1">
      <c r="A212" s="4"/>
      <c r="B212" s="4">
        <f>ROW()-ROW($B$182)</f>
        <v>30</v>
      </c>
      <c r="C212" s="187">
        <v>0.10160128348346165</v>
      </c>
      <c r="D212" s="190">
        <v>1.622266373745873</v>
      </c>
      <c r="E212" s="4">
        <f>MOD(B212-1,64)</f>
        <v>29</v>
      </c>
      <c r="F212" s="4">
        <f>IF(B212&lt;=64,1,2)</f>
        <v>1</v>
      </c>
      <c r="G212" s="4">
        <f>SUMPRODUCT(MOD(INT(E212/2^({0,1,2,3,4,5})),2))</f>
        <v>4</v>
      </c>
      <c r="H212" s="316">
        <f>IF(MOD(INT($E212/2^0),2)=1,0,FACT($G212)*FACT(5-$G212)/FACT(6)*IF($F212=1,1,-1)*($C212-INDEX($C$183:$C$310,$B212+2^0)))</f>
        <v>0</v>
      </c>
      <c r="I212" s="316">
        <f>IF(MOD(INT($E212/2^1),2)=1,0,FACT($G212)*FACT(5-$G212)/FACT(6)*IF($F212=1,1,-1)*($C212-INDEX($C$183:$C$310,$B212+2^1)))</f>
        <v>0.0014050858557912585</v>
      </c>
      <c r="J212" s="316">
        <f>IF(MOD(INT($E212/2^2),2)=1,0,FACT($G212)*FACT(5-$G212)/FACT(6)*IF($F212=1,1,-1)*($C212-INDEX($C$183:$C$310,$B212+2^2)))</f>
        <v>0</v>
      </c>
      <c r="K212" s="316">
        <f>IF(MOD(INT($E212/2^3),2)=1,0,FACT($G212)*FACT(5-$G212)/FACT(6)*IF($F212=1,1,-1)*($C212-INDEX($C$183:$C$310,$B212+2^3)))</f>
        <v>0</v>
      </c>
      <c r="L212" s="316">
        <f>IF(MOD(INT($E212/2^4),2)=1,0,FACT($G212)*FACT(5-$G212)/FACT(6)*IF($F212=1,1,-1)*($C212-INDEX($C$183:$C$310,$B212+2^4)))</f>
        <v>0</v>
      </c>
      <c r="M212" s="316">
        <f>IF(MOD(INT($E212/2^5),2)=1,0,FACT($G212)*FACT(5-$G212)/FACT(6)*IF($F212=1,1,-1)*($C212-INDEX($C$183:$C$310,$B212+2^5)))</f>
        <v>0.0007888130813392384</v>
      </c>
      <c r="N212" s="4"/>
      <c r="O212" s="4"/>
      <c r="P212" s="4"/>
      <c r="Q212" s="4"/>
      <c r="R212" s="4"/>
      <c r="S212" s="4"/>
      <c r="T212" s="4"/>
      <c r="U212" s="4"/>
      <c r="V212" s="4"/>
      <c r="W212" s="4"/>
      <c r="X212" s="4"/>
      <c r="Y212" s="4"/>
      <c r="Z212" s="4"/>
      <c r="AA212" s="4"/>
      <c r="AB212" s="4"/>
      <c r="AC212" s="4"/>
      <c r="AD212" s="4"/>
      <c r="AE212" s="4"/>
      <c r="AF212" s="4"/>
      <c r="AG212" s="4"/>
      <c r="AH212" s="4"/>
    </row>
    <row r="213" ht="12.75" hidden="1" outlineLevel="1">
      <c r="A213" s="4"/>
      <c r="B213" s="4">
        <f>ROW()-ROW($B$182)</f>
        <v>31</v>
      </c>
      <c r="C213" s="187">
        <v>0.08127819404271208</v>
      </c>
      <c r="D213" s="190">
        <v>1.4780435265142948</v>
      </c>
      <c r="E213" s="4">
        <f>MOD(B213-1,64)</f>
        <v>30</v>
      </c>
      <c r="F213" s="4">
        <f>IF(B213&lt;=64,1,2)</f>
        <v>1</v>
      </c>
      <c r="G213" s="4">
        <f>SUMPRODUCT(MOD(INT(E213/2^({0,1,2,3,4,5})),2))</f>
        <v>4</v>
      </c>
      <c r="H213" s="316">
        <f>IF(MOD(INT($E213/2^0),2)=1,0,FACT($G213)*FACT(5-$G213)/FACT(6)*IF($F213=1,1,-1)*($C213-INDEX($C$183:$C$310,$B213+2^0)))</f>
        <v>0.0007276495410996064</v>
      </c>
      <c r="I213" s="316">
        <f>IF(MOD(INT($E213/2^1),2)=1,0,FACT($G213)*FACT(5-$G213)/FACT(6)*IF($F213=1,1,-1)*($C213-INDEX($C$183:$C$310,$B213+2^1)))</f>
        <v>0</v>
      </c>
      <c r="J213" s="316">
        <f>IF(MOD(INT($E213/2^2),2)=1,0,FACT($G213)*FACT(5-$G213)/FACT(6)*IF($F213=1,1,-1)*($C213-INDEX($C$183:$C$310,$B213+2^2)))</f>
        <v>0</v>
      </c>
      <c r="K213" s="316">
        <f>IF(MOD(INT($E213/2^3),2)=1,0,FACT($G213)*FACT(5-$G213)/FACT(6)*IF($F213=1,1,-1)*($C213-INDEX($C$183:$C$310,$B213+2^3)))</f>
        <v>0</v>
      </c>
      <c r="L213" s="316">
        <f>IF(MOD(INT($E213/2^4),2)=1,0,FACT($G213)*FACT(5-$G213)/FACT(6)*IF($F213=1,1,-1)*($C213-INDEX($C$183:$C$310,$B213+2^4)))</f>
        <v>0</v>
      </c>
      <c r="M213" s="316">
        <f>IF(MOD(INT($E213/2^5),2)=1,0,FACT($G213)*FACT(5-$G213)/FACT(6)*IF($F213=1,1,-1)*($C213-INDEX($C$183:$C$310,$B213+2^5)))</f>
        <v>0.0009391709017673832</v>
      </c>
      <c r="N213" s="4"/>
      <c r="O213" s="4"/>
      <c r="P213" s="4"/>
      <c r="Q213" s="4"/>
      <c r="R213" s="4"/>
      <c r="S213" s="4"/>
      <c r="T213" s="4"/>
      <c r="U213" s="4"/>
      <c r="V213" s="4"/>
      <c r="W213" s="4"/>
      <c r="X213" s="4"/>
      <c r="Y213" s="4"/>
      <c r="Z213" s="4"/>
      <c r="AA213" s="4"/>
      <c r="AB213" s="4"/>
      <c r="AC213" s="4"/>
      <c r="AD213" s="4"/>
      <c r="AE213" s="4"/>
      <c r="AF213" s="4"/>
      <c r="AG213" s="4"/>
      <c r="AH213" s="4"/>
    </row>
    <row r="214" ht="12.75" hidden="1" outlineLevel="1">
      <c r="A214" s="4"/>
      <c r="B214" s="4">
        <f>ROW()-ROW($B$182)</f>
        <v>32</v>
      </c>
      <c r="C214" s="187">
        <v>0.05944870780972389</v>
      </c>
      <c r="D214" s="190">
        <v>1.3347492270481345</v>
      </c>
      <c r="E214" s="4">
        <f>MOD(B214-1,64)</f>
        <v>31</v>
      </c>
      <c r="F214" s="4">
        <f>IF(B214&lt;=64,1,2)</f>
        <v>1</v>
      </c>
      <c r="G214" s="4">
        <f>SUMPRODUCT(MOD(INT(E214/2^({0,1,2,3,4,5})),2))</f>
        <v>5</v>
      </c>
      <c r="H214" s="316">
        <f>IF(MOD(INT($E214/2^0),2)=1,0,FACT($G214)*FACT(5-$G214)/FACT(6)*IF($F214=1,1,-1)*($C214-INDEX($C$183:$C$310,$B214+2^0)))</f>
        <v>0</v>
      </c>
      <c r="I214" s="316">
        <f>IF(MOD(INT($E214/2^1),2)=1,0,FACT($G214)*FACT(5-$G214)/FACT(6)*IF($F214=1,1,-1)*($C214-INDEX($C$183:$C$310,$B214+2^1)))</f>
        <v>0</v>
      </c>
      <c r="J214" s="316">
        <f>IF(MOD(INT($E214/2^2),2)=1,0,FACT($G214)*FACT(5-$G214)/FACT(6)*IF($F214=1,1,-1)*($C214-INDEX($C$183:$C$310,$B214+2^2)))</f>
        <v>0</v>
      </c>
      <c r="K214" s="316">
        <f>IF(MOD(INT($E214/2^3),2)=1,0,FACT($G214)*FACT(5-$G214)/FACT(6)*IF($F214=1,1,-1)*($C214-INDEX($C$183:$C$310,$B214+2^3)))</f>
        <v>0</v>
      </c>
      <c r="L214" s="316">
        <f>IF(MOD(INT($E214/2^4),2)=1,0,FACT($G214)*FACT(5-$G214)/FACT(6)*IF($F214=1,1,-1)*($C214-INDEX($C$183:$C$310,$B214+2^4)))</f>
        <v>0</v>
      </c>
      <c r="M214" s="316">
        <f>IF(MOD(INT($E214/2^5),2)=1,0,FACT($G214)*FACT(5-$G214)/FACT(6)*IF($F214=1,1,-1)*($C214-INDEX($C$183:$C$310,$B214+2^5)))</f>
        <v>0.004513092118330804</v>
      </c>
      <c r="N214" s="4"/>
      <c r="O214" s="4"/>
      <c r="P214" s="4"/>
      <c r="Q214" s="4"/>
      <c r="R214" s="4"/>
      <c r="S214" s="4"/>
      <c r="T214" s="4"/>
      <c r="U214" s="4"/>
      <c r="V214" s="4"/>
      <c r="W214" s="4"/>
      <c r="X214" s="4"/>
      <c r="Y214" s="4"/>
      <c r="Z214" s="4"/>
      <c r="AA214" s="4"/>
      <c r="AB214" s="4"/>
      <c r="AC214" s="4"/>
      <c r="AD214" s="4"/>
      <c r="AE214" s="4"/>
      <c r="AF214" s="4"/>
      <c r="AG214" s="4"/>
      <c r="AH214" s="4"/>
    </row>
    <row r="215" ht="12.75" hidden="1" outlineLevel="1">
      <c r="A215" s="4"/>
      <c r="B215" s="4">
        <f>ROW()-ROW($B$182)</f>
        <v>33</v>
      </c>
      <c r="C215" s="187">
        <v>0.19373438807714805</v>
      </c>
      <c r="D215" s="190">
        <v>2.424032979172351</v>
      </c>
      <c r="E215" s="4">
        <f>MOD(B215-1,64)</f>
        <v>32</v>
      </c>
      <c r="F215" s="4">
        <f>IF(B215&lt;=64,1,2)</f>
        <v>1</v>
      </c>
      <c r="G215" s="4">
        <f>SUMPRODUCT(MOD(INT(E215/2^({0,1,2,3,4,5})),2))</f>
        <v>1</v>
      </c>
      <c r="H215" s="316">
        <f>IF(MOD(INT($E215/2^0),2)=1,0,FACT($G215)*FACT(5-$G215)/FACT(6)*IF($F215=1,1,-1)*($C215-INDEX($C$183:$C$310,$B215+2^0)))</f>
        <v>0.0006354787308220811</v>
      </c>
      <c r="I215" s="316">
        <f>IF(MOD(INT($E215/2^1),2)=1,0,FACT($G215)*FACT(5-$G215)/FACT(6)*IF($F215=1,1,-1)*($C215-INDEX($C$183:$C$310,$B215+2^1)))</f>
        <v>0.0011856886646835077</v>
      </c>
      <c r="J215" s="316">
        <f>IF(MOD(INT($E215/2^2),2)=1,0,FACT($G215)*FACT(5-$G215)/FACT(6)*IF($F215=1,1,-1)*($C215-INDEX($C$183:$C$310,$B215+2^2)))</f>
        <v>0.0003713528529779871</v>
      </c>
      <c r="K215" s="316">
        <f>IF(MOD(INT($E215/2^3),2)=1,0,FACT($G215)*FACT(5-$G215)/FACT(6)*IF($F215=1,1,-1)*($C215-INDEX($C$183:$C$310,$B215+2^3)))</f>
        <v>0.0007784606847717128</v>
      </c>
      <c r="L215" s="316">
        <f>IF(MOD(INT($E215/2^4),2)=1,0,FACT($G215)*FACT(5-$G215)/FACT(6)*IF($F215=1,1,-1)*($C215-INDEX($C$183:$C$310,$B215+2^4)))</f>
        <v>0.0018478475008921746</v>
      </c>
      <c r="M215" s="316">
        <f>IF(MOD(INT($E215/2^5),2)=1,0,FACT($G215)*FACT(5-$G215)/FACT(6)*IF($F215=1,1,-1)*($C215-INDEX($C$183:$C$310,$B215+2^5)))</f>
        <v>0</v>
      </c>
      <c r="N215" s="4"/>
      <c r="O215" s="4"/>
      <c r="P215" s="4"/>
      <c r="Q215" s="4"/>
      <c r="R215" s="4"/>
      <c r="S215" s="4"/>
      <c r="T215" s="4"/>
      <c r="U215" s="4"/>
      <c r="V215" s="4"/>
      <c r="W215" s="4"/>
      <c r="X215" s="4"/>
      <c r="Y215" s="4"/>
      <c r="Z215" s="4"/>
      <c r="AA215" s="4"/>
      <c r="AB215" s="4"/>
      <c r="AC215" s="4"/>
      <c r="AD215" s="4"/>
      <c r="AE215" s="4"/>
      <c r="AF215" s="4"/>
      <c r="AG215" s="4"/>
      <c r="AH215" s="4"/>
    </row>
    <row r="216" ht="12.75" hidden="1" outlineLevel="1">
      <c r="A216" s="4"/>
      <c r="B216" s="4">
        <f>ROW()-ROW($B$182)</f>
        <v>34</v>
      </c>
      <c r="C216" s="187">
        <v>0.1746700261524856</v>
      </c>
      <c r="D216" s="190">
        <v>2.236554242176697</v>
      </c>
      <c r="E216" s="4">
        <f>MOD(B216-1,64)</f>
        <v>33</v>
      </c>
      <c r="F216" s="4">
        <f>IF(B216&lt;=64,1,2)</f>
        <v>1</v>
      </c>
      <c r="G216" s="4">
        <f>SUMPRODUCT(MOD(INT(E216/2^({0,1,2,3,4,5})),2))</f>
        <v>2</v>
      </c>
      <c r="H216" s="316">
        <f>IF(MOD(INT($E216/2^0),2)=1,0,FACT($G216)*FACT(5-$G216)/FACT(6)*IF($F216=1,1,-1)*($C216-INDEX($C$183:$C$310,$B216+2^0)))</f>
        <v>0</v>
      </c>
      <c r="I216" s="316">
        <f>IF(MOD(INT($E216/2^1),2)=1,0,FACT($G216)*FACT(5-$G216)/FACT(6)*IF($F216=1,1,-1)*($C216-INDEX($C$183:$C$310,$B216+2^1)))</f>
        <v>0.0006110893451052202</v>
      </c>
      <c r="J216" s="316">
        <f>IF(MOD(INT($E216/2^2),2)=1,0,FACT($G216)*FACT(5-$G216)/FACT(6)*IF($F216=1,1,-1)*($C216-INDEX($C$183:$C$310,$B216+2^2)))</f>
        <v>0.0001696297224614877</v>
      </c>
      <c r="K216" s="316">
        <f>IF(MOD(INT($E216/2^3),2)=1,0,FACT($G216)*FACT(5-$G216)/FACT(6)*IF($F216=1,1,-1)*($C216-INDEX($C$183:$C$310,$B216+2^3)))</f>
        <v>0.000397539324833159</v>
      </c>
      <c r="L216" s="316">
        <f>IF(MOD(INT($E216/2^4),2)=1,0,FACT($G216)*FACT(5-$G216)/FACT(6)*IF($F216=1,1,-1)*($C216-INDEX($C$183:$C$310,$B216+2^4)))</f>
        <v>0.0009256975648403443</v>
      </c>
      <c r="M216" s="316">
        <f>IF(MOD(INT($E216/2^5),2)=1,0,FACT($G216)*FACT(5-$G216)/FACT(6)*IF($F216=1,1,-1)*($C216-INDEX($C$183:$C$310,$B216+2^5)))</f>
        <v>0</v>
      </c>
      <c r="N216" s="4"/>
      <c r="O216" s="4"/>
      <c r="P216" s="4"/>
      <c r="Q216" s="4"/>
      <c r="R216" s="4"/>
      <c r="S216" s="4"/>
      <c r="T216" s="4"/>
      <c r="U216" s="4"/>
      <c r="V216" s="4"/>
      <c r="W216" s="4"/>
      <c r="X216" s="4"/>
      <c r="Y216" s="4"/>
      <c r="Z216" s="4"/>
      <c r="AA216" s="4"/>
      <c r="AB216" s="4"/>
      <c r="AC216" s="4"/>
      <c r="AD216" s="4"/>
      <c r="AE216" s="4"/>
      <c r="AF216" s="4"/>
      <c r="AG216" s="4"/>
      <c r="AH216" s="4"/>
    </row>
    <row r="217" ht="12.75" hidden="1" outlineLevel="1">
      <c r="A217" s="4"/>
      <c r="B217" s="4">
        <f>ROW()-ROW($B$182)</f>
        <v>35</v>
      </c>
      <c r="C217" s="187">
        <v>0.1581637281366428</v>
      </c>
      <c r="D217" s="190">
        <v>2.0837700755570645</v>
      </c>
      <c r="E217" s="4">
        <f>MOD(B217-1,64)</f>
        <v>34</v>
      </c>
      <c r="F217" s="4">
        <f>IF(B217&lt;=64,1,2)</f>
        <v>1</v>
      </c>
      <c r="G217" s="4">
        <f>SUMPRODUCT(MOD(INT(E217/2^({0,1,2,3,4,5})),2))</f>
        <v>2</v>
      </c>
      <c r="H217" s="316">
        <f>IF(MOD(INT($E217/2^0),2)=1,0,FACT($G217)*FACT(5-$G217)/FACT(6)*IF($F217=1,1,-1)*($C217-INDEX($C$183:$C$310,$B217+2^0)))</f>
        <v>0.0003359843781745068</v>
      </c>
      <c r="I217" s="316">
        <f>IF(MOD(INT($E217/2^1),2)=1,0,FACT($G217)*FACT(5-$G217)/FACT(6)*IF($F217=1,1,-1)*($C217-INDEX($C$183:$C$310,$B217+2^1)))</f>
        <v>0</v>
      </c>
      <c r="J217" s="316">
        <f>IF(MOD(INT($E217/2^2),2)=1,0,FACT($G217)*FACT(5-$G217)/FACT(6)*IF($F217=1,1,-1)*($C217-INDEX($C$183:$C$310,$B217+2^2)))</f>
        <v>0.0001999305282782767</v>
      </c>
      <c r="K217" s="316">
        <f>IF(MOD(INT($E217/2^3),2)=1,0,FACT($G217)*FACT(5-$G217)/FACT(6)*IF($F217=1,1,-1)*($C217-INDEX($C$183:$C$310,$B217+2^3)))</f>
        <v>0.000414150797313025</v>
      </c>
      <c r="L217" s="316">
        <f>IF(MOD(INT($E217/2^4),2)=1,0,FACT($G217)*FACT(5-$G217)/FACT(6)*IF($F217=1,1,-1)*($C217-INDEX($C$183:$C$310,$B217+2^4)))</f>
        <v>0.0009922671336358416</v>
      </c>
      <c r="M217" s="316">
        <f>IF(MOD(INT($E217/2^5),2)=1,0,FACT($G217)*FACT(5-$G217)/FACT(6)*IF($F217=1,1,-1)*($C217-INDEX($C$183:$C$310,$B217+2^5)))</f>
        <v>0</v>
      </c>
      <c r="N217" s="4"/>
      <c r="O217" s="4"/>
      <c r="P217" s="4"/>
      <c r="Q217" s="4"/>
      <c r="R217" s="4"/>
      <c r="S217" s="4"/>
      <c r="T217" s="4"/>
      <c r="U217" s="4"/>
      <c r="V217" s="4"/>
      <c r="W217" s="4"/>
      <c r="X217" s="4"/>
      <c r="Y217" s="4"/>
      <c r="Z217" s="4"/>
      <c r="AA217" s="4"/>
      <c r="AB217" s="4"/>
      <c r="AC217" s="4"/>
      <c r="AD217" s="4"/>
      <c r="AE217" s="4"/>
      <c r="AF217" s="4"/>
      <c r="AG217" s="4"/>
      <c r="AH217" s="4"/>
    </row>
    <row r="218" ht="12.75" hidden="1" outlineLevel="1">
      <c r="A218" s="4"/>
      <c r="B218" s="4">
        <f>ROW()-ROW($B$182)</f>
        <v>36</v>
      </c>
      <c r="C218" s="187">
        <v>0.1380046654461724</v>
      </c>
      <c r="D218" s="190">
        <v>1.9086232620117072</v>
      </c>
      <c r="E218" s="4">
        <f>MOD(B218-1,64)</f>
        <v>35</v>
      </c>
      <c r="F218" s="4">
        <f>IF(B218&lt;=64,1,2)</f>
        <v>1</v>
      </c>
      <c r="G218" s="4">
        <f>SUMPRODUCT(MOD(INT(E218/2^({0,1,2,3,4,5})),2))</f>
        <v>3</v>
      </c>
      <c r="H218" s="316">
        <f>IF(MOD(INT($E218/2^0),2)=1,0,FACT($G218)*FACT(5-$G218)/FACT(6)*IF($F218=1,1,-1)*($C218-INDEX($C$183:$C$310,$B218+2^0)))</f>
        <v>0</v>
      </c>
      <c r="I218" s="316">
        <f>IF(MOD(INT($E218/2^1),2)=1,0,FACT($G218)*FACT(5-$G218)/FACT(6)*IF($F218=1,1,-1)*($C218-INDEX($C$183:$C$310,$B218+2^1)))</f>
        <v>0</v>
      </c>
      <c r="J218" s="316">
        <f>IF(MOD(INT($E218/2^2),2)=1,0,FACT($G218)*FACT(5-$G218)/FACT(6)*IF($F218=1,1,-1)*($C218-INDEX($C$183:$C$310,$B218+2^2)))</f>
        <v>0.00018374694962773516</v>
      </c>
      <c r="K218" s="316">
        <f>IF(MOD(INT($E218/2^3),2)=1,0,FACT($G218)*FACT(5-$G218)/FACT(6)*IF($F218=1,1,-1)*($C218-INDEX($C$183:$C$310,$B218+2^3)))</f>
        <v>0.0004254859418921749</v>
      </c>
      <c r="L218" s="316">
        <f>IF(MOD(INT($E218/2^4),2)=1,0,FACT($G218)*FACT(5-$G218)/FACT(6)*IF($F218=1,1,-1)*($C218-INDEX($C$183:$C$310,$B218+2^4)))</f>
        <v>0.001000488965687829</v>
      </c>
      <c r="M218" s="316">
        <f>IF(MOD(INT($E218/2^5),2)=1,0,FACT($G218)*FACT(5-$G218)/FACT(6)*IF($F218=1,1,-1)*($C218-INDEX($C$183:$C$310,$B218+2^5)))</f>
        <v>0</v>
      </c>
      <c r="N218" s="4"/>
      <c r="O218" s="4"/>
      <c r="P218" s="4"/>
      <c r="Q218" s="4"/>
      <c r="R218" s="4"/>
      <c r="S218" s="4"/>
      <c r="T218" s="4"/>
      <c r="U218" s="4"/>
      <c r="V218" s="4"/>
      <c r="W218" s="4"/>
      <c r="X218" s="4"/>
      <c r="Y218" s="4"/>
      <c r="Z218" s="4"/>
      <c r="AA218" s="4"/>
      <c r="AB218" s="4"/>
      <c r="AC218" s="4"/>
      <c r="AD218" s="4"/>
      <c r="AE218" s="4"/>
      <c r="AF218" s="4"/>
      <c r="AG218" s="4"/>
      <c r="AH218" s="4"/>
    </row>
    <row r="219" ht="12.75" hidden="1" outlineLevel="1">
      <c r="A219" s="4"/>
      <c r="B219" s="4">
        <f>ROW()-ROW($B$182)</f>
        <v>37</v>
      </c>
      <c r="C219" s="187">
        <v>0.18259380248780843</v>
      </c>
      <c r="D219" s="190">
        <v>2.313012573028807</v>
      </c>
      <c r="E219" s="4">
        <f>MOD(B219-1,64)</f>
        <v>36</v>
      </c>
      <c r="F219" s="4">
        <f>IF(B219&lt;=64,1,2)</f>
        <v>1</v>
      </c>
      <c r="G219" s="4">
        <f>SUMPRODUCT(MOD(INT(E219/2^({0,1,2,3,4,5})),2))</f>
        <v>2</v>
      </c>
      <c r="H219" s="316">
        <f>IF(MOD(INT($E219/2^0),2)=1,0,FACT($G219)*FACT(5-$G219)/FACT(6)*IF($F219=1,1,-1)*($C219-INDEX($C$183:$C$310,$B219+2^0)))</f>
        <v>0.0003016926613835347</v>
      </c>
      <c r="I219" s="316">
        <f>IF(MOD(INT($E219/2^1),2)=1,0,FACT($G219)*FACT(5-$G219)/FACT(6)*IF($F219=1,1,-1)*($C219-INDEX($C$183:$C$310,$B219+2^1)))</f>
        <v>0.000607098434131037</v>
      </c>
      <c r="J219" s="316">
        <f>IF(MOD(INT($E219/2^2),2)=1,0,FACT($G219)*FACT(5-$G219)/FACT(6)*IF($F219=1,1,-1)*($C219-INDEX($C$183:$C$310,$B219+2^2)))</f>
        <v>0</v>
      </c>
      <c r="K219" s="316">
        <f>IF(MOD(INT($E219/2^3),2)=1,0,FACT($G219)*FACT(5-$G219)/FACT(6)*IF($F219=1,1,-1)*($C219-INDEX($C$183:$C$310,$B219+2^3)))</f>
        <v>0.0004048978446688981</v>
      </c>
      <c r="L219" s="316">
        <f>IF(MOD(INT($E219/2^4),2)=1,0,FACT($G219)*FACT(5-$G219)/FACT(6)*IF($F219=1,1,-1)*($C219-INDEX($C$183:$C$310,$B219+2^4)))</f>
        <v>0.0009319776880392058</v>
      </c>
      <c r="M219" s="316">
        <f>IF(MOD(INT($E219/2^5),2)=1,0,FACT($G219)*FACT(5-$G219)/FACT(6)*IF($F219=1,1,-1)*($C219-INDEX($C$183:$C$310,$B219+2^5)))</f>
        <v>0</v>
      </c>
      <c r="N219" s="4"/>
      <c r="O219" s="4"/>
      <c r="P219" s="4"/>
      <c r="Q219" s="4"/>
      <c r="R219" s="4"/>
      <c r="S219" s="4"/>
      <c r="T219" s="4"/>
      <c r="U219" s="4"/>
      <c r="V219" s="4"/>
      <c r="W219" s="4"/>
      <c r="X219" s="4"/>
      <c r="Y219" s="4"/>
      <c r="Z219" s="4"/>
      <c r="AA219" s="4"/>
      <c r="AB219" s="4"/>
      <c r="AC219" s="4"/>
      <c r="AD219" s="4"/>
      <c r="AE219" s="4"/>
      <c r="AF219" s="4"/>
      <c r="AG219" s="4"/>
      <c r="AH219" s="4"/>
    </row>
    <row r="220" ht="12.75" hidden="1" outlineLevel="1">
      <c r="A220" s="4"/>
      <c r="B220" s="4">
        <f>ROW()-ROW($B$182)</f>
        <v>38</v>
      </c>
      <c r="C220" s="187">
        <v>0.16449224280479635</v>
      </c>
      <c r="D220" s="190">
        <v>2.1413270306403374</v>
      </c>
      <c r="E220" s="4">
        <f>MOD(B220-1,64)</f>
        <v>37</v>
      </c>
      <c r="F220" s="4">
        <f>IF(B220&lt;=64,1,2)</f>
        <v>1</v>
      </c>
      <c r="G220" s="4">
        <f>SUMPRODUCT(MOD(INT(E220/2^({0,1,2,3,4,5})),2))</f>
        <v>3</v>
      </c>
      <c r="H220" s="316">
        <f>IF(MOD(INT($E220/2^0),2)=1,0,FACT($G220)*FACT(5-$G220)/FACT(6)*IF($F220=1,1,-1)*($C220-INDEX($C$183:$C$310,$B220+2^0)))</f>
        <v>0</v>
      </c>
      <c r="I220" s="316">
        <f>IF(MOD(INT($E220/2^1),2)=1,0,FACT($G220)*FACT(5-$G220)/FACT(6)*IF($F220=1,1,-1)*($C220-INDEX($C$183:$C$310,$B220+2^1)))</f>
        <v>0.0006252065722714676</v>
      </c>
      <c r="J220" s="316">
        <f>IF(MOD(INT($E220/2^2),2)=1,0,FACT($G220)*FACT(5-$G220)/FACT(6)*IF($F220=1,1,-1)*($C220-INDEX($C$183:$C$310,$B220+2^2)))</f>
        <v>0</v>
      </c>
      <c r="K220" s="316">
        <f>IF(MOD(INT($E220/2^3),2)=1,0,FACT($G220)*FACT(5-$G220)/FACT(6)*IF($F220=1,1,-1)*($C220-INDEX($C$183:$C$310,$B220+2^3)))</f>
        <v>0.00041239764913774866</v>
      </c>
      <c r="L220" s="316">
        <f>IF(MOD(INT($E220/2^4),2)=1,0,FACT($G220)*FACT(5-$G220)/FACT(6)*IF($F220=1,1,-1)*($C220-INDEX($C$183:$C$310,$B220+2^4)))</f>
        <v>0.000933909653249058</v>
      </c>
      <c r="M220" s="316">
        <f>IF(MOD(INT($E220/2^5),2)=1,0,FACT($G220)*FACT(5-$G220)/FACT(6)*IF($F220=1,1,-1)*($C220-INDEX($C$183:$C$310,$B220+2^5)))</f>
        <v>0</v>
      </c>
      <c r="N220" s="4"/>
      <c r="O220" s="4"/>
      <c r="P220" s="4"/>
      <c r="Q220" s="4"/>
      <c r="R220" s="4"/>
      <c r="S220" s="4"/>
      <c r="T220" s="4"/>
      <c r="U220" s="4"/>
      <c r="V220" s="4"/>
      <c r="W220" s="4"/>
      <c r="X220" s="4"/>
      <c r="Y220" s="4"/>
      <c r="Z220" s="4"/>
      <c r="AA220" s="4"/>
      <c r="AB220" s="4"/>
      <c r="AC220" s="4"/>
      <c r="AD220" s="4"/>
      <c r="AE220" s="4"/>
      <c r="AF220" s="4"/>
      <c r="AG220" s="4"/>
      <c r="AH220" s="4"/>
    </row>
    <row r="221" ht="12.75" hidden="1" outlineLevel="1">
      <c r="A221" s="4"/>
      <c r="B221" s="4">
        <f>ROW()-ROW($B$182)</f>
        <v>39</v>
      </c>
      <c r="C221" s="187">
        <v>0.1461678964399462</v>
      </c>
      <c r="D221" s="190">
        <v>1.9780679198857454</v>
      </c>
      <c r="E221" s="4">
        <f>MOD(B221-1,64)</f>
        <v>38</v>
      </c>
      <c r="F221" s="4">
        <f>IF(B221&lt;=64,1,2)</f>
        <v>1</v>
      </c>
      <c r="G221" s="4">
        <f>SUMPRODUCT(MOD(INT(E221/2^({0,1,2,3,4,5})),2))</f>
        <v>3</v>
      </c>
      <c r="H221" s="316">
        <f>IF(MOD(INT($E221/2^0),2)=1,0,FACT($G221)*FACT(5-$G221)/FACT(6)*IF($F221=1,1,-1)*($C221-INDEX($C$183:$C$310,$B221+2^0)))</f>
        <v>0.0003198007995239653</v>
      </c>
      <c r="I221" s="316">
        <f>IF(MOD(INT($E221/2^1),2)=1,0,FACT($G221)*FACT(5-$G221)/FACT(6)*IF($F221=1,1,-1)*($C221-INDEX($C$183:$C$310,$B221+2^1)))</f>
        <v>0</v>
      </c>
      <c r="J221" s="316">
        <f>IF(MOD(INT($E221/2^2),2)=1,0,FACT($G221)*FACT(5-$G221)/FACT(6)*IF($F221=1,1,-1)*($C221-INDEX($C$183:$C$310,$B221+2^2)))</f>
        <v>0</v>
      </c>
      <c r="K221" s="316">
        <f>IF(MOD(INT($E221/2^3),2)=1,0,FACT($G221)*FACT(5-$G221)/FACT(6)*IF($F221=1,1,-1)*($C221-INDEX($C$183:$C$310,$B221+2^3)))</f>
        <v>0.00043280091781069393</v>
      </c>
      <c r="L221" s="316">
        <f>IF(MOD(INT($E221/2^4),2)=1,0,FACT($G221)*FACT(5-$G221)/FACT(6)*IF($F221=1,1,-1)*($C221-INDEX($C$183:$C$310,$B221+2^4)))</f>
        <v>0.0010056581248117553</v>
      </c>
      <c r="M221" s="316">
        <f>IF(MOD(INT($E221/2^5),2)=1,0,FACT($G221)*FACT(5-$G221)/FACT(6)*IF($F221=1,1,-1)*($C221-INDEX($C$183:$C$310,$B221+2^5)))</f>
        <v>0</v>
      </c>
      <c r="N221" s="4"/>
      <c r="O221" s="4"/>
      <c r="P221" s="4"/>
      <c r="Q221" s="4"/>
      <c r="R221" s="4"/>
      <c r="S221" s="4"/>
      <c r="T221" s="4"/>
      <c r="U221" s="4"/>
      <c r="V221" s="4"/>
      <c r="W221" s="4"/>
      <c r="X221" s="4"/>
      <c r="Y221" s="4"/>
      <c r="Z221" s="4"/>
      <c r="AA221" s="4"/>
      <c r="AB221" s="4"/>
      <c r="AC221" s="4"/>
      <c r="AD221" s="4"/>
      <c r="AE221" s="4"/>
      <c r="AF221" s="4"/>
      <c r="AG221" s="4"/>
      <c r="AH221" s="4"/>
    </row>
    <row r="222" ht="12.75" hidden="1" outlineLevel="1">
      <c r="A222" s="4"/>
      <c r="B222" s="4">
        <f>ROW()-ROW($B$182)</f>
        <v>40</v>
      </c>
      <c r="C222" s="187">
        <v>0.1269798484685083</v>
      </c>
      <c r="D222" s="190">
        <v>1.8179450523454905</v>
      </c>
      <c r="E222" s="4">
        <f>MOD(B222-1,64)</f>
        <v>39</v>
      </c>
      <c r="F222" s="4">
        <f>IF(B222&lt;=64,1,2)</f>
        <v>1</v>
      </c>
      <c r="G222" s="4">
        <f>SUMPRODUCT(MOD(INT(E222/2^({0,1,2,3,4,5})),2))</f>
        <v>4</v>
      </c>
      <c r="H222" s="316">
        <f>IF(MOD(INT($E222/2^0),2)=1,0,FACT($G222)*FACT(5-$G222)/FACT(6)*IF($F222=1,1,-1)*($C222-INDEX($C$183:$C$310,$B222+2^0)))</f>
        <v>0</v>
      </c>
      <c r="I222" s="316">
        <f>IF(MOD(INT($E222/2^1),2)=1,0,FACT($G222)*FACT(5-$G222)/FACT(6)*IF($F222=1,1,-1)*($C222-INDEX($C$183:$C$310,$B222+2^1)))</f>
        <v>0</v>
      </c>
      <c r="J222" s="316">
        <f>IF(MOD(INT($E222/2^2),2)=1,0,FACT($G222)*FACT(5-$G222)/FACT(6)*IF($F222=1,1,-1)*($C222-INDEX($C$183:$C$310,$B222+2^2)))</f>
        <v>0</v>
      </c>
      <c r="K222" s="316">
        <f>IF(MOD(INT($E222/2^3),2)=1,0,FACT($G222)*FACT(5-$G222)/FACT(6)*IF($F222=1,1,-1)*($C222-INDEX($C$183:$C$310,$B222+2^3)))</f>
        <v>0.0008868425268969989</v>
      </c>
      <c r="L222" s="316">
        <f>IF(MOD(INT($E222/2^4),2)=1,0,FACT($G222)*FACT(5-$G222)/FACT(6)*IF($F222=1,1,-1)*($C222-INDEX($C$183:$C$310,$B222+2^4)))</f>
        <v>0.0020283580079328402</v>
      </c>
      <c r="M222" s="316">
        <f>IF(MOD(INT($E222/2^5),2)=1,0,FACT($G222)*FACT(5-$G222)/FACT(6)*IF($F222=1,1,-1)*($C222-INDEX($C$183:$C$310,$B222+2^5)))</f>
        <v>0</v>
      </c>
      <c r="N222" s="4"/>
      <c r="O222" s="4"/>
      <c r="P222" s="4"/>
      <c r="Q222" s="4"/>
      <c r="R222" s="4"/>
      <c r="S222" s="4"/>
      <c r="T222" s="4"/>
      <c r="U222" s="4"/>
      <c r="V222" s="4"/>
      <c r="W222" s="4"/>
      <c r="X222" s="4"/>
      <c r="Y222" s="4"/>
      <c r="Z222" s="4"/>
      <c r="AA222" s="4"/>
      <c r="AB222" s="4"/>
      <c r="AC222" s="4"/>
      <c r="AD222" s="4"/>
      <c r="AE222" s="4"/>
      <c r="AF222" s="4"/>
      <c r="AG222" s="4"/>
      <c r="AH222" s="4"/>
    </row>
    <row r="223" ht="12.75" hidden="1" outlineLevel="1">
      <c r="A223" s="4"/>
      <c r="B223" s="4">
        <f>ROW()-ROW($B$182)</f>
        <v>41</v>
      </c>
      <c r="C223" s="187">
        <v>0.17038056753399666</v>
      </c>
      <c r="D223" s="190">
        <v>2.1960160592696245</v>
      </c>
      <c r="E223" s="4">
        <f>MOD(B223-1,64)</f>
        <v>40</v>
      </c>
      <c r="F223" s="4">
        <f>IF(B223&lt;=64,1,2)</f>
        <v>1</v>
      </c>
      <c r="G223" s="4">
        <f>SUMPRODUCT(MOD(INT(E223/2^({0,1,2,3,4,5})),2))</f>
        <v>2</v>
      </c>
      <c r="H223" s="316">
        <f>IF(MOD(INT($E223/2^0),2)=1,0,FACT($G223)*FACT(5-$G223)/FACT(6)*IF($F223=1,1,-1)*($C223-INDEX($C$183:$C$310,$B223+2^0)))</f>
        <v>0.00032604834785834316</v>
      </c>
      <c r="I223" s="316">
        <f>IF(MOD(INT($E223/2^1),2)=1,0,FACT($G223)*FACT(5-$G223)/FACT(6)*IF($F223=1,1,-1)*($C223-INDEX($C$183:$C$310,$B223+2^1)))</f>
        <v>0.0006177647872689225</v>
      </c>
      <c r="J223" s="316">
        <f>IF(MOD(INT($E223/2^2),2)=1,0,FACT($G223)*FACT(5-$G223)/FACT(6)*IF($F223=1,1,-1)*($C223-INDEX($C$183:$C$310,$B223+2^2)))</f>
        <v>0.00020134392877203531</v>
      </c>
      <c r="K223" s="316">
        <f>IF(MOD(INT($E223/2^3),2)=1,0,FACT($G223)*FACT(5-$G223)/FACT(6)*IF($F223=1,1,-1)*($C223-INDEX($C$183:$C$310,$B223+2^3)))</f>
        <v>0</v>
      </c>
      <c r="L223" s="316">
        <f>IF(MOD(INT($E223/2^4),2)=1,0,FACT($G223)*FACT(5-$G223)/FACT(6)*IF($F223=1,1,-1)*($C223-INDEX($C$183:$C$310,$B223+2^4)))</f>
        <v>0.0010106981887659423</v>
      </c>
      <c r="M223" s="316">
        <f>IF(MOD(INT($E223/2^5),2)=1,0,FACT($G223)*FACT(5-$G223)/FACT(6)*IF($F223=1,1,-1)*($C223-INDEX($C$183:$C$310,$B223+2^5)))</f>
        <v>0</v>
      </c>
      <c r="N223" s="4"/>
      <c r="O223" s="4"/>
      <c r="P223" s="4"/>
      <c r="Q223" s="4"/>
      <c r="R223" s="4"/>
      <c r="S223" s="4"/>
      <c r="T223" s="4"/>
      <c r="U223" s="4"/>
      <c r="V223" s="4"/>
      <c r="W223" s="4"/>
      <c r="X223" s="4"/>
      <c r="Y223" s="4"/>
      <c r="Z223" s="4"/>
      <c r="AA223" s="4"/>
      <c r="AB223" s="4"/>
      <c r="AC223" s="4"/>
      <c r="AD223" s="4"/>
      <c r="AE223" s="4"/>
      <c r="AF223" s="4"/>
      <c r="AG223" s="4"/>
      <c r="AH223" s="4"/>
    </row>
    <row r="224" ht="12.75" hidden="1" outlineLevel="1">
      <c r="A224" s="4"/>
      <c r="B224" s="4">
        <f>ROW()-ROW($B$182)</f>
        <v>42</v>
      </c>
      <c r="C224" s="187">
        <v>0.15081766666249607</v>
      </c>
      <c r="D224" s="190">
        <v>2.0185178834953357</v>
      </c>
      <c r="E224" s="4">
        <f>MOD(B224-1,64)</f>
        <v>41</v>
      </c>
      <c r="F224" s="4">
        <f>IF(B224&lt;=64,1,2)</f>
        <v>1</v>
      </c>
      <c r="G224" s="4">
        <f>SUMPRODUCT(MOD(INT(E224/2^({0,1,2,3,4,5})),2))</f>
        <v>3</v>
      </c>
      <c r="H224" s="316">
        <f>IF(MOD(INT($E224/2^0),2)=1,0,FACT($G224)*FACT(5-$G224)/FACT(6)*IF($F224=1,1,-1)*($C224-INDEX($C$183:$C$310,$B224+2^0)))</f>
        <v>0</v>
      </c>
      <c r="I224" s="316">
        <f>IF(MOD(INT($E224/2^1),2)=1,0,FACT($G224)*FACT(5-$G224)/FACT(6)*IF($F224=1,1,-1)*($C224-INDEX($C$183:$C$310,$B224+2^1)))</f>
        <v>0.0006390359621642361</v>
      </c>
      <c r="J224" s="316">
        <f>IF(MOD(INT($E224/2^2),2)=1,0,FACT($G224)*FACT(5-$G224)/FACT(6)*IF($F224=1,1,-1)*($C224-INDEX($C$183:$C$310,$B224+2^2)))</f>
        <v>0.00018448804676607735</v>
      </c>
      <c r="K224" s="316">
        <f>IF(MOD(INT($E224/2^3),2)=1,0,FACT($G224)*FACT(5-$G224)/FACT(6)*IF($F224=1,1,-1)*($C224-INDEX($C$183:$C$310,$B224+2^3)))</f>
        <v>0</v>
      </c>
      <c r="L224" s="316">
        <f>IF(MOD(INT($E224/2^4),2)=1,0,FACT($G224)*FACT(5-$G224)/FACT(6)*IF($F224=1,1,-1)*($C224-INDEX($C$183:$C$310,$B224+2^4)))</f>
        <v>0.0010163847407290187</v>
      </c>
      <c r="M224" s="316">
        <f>IF(MOD(INT($E224/2^5),2)=1,0,FACT($G224)*FACT(5-$G224)/FACT(6)*IF($F224=1,1,-1)*($C224-INDEX($C$183:$C$310,$B224+2^5)))</f>
        <v>0</v>
      </c>
      <c r="N224" s="4"/>
      <c r="O224" s="4"/>
      <c r="P224" s="4"/>
      <c r="Q224" s="4"/>
      <c r="R224" s="4"/>
      <c r="S224" s="4"/>
      <c r="T224" s="4"/>
      <c r="U224" s="4"/>
      <c r="V224" s="4"/>
      <c r="W224" s="4"/>
      <c r="X224" s="4"/>
      <c r="Y224" s="4"/>
      <c r="Z224" s="4"/>
      <c r="AA224" s="4"/>
      <c r="AB224" s="4"/>
      <c r="AC224" s="4"/>
      <c r="AD224" s="4"/>
      <c r="AE224" s="4"/>
      <c r="AF224" s="4"/>
      <c r="AG224" s="4"/>
      <c r="AH224" s="4"/>
    </row>
    <row r="225" ht="12.75" hidden="1" outlineLevel="1">
      <c r="A225" s="4"/>
      <c r="B225" s="4">
        <f>ROW()-ROW($B$182)</f>
        <v>43</v>
      </c>
      <c r="C225" s="187">
        <v>0.1333146802978613</v>
      </c>
      <c r="D225" s="190">
        <v>1.86961667138493</v>
      </c>
      <c r="E225" s="4">
        <f>MOD(B225-1,64)</f>
        <v>42</v>
      </c>
      <c r="F225" s="4">
        <f>IF(B225&lt;=64,1,2)</f>
        <v>1</v>
      </c>
      <c r="G225" s="4">
        <f>SUMPRODUCT(MOD(INT(E225/2^({0,1,2,3,4,5})),2))</f>
        <v>3</v>
      </c>
      <c r="H225" s="316">
        <f>IF(MOD(INT($E225/2^0),2)=1,0,FACT($G225)*FACT(5-$G225)/FACT(6)*IF($F225=1,1,-1)*($C225-INDEX($C$183:$C$310,$B225+2^0)))</f>
        <v>0.0003473195227536567</v>
      </c>
      <c r="I225" s="316">
        <f>IF(MOD(INT($E225/2^1),2)=1,0,FACT($G225)*FACT(5-$G225)/FACT(6)*IF($F225=1,1,-1)*($C225-INDEX($C$183:$C$310,$B225+2^1)))</f>
        <v>0</v>
      </c>
      <c r="J225" s="316">
        <f>IF(MOD(INT($E225/2^2),2)=1,0,FACT($G225)*FACT(5-$G225)/FACT(6)*IF($F225=1,1,-1)*($C225-INDEX($C$183:$C$310,$B225+2^2)))</f>
        <v>0.00021858064877594563</v>
      </c>
      <c r="K225" s="316">
        <f>IF(MOD(INT($E225/2^3),2)=1,0,FACT($G225)*FACT(5-$G225)/FACT(6)*IF($F225=1,1,-1)*($C225-INDEX($C$183:$C$310,$B225+2^3)))</f>
        <v>0</v>
      </c>
      <c r="L225" s="316">
        <f>IF(MOD(INT($E225/2^4),2)=1,0,FACT($G225)*FACT(5-$G225)/FACT(6)*IF($F225=1,1,-1)*($C225-INDEX($C$183:$C$310,$B225+2^4)))</f>
        <v>0.0010966738003063655</v>
      </c>
      <c r="M225" s="316">
        <f>IF(MOD(INT($E225/2^5),2)=1,0,FACT($G225)*FACT(5-$G225)/FACT(6)*IF($F225=1,1,-1)*($C225-INDEX($C$183:$C$310,$B225+2^5)))</f>
        <v>0</v>
      </c>
      <c r="N225" s="4"/>
      <c r="O225" s="4"/>
      <c r="P225" s="4"/>
      <c r="Q225" s="4"/>
      <c r="R225" s="4"/>
      <c r="S225" s="4"/>
      <c r="T225" s="4"/>
      <c r="U225" s="4"/>
      <c r="V225" s="4"/>
      <c r="W225" s="4"/>
      <c r="X225" s="4"/>
      <c r="Y225" s="4"/>
      <c r="Z225" s="4"/>
      <c r="AA225" s="4"/>
      <c r="AB225" s="4"/>
      <c r="AC225" s="4"/>
      <c r="AD225" s="4"/>
      <c r="AE225" s="4"/>
      <c r="AF225" s="4"/>
      <c r="AG225" s="4"/>
      <c r="AH225" s="4"/>
    </row>
    <row r="226" ht="12.75" hidden="1" outlineLevel="1">
      <c r="A226" s="4"/>
      <c r="B226" s="4">
        <f>ROW()-ROW($B$182)</f>
        <v>44</v>
      </c>
      <c r="C226" s="187">
        <v>0.11247550893264191</v>
      </c>
      <c r="D226" s="190">
        <v>1.7039321369267386</v>
      </c>
      <c r="E226" s="4">
        <f>MOD(B226-1,64)</f>
        <v>43</v>
      </c>
      <c r="F226" s="4">
        <f>IF(B226&lt;=64,1,2)</f>
        <v>1</v>
      </c>
      <c r="G226" s="4">
        <f>SUMPRODUCT(MOD(INT(E226/2^({0,1,2,3,4,5})),2))</f>
        <v>4</v>
      </c>
      <c r="H226" s="316">
        <f>IF(MOD(INT($E226/2^0),2)=1,0,FACT($G226)*FACT(5-$G226)/FACT(6)*IF($F226=1,1,-1)*($C226-INDEX($C$183:$C$310,$B226+2^0)))</f>
        <v>0</v>
      </c>
      <c r="I226" s="316">
        <f>IF(MOD(INT($E226/2^1),2)=1,0,FACT($G226)*FACT(5-$G226)/FACT(6)*IF($F226=1,1,-1)*($C226-INDEX($C$183:$C$310,$B226+2^1)))</f>
        <v>0</v>
      </c>
      <c r="J226" s="316">
        <f>IF(MOD(INT($E226/2^2),2)=1,0,FACT($G226)*FACT(5-$G226)/FACT(6)*IF($F226=1,1,-1)*($C226-INDEX($C$183:$C$310,$B226+2^2)))</f>
        <v>0.0004033645423681194</v>
      </c>
      <c r="K226" s="316">
        <f>IF(MOD(INT($E226/2^3),2)=1,0,FACT($G226)*FACT(5-$G226)/FACT(6)*IF($F226=1,1,-1)*($C226-INDEX($C$183:$C$310,$B226+2^3)))</f>
        <v>0</v>
      </c>
      <c r="L226" s="316">
        <f>IF(MOD(INT($E226/2^4),2)=1,0,FACT($G226)*FACT(5-$G226)/FACT(6)*IF($F226=1,1,-1)*($C226-INDEX($C$183:$C$310,$B226+2^4)))</f>
        <v>0.0022227596840142935</v>
      </c>
      <c r="M226" s="316">
        <f>IF(MOD(INT($E226/2^5),2)=1,0,FACT($G226)*FACT(5-$G226)/FACT(6)*IF($F226=1,1,-1)*($C226-INDEX($C$183:$C$310,$B226+2^5)))</f>
        <v>0</v>
      </c>
      <c r="N226" s="4"/>
      <c r="O226" s="4"/>
      <c r="P226" s="4"/>
      <c r="Q226" s="4"/>
      <c r="R226" s="4"/>
      <c r="S226" s="4"/>
      <c r="T226" s="4"/>
      <c r="U226" s="4"/>
      <c r="V226" s="4"/>
      <c r="W226" s="4"/>
      <c r="X226" s="4"/>
      <c r="Y226" s="4"/>
      <c r="Z226" s="4"/>
      <c r="AA226" s="4"/>
      <c r="AB226" s="4"/>
      <c r="AC226" s="4"/>
      <c r="AD226" s="4"/>
      <c r="AE226" s="4"/>
      <c r="AF226" s="4"/>
      <c r="AG226" s="4"/>
      <c r="AH226" s="4"/>
    </row>
    <row r="227" ht="12.75" hidden="1" outlineLevel="1">
      <c r="A227" s="4"/>
      <c r="B227" s="4">
        <f>ROW()-ROW($B$182)</f>
        <v>45</v>
      </c>
      <c r="C227" s="187">
        <v>0.15829993180767454</v>
      </c>
      <c r="D227" s="190">
        <v>2.084995653126081</v>
      </c>
      <c r="E227" s="4">
        <f>MOD(B227-1,64)</f>
        <v>44</v>
      </c>
      <c r="F227" s="4">
        <f>IF(B227&lt;=64,1,2)</f>
        <v>1</v>
      </c>
      <c r="G227" s="4">
        <f>SUMPRODUCT(MOD(INT(E227/2^({0,1,2,3,4,5})),2))</f>
        <v>3</v>
      </c>
      <c r="H227" s="316">
        <f>IF(MOD(INT($E227/2^0),2)=1,0,FACT($G227)*FACT(5-$G227)/FACT(6)*IF($F227=1,1,-1)*($C227-INDEX($C$183:$C$310,$B227+2^0)))</f>
        <v>0.00030919246585238517</v>
      </c>
      <c r="I227" s="316">
        <f>IF(MOD(INT($E227/2^1),2)=1,0,FACT($G227)*FACT(5-$G227)/FACT(6)*IF($F227=1,1,-1)*($C227-INDEX($C$183:$C$310,$B227+2^1)))</f>
        <v>0.0006350015072728328</v>
      </c>
      <c r="J227" s="316">
        <f>IF(MOD(INT($E227/2^2),2)=1,0,FACT($G227)*FACT(5-$G227)/FACT(6)*IF($F227=1,1,-1)*($C227-INDEX($C$183:$C$310,$B227+2^2)))</f>
        <v>0</v>
      </c>
      <c r="K227" s="316">
        <f>IF(MOD(INT($E227/2^3),2)=1,0,FACT($G227)*FACT(5-$G227)/FACT(6)*IF($F227=1,1,-1)*($C227-INDEX($C$183:$C$310,$B227+2^3)))</f>
        <v>0</v>
      </c>
      <c r="L227" s="316">
        <f>IF(MOD(INT($E227/2^4),2)=1,0,FACT($G227)*FACT(5-$G227)/FACT(6)*IF($F227=1,1,-1)*($C227-INDEX($C$183:$C$310,$B227+2^4)))</f>
        <v>0.001024419532480044</v>
      </c>
      <c r="M227" s="316">
        <f>IF(MOD(INT($E227/2^5),2)=1,0,FACT($G227)*FACT(5-$G227)/FACT(6)*IF($F227=1,1,-1)*($C227-INDEX($C$183:$C$310,$B227+2^5)))</f>
        <v>0</v>
      </c>
      <c r="N227" s="4"/>
      <c r="O227" s="4"/>
      <c r="P227" s="4"/>
      <c r="Q227" s="4"/>
      <c r="R227" s="4"/>
      <c r="S227" s="4"/>
      <c r="T227" s="4"/>
      <c r="U227" s="4"/>
      <c r="V227" s="4"/>
      <c r="W227" s="4"/>
      <c r="X227" s="4"/>
      <c r="Y227" s="4"/>
      <c r="Z227" s="4"/>
      <c r="AA227" s="4"/>
      <c r="AB227" s="4"/>
      <c r="AC227" s="4"/>
      <c r="AD227" s="4"/>
      <c r="AE227" s="4"/>
      <c r="AF227" s="4"/>
      <c r="AG227" s="4"/>
      <c r="AH227" s="4"/>
    </row>
    <row r="228" ht="12.75" hidden="1" outlineLevel="1">
      <c r="A228" s="4"/>
      <c r="B228" s="4">
        <f>ROW()-ROW($B$182)</f>
        <v>46</v>
      </c>
      <c r="C228" s="187">
        <v>0.13974838385653143</v>
      </c>
      <c r="D228" s="190">
        <v>1.9232906719589757</v>
      </c>
      <c r="E228" s="4">
        <f>MOD(B228-1,64)</f>
        <v>45</v>
      </c>
      <c r="F228" s="4">
        <f>IF(B228&lt;=64,1,2)</f>
        <v>1</v>
      </c>
      <c r="G228" s="4">
        <f>SUMPRODUCT(MOD(INT(E228/2^({0,1,2,3,4,5})),2))</f>
        <v>4</v>
      </c>
      <c r="H228" s="316">
        <f>IF(MOD(INT($E228/2^0),2)=1,0,FACT($G228)*FACT(5-$G228)/FACT(6)*IF($F228=1,1,-1)*($C228-INDEX($C$183:$C$310,$B228+2^0)))</f>
        <v>0</v>
      </c>
      <c r="I228" s="316">
        <f>IF(MOD(INT($E228/2^1),2)=1,0,FACT($G228)*FACT(5-$G228)/FACT(6)*IF($F228=1,1,-1)*($C228-INDEX($C$183:$C$310,$B228+2^1)))</f>
        <v>0.001312460373164437</v>
      </c>
      <c r="J228" s="316">
        <f>IF(MOD(INT($E228/2^2),2)=1,0,FACT($G228)*FACT(5-$G228)/FACT(6)*IF($F228=1,1,-1)*($C228-INDEX($C$183:$C$310,$B228+2^2)))</f>
        <v>0</v>
      </c>
      <c r="K228" s="316">
        <f>IF(MOD(INT($E228/2^3),2)=1,0,FACT($G228)*FACT(5-$G228)/FACT(6)*IF($F228=1,1,-1)*($C228-INDEX($C$183:$C$310,$B228+2^3)))</f>
        <v>0</v>
      </c>
      <c r="L228" s="316">
        <f>IF(MOD(INT($E228/2^4),2)=1,0,FACT($G228)*FACT(5-$G228)/FACT(6)*IF($F228=1,1,-1)*($C228-INDEX($C$183:$C$310,$B228+2^4)))</f>
        <v>0.002060383093774898</v>
      </c>
      <c r="M228" s="316">
        <f>IF(MOD(INT($E228/2^5),2)=1,0,FACT($G228)*FACT(5-$G228)/FACT(6)*IF($F228=1,1,-1)*($C228-INDEX($C$183:$C$310,$B228+2^5)))</f>
        <v>0</v>
      </c>
      <c r="N228" s="4"/>
      <c r="O228" s="4"/>
      <c r="P228" s="4"/>
      <c r="Q228" s="4"/>
      <c r="R228" s="4"/>
      <c r="S228" s="4"/>
      <c r="T228" s="4"/>
      <c r="U228" s="4"/>
      <c r="V228" s="4"/>
      <c r="W228" s="4"/>
      <c r="X228" s="4"/>
      <c r="Y228" s="4"/>
      <c r="Z228" s="4"/>
      <c r="AA228" s="4"/>
      <c r="AB228" s="4"/>
      <c r="AC228" s="4"/>
      <c r="AD228" s="4"/>
      <c r="AE228" s="4"/>
      <c r="AF228" s="4"/>
      <c r="AG228" s="4"/>
      <c r="AH228" s="4"/>
    </row>
    <row r="229" ht="12.75" hidden="1" outlineLevel="1">
      <c r="A229" s="4"/>
      <c r="B229" s="4">
        <f>ROW()-ROW($B$182)</f>
        <v>47</v>
      </c>
      <c r="C229" s="187">
        <v>0.12019984137130457</v>
      </c>
      <c r="D229" s="190">
        <v>1.7639145157136111</v>
      </c>
      <c r="E229" s="4">
        <f>MOD(B229-1,64)</f>
        <v>46</v>
      </c>
      <c r="F229" s="4">
        <f>IF(B229&lt;=64,1,2)</f>
        <v>1</v>
      </c>
      <c r="G229" s="4">
        <f>SUMPRODUCT(MOD(INT(E229/2^({0,1,2,3,4,5})),2))</f>
        <v>4</v>
      </c>
      <c r="H229" s="316">
        <f>IF(MOD(INT($E229/2^0),2)=1,0,FACT($G229)*FACT(5-$G229)/FACT(6)*IF($F229=1,1,-1)*($C229-INDEX($C$183:$C$310,$B229+2^0)))</f>
        <v>0.0006608422903235415</v>
      </c>
      <c r="I229" s="316">
        <f>IF(MOD(INT($E229/2^1),2)=1,0,FACT($G229)*FACT(5-$G229)/FACT(6)*IF($F229=1,1,-1)*($C229-INDEX($C$183:$C$310,$B229+2^1)))</f>
        <v>0</v>
      </c>
      <c r="J229" s="316">
        <f>IF(MOD(INT($E229/2^2),2)=1,0,FACT($G229)*FACT(5-$G229)/FACT(6)*IF($F229=1,1,-1)*($C229-INDEX($C$183:$C$310,$B229+2^2)))</f>
        <v>0</v>
      </c>
      <c r="K229" s="316">
        <f>IF(MOD(INT($E229/2^3),2)=1,0,FACT($G229)*FACT(5-$G229)/FACT(6)*IF($F229=1,1,-1)*($C229-INDEX($C$183:$C$310,$B229+2^3)))</f>
        <v>0</v>
      </c>
      <c r="L229" s="316">
        <f>IF(MOD(INT($E229/2^4),2)=1,0,FACT($G229)*FACT(5-$G229)/FACT(6)*IF($F229=1,1,-1)*($C229-INDEX($C$183:$C$310,$B229+2^4)))</f>
        <v>0.0022365591460537996</v>
      </c>
      <c r="M229" s="316">
        <f>IF(MOD(INT($E229/2^5),2)=1,0,FACT($G229)*FACT(5-$G229)/FACT(6)*IF($F229=1,1,-1)*($C229-INDEX($C$183:$C$310,$B229+2^5)))</f>
        <v>0</v>
      </c>
      <c r="N229" s="4"/>
      <c r="O229" s="4"/>
      <c r="P229" s="4"/>
      <c r="Q229" s="4"/>
      <c r="R229" s="4"/>
      <c r="S229" s="4"/>
      <c r="T229" s="4"/>
      <c r="U229" s="4"/>
      <c r="V229" s="4"/>
      <c r="W229" s="4"/>
      <c r="X229" s="4"/>
      <c r="Y229" s="4"/>
      <c r="Z229" s="4"/>
      <c r="AA229" s="4"/>
      <c r="AB229" s="4"/>
      <c r="AC229" s="4"/>
      <c r="AD229" s="4"/>
      <c r="AE229" s="4"/>
      <c r="AF229" s="4"/>
      <c r="AG229" s="4"/>
      <c r="AH229" s="4"/>
    </row>
    <row r="230" ht="12.75" hidden="1" outlineLevel="1">
      <c r="A230" s="4"/>
      <c r="B230" s="4">
        <f>ROW()-ROW($B$182)</f>
        <v>48</v>
      </c>
      <c r="C230" s="187">
        <v>0.10037457266159833</v>
      </c>
      <c r="D230" s="190">
        <v>1.6132539272605213</v>
      </c>
      <c r="E230" s="4">
        <f>MOD(B230-1,64)</f>
        <v>47</v>
      </c>
      <c r="F230" s="4">
        <f>IF(B230&lt;=64,1,2)</f>
        <v>1</v>
      </c>
      <c r="G230" s="4">
        <f>SUMPRODUCT(MOD(INT(E230/2^({0,1,2,3,4,5})),2))</f>
        <v>5</v>
      </c>
      <c r="H230" s="316">
        <f>IF(MOD(INT($E230/2^0),2)=1,0,FACT($G230)*FACT(5-$G230)/FACT(6)*IF($F230=1,1,-1)*($C230-INDEX($C$183:$C$310,$B230+2^0)))</f>
        <v>0</v>
      </c>
      <c r="I230" s="316">
        <f>IF(MOD(INT($E230/2^1),2)=1,0,FACT($G230)*FACT(5-$G230)/FACT(6)*IF($F230=1,1,-1)*($C230-INDEX($C$183:$C$310,$B230+2^1)))</f>
        <v>0</v>
      </c>
      <c r="J230" s="316">
        <f>IF(MOD(INT($E230/2^2),2)=1,0,FACT($G230)*FACT(5-$G230)/FACT(6)*IF($F230=1,1,-1)*($C230-INDEX($C$183:$C$310,$B230+2^2)))</f>
        <v>0</v>
      </c>
      <c r="K230" s="316">
        <f>IF(MOD(INT($E230/2^3),2)=1,0,FACT($G230)*FACT(5-$G230)/FACT(6)*IF($F230=1,1,-1)*($C230-INDEX($C$183:$C$310,$B230+2^3)))</f>
        <v>0</v>
      </c>
      <c r="L230" s="316">
        <f>IF(MOD(INT($E230/2^4),2)=1,0,FACT($G230)*FACT(5-$G230)/FACT(6)*IF($F230=1,1,-1)*($C230-INDEX($C$183:$C$310,$B230+2^4)))</f>
        <v>0.01133406959364321</v>
      </c>
      <c r="M230" s="316">
        <f>IF(MOD(INT($E230/2^5),2)=1,0,FACT($G230)*FACT(5-$G230)/FACT(6)*IF($F230=1,1,-1)*($C230-INDEX($C$183:$C$310,$B230+2^5)))</f>
        <v>0</v>
      </c>
      <c r="N230" s="4"/>
      <c r="O230" s="4"/>
      <c r="P230" s="4"/>
      <c r="Q230" s="4"/>
      <c r="R230" s="4"/>
      <c r="S230" s="4"/>
      <c r="T230" s="4"/>
      <c r="U230" s="4"/>
      <c r="V230" s="4"/>
      <c r="W230" s="4"/>
      <c r="X230" s="4"/>
      <c r="Y230" s="4"/>
      <c r="Z230" s="4"/>
      <c r="AA230" s="4"/>
      <c r="AB230" s="4"/>
      <c r="AC230" s="4"/>
      <c r="AD230" s="4"/>
      <c r="AE230" s="4"/>
      <c r="AF230" s="4"/>
      <c r="AG230" s="4"/>
      <c r="AH230" s="4"/>
    </row>
    <row r="231" ht="12.75" hidden="1" outlineLevel="1">
      <c r="A231" s="4"/>
      <c r="B231" s="4">
        <f>ROW()-ROW($B$182)</f>
        <v>49</v>
      </c>
      <c r="C231" s="187">
        <v>0.1382989630503828</v>
      </c>
      <c r="D231" s="190">
        <v>1.9110924691597657</v>
      </c>
      <c r="E231" s="4">
        <f>MOD(B231-1,64)</f>
        <v>48</v>
      </c>
      <c r="F231" s="4">
        <f>IF(B231&lt;=64,1,2)</f>
        <v>1</v>
      </c>
      <c r="G231" s="4">
        <f>SUMPRODUCT(MOD(INT(E231/2^({0,1,2,3,4,5})),2))</f>
        <v>2</v>
      </c>
      <c r="H231" s="316">
        <f>IF(MOD(INT($E231/2^0),2)=1,0,FACT($G231)*FACT(5-$G231)/FACT(6)*IF($F231=1,1,-1)*($C231-INDEX($C$183:$C$310,$B231+2^0)))</f>
        <v>0.0003195131798052975</v>
      </c>
      <c r="I231" s="316">
        <f>IF(MOD(INT($E231/2^1),2)=1,0,FACT($G231)*FACT(5-$G231)/FACT(6)*IF($F231=1,1,-1)*($C231-INDEX($C$183:$C$310,$B231+2^1)))</f>
        <v>0.0006611877155315082</v>
      </c>
      <c r="J231" s="316">
        <f>IF(MOD(INT($E231/2^2),2)=1,0,FACT($G231)*FACT(5-$G231)/FACT(6)*IF($F231=1,1,-1)*($C231-INDEX($C$183:$C$310,$B231+2^2)))</f>
        <v>0.00019373036408211198</v>
      </c>
      <c r="K231" s="316">
        <f>IF(MOD(INT($E231/2^3),2)=1,0,FACT($G231)*FACT(5-$G231)/FACT(6)*IF($F231=1,1,-1)*($C231-INDEX($C$183:$C$310,$B231+2^3)))</f>
        <v>0.00047600478070571143</v>
      </c>
      <c r="L231" s="316">
        <f>IF(MOD(INT($E231/2^4),2)=1,0,FACT($G231)*FACT(5-$G231)/FACT(6)*IF($F231=1,1,-1)*($C231-INDEX($C$183:$C$310,$B231+2^4)))</f>
        <v>0</v>
      </c>
      <c r="M231" s="316">
        <f>IF(MOD(INT($E231/2^5),2)=1,0,FACT($G231)*FACT(5-$G231)/FACT(6)*IF($F231=1,1,-1)*($C231-INDEX($C$183:$C$310,$B231+2^5)))</f>
        <v>0</v>
      </c>
      <c r="N231" s="4"/>
      <c r="O231" s="4"/>
      <c r="P231" s="4"/>
      <c r="Q231" s="4"/>
      <c r="R231" s="4"/>
      <c r="S231" s="4"/>
      <c r="T231" s="4"/>
      <c r="U231" s="4"/>
      <c r="V231" s="4"/>
      <c r="W231" s="4"/>
      <c r="X231" s="4"/>
      <c r="Y231" s="4"/>
      <c r="Z231" s="4"/>
      <c r="AA231" s="4"/>
      <c r="AB231" s="4"/>
      <c r="AC231" s="4"/>
      <c r="AD231" s="4"/>
      <c r="AE231" s="4"/>
      <c r="AF231" s="4"/>
      <c r="AG231" s="4"/>
      <c r="AH231" s="4"/>
    </row>
    <row r="232" ht="12.75" hidden="1" outlineLevel="1">
      <c r="A232" s="4"/>
      <c r="B232" s="4">
        <f>ROW()-ROW($B$182)</f>
        <v>50</v>
      </c>
      <c r="C232" s="187">
        <v>0.11912817226206496</v>
      </c>
      <c r="D232" s="190">
        <v>1.7554931643970595</v>
      </c>
      <c r="E232" s="4">
        <f>MOD(B232-1,64)</f>
        <v>49</v>
      </c>
      <c r="F232" s="4">
        <f>IF(B232&lt;=64,1,2)</f>
        <v>1</v>
      </c>
      <c r="G232" s="4">
        <f>SUMPRODUCT(MOD(INT(E232/2^({0,1,2,3,4,5})),2))</f>
        <v>3</v>
      </c>
      <c r="H232" s="316">
        <f>IF(MOD(INT($E232/2^0),2)=1,0,FACT($G232)*FACT(5-$G232)/FACT(6)*IF($F232=1,1,-1)*($C232-INDEX($C$183:$C$310,$B232+2^0)))</f>
        <v>0</v>
      </c>
      <c r="I232" s="316">
        <f>IF(MOD(INT($E232/2^1),2)=1,0,FACT($G232)*FACT(5-$G232)/FACT(6)*IF($F232=1,1,-1)*($C232-INDEX($C$183:$C$310,$B232+2^1)))</f>
        <v>0.000685880745952705</v>
      </c>
      <c r="J232" s="316">
        <f>IF(MOD(INT($E232/2^2),2)=1,0,FACT($G232)*FACT(5-$G232)/FACT(6)*IF($F232=1,1,-1)*($C232-INDEX($C$183:$C$310,$B232+2^2)))</f>
        <v>0.00017784181087020142</v>
      </c>
      <c r="K232" s="316">
        <f>IF(MOD(INT($E232/2^3),2)=1,0,FACT($G232)*FACT(5-$G232)/FACT(6)*IF($F232=1,1,-1)*($C232-INDEX($C$183:$C$310,$B232+2^3)))</f>
        <v>0.0004882265007218334</v>
      </c>
      <c r="L232" s="316">
        <f>IF(MOD(INT($E232/2^4),2)=1,0,FACT($G232)*FACT(5-$G232)/FACT(6)*IF($F232=1,1,-1)*($C232-INDEX($C$183:$C$310,$B232+2^4)))</f>
        <v>0</v>
      </c>
      <c r="M232" s="316">
        <f>IF(MOD(INT($E232/2^5),2)=1,0,FACT($G232)*FACT(5-$G232)/FACT(6)*IF($F232=1,1,-1)*($C232-INDEX($C$183:$C$310,$B232+2^5)))</f>
        <v>0</v>
      </c>
      <c r="N232" s="4"/>
      <c r="O232" s="4"/>
      <c r="P232" s="4"/>
      <c r="Q232" s="4"/>
      <c r="R232" s="4"/>
      <c r="S232" s="4"/>
      <c r="T232" s="4"/>
      <c r="U232" s="4"/>
      <c r="V232" s="4"/>
      <c r="W232" s="4"/>
      <c r="X232" s="4"/>
      <c r="Y232" s="4"/>
      <c r="Z232" s="4"/>
      <c r="AA232" s="4"/>
      <c r="AB232" s="4"/>
      <c r="AC232" s="4"/>
      <c r="AD232" s="4"/>
      <c r="AE232" s="4"/>
      <c r="AF232" s="4"/>
      <c r="AG232" s="4"/>
      <c r="AH232" s="4"/>
    </row>
    <row r="233" ht="12.75" hidden="1" outlineLevel="1">
      <c r="A233" s="4"/>
      <c r="B233" s="4">
        <f>ROW()-ROW($B$182)</f>
        <v>51</v>
      </c>
      <c r="C233" s="187">
        <v>0.09862770011849231</v>
      </c>
      <c r="D233" s="190">
        <v>1.6004891129512964</v>
      </c>
      <c r="E233" s="4">
        <f>MOD(B233-1,64)</f>
        <v>50</v>
      </c>
      <c r="F233" s="4">
        <f>IF(B233&lt;=64,1,2)</f>
        <v>1</v>
      </c>
      <c r="G233" s="4">
        <f>SUMPRODUCT(MOD(INT(E233/2^({0,1,2,3,4,5})),2))</f>
        <v>3</v>
      </c>
      <c r="H233" s="316">
        <f>IF(MOD(INT($E233/2^0),2)=1,0,FACT($G233)*FACT(5-$G233)/FACT(6)*IF($F233=1,1,-1)*($C233-INDEX($C$183:$C$310,$B233+2^0)))</f>
        <v>0.0003442062102264942</v>
      </c>
      <c r="I233" s="316">
        <f>IF(MOD(INT($E233/2^1),2)=1,0,FACT($G233)*FACT(5-$G233)/FACT(6)*IF($F233=1,1,-1)*($C233-INDEX($C$183:$C$310,$B233+2^1)))</f>
        <v>0</v>
      </c>
      <c r="J233" s="316">
        <f>IF(MOD(INT($E233/2^2),2)=1,0,FACT($G233)*FACT(5-$G233)/FACT(6)*IF($F233=1,1,-1)*($C233-INDEX($C$183:$C$310,$B233+2^2)))</f>
        <v>0.00021332151945419042</v>
      </c>
      <c r="K233" s="316">
        <f>IF(MOD(INT($E233/2^3),2)=1,0,FACT($G233)*FACT(5-$G233)/FACT(6)*IF($F233=1,1,-1)*($C233-INDEX($C$183:$C$310,$B233+2^3)))</f>
        <v>0.0005185574639835488</v>
      </c>
      <c r="L233" s="316">
        <f>IF(MOD(INT($E233/2^4),2)=1,0,FACT($G233)*FACT(5-$G233)/FACT(6)*IF($F233=1,1,-1)*($C233-INDEX($C$183:$C$310,$B233+2^4)))</f>
        <v>0</v>
      </c>
      <c r="M233" s="316">
        <f>IF(MOD(INT($E233/2^5),2)=1,0,FACT($G233)*FACT(5-$G233)/FACT(6)*IF($F233=1,1,-1)*($C233-INDEX($C$183:$C$310,$B233+2^5)))</f>
        <v>0</v>
      </c>
      <c r="N233" s="4"/>
      <c r="O233" s="4"/>
      <c r="P233" s="4"/>
      <c r="Q233" s="4"/>
      <c r="R233" s="4"/>
      <c r="S233" s="4"/>
      <c r="T233" s="4"/>
      <c r="U233" s="4"/>
      <c r="V233" s="4"/>
      <c r="W233" s="4"/>
      <c r="X233" s="4"/>
      <c r="Y233" s="4"/>
      <c r="Z233" s="4"/>
      <c r="AA233" s="4"/>
      <c r="AB233" s="4"/>
      <c r="AC233" s="4"/>
      <c r="AD233" s="4"/>
      <c r="AE233" s="4"/>
      <c r="AF233" s="4"/>
      <c r="AG233" s="4"/>
      <c r="AH233" s="4"/>
    </row>
    <row r="234" ht="12.75" hidden="1" outlineLevel="1">
      <c r="A234" s="4"/>
      <c r="B234" s="4">
        <f>ROW()-ROW($B$182)</f>
        <v>52</v>
      </c>
      <c r="C234" s="187">
        <v>0.07797532750490266</v>
      </c>
      <c r="D234" s="190">
        <v>1.455606896554391</v>
      </c>
      <c r="E234" s="4">
        <f>MOD(B234-1,64)</f>
        <v>51</v>
      </c>
      <c r="F234" s="4">
        <f>IF(B234&lt;=64,1,2)</f>
        <v>1</v>
      </c>
      <c r="G234" s="4">
        <f>SUMPRODUCT(MOD(INT(E234/2^({0,1,2,3,4,5})),2))</f>
        <v>4</v>
      </c>
      <c r="H234" s="316">
        <f>IF(MOD(INT($E234/2^0),2)=1,0,FACT($G234)*FACT(5-$G234)/FACT(6)*IF($F234=1,1,-1)*($C234-INDEX($C$183:$C$310,$B234+2^0)))</f>
        <v>0</v>
      </c>
      <c r="I234" s="316">
        <f>IF(MOD(INT($E234/2^1),2)=1,0,FACT($G234)*FACT(5-$G234)/FACT(6)*IF($F234=1,1,-1)*($C234-INDEX($C$183:$C$310,$B234+2^1)))</f>
        <v>0</v>
      </c>
      <c r="J234" s="316">
        <f>IF(MOD(INT($E234/2^2),2)=1,0,FACT($G234)*FACT(5-$G234)/FACT(6)*IF($F234=1,1,-1)*($C234-INDEX($C$183:$C$310,$B234+2^2)))</f>
        <v>0.0003948739758126522</v>
      </c>
      <c r="K234" s="316">
        <f>IF(MOD(INT($E234/2^3),2)=1,0,FACT($G234)*FACT(5-$G234)/FACT(6)*IF($F234=1,1,-1)*($C234-INDEX($C$183:$C$310,$B234+2^3)))</f>
        <v>0.0010727536364229851</v>
      </c>
      <c r="L234" s="316">
        <f>IF(MOD(INT($E234/2^4),2)=1,0,FACT($G234)*FACT(5-$G234)/FACT(6)*IF($F234=1,1,-1)*($C234-INDEX($C$183:$C$310,$B234+2^4)))</f>
        <v>0</v>
      </c>
      <c r="M234" s="316">
        <f>IF(MOD(INT($E234/2^5),2)=1,0,FACT($G234)*FACT(5-$G234)/FACT(6)*IF($F234=1,1,-1)*($C234-INDEX($C$183:$C$310,$B234+2^5)))</f>
        <v>0</v>
      </c>
      <c r="N234" s="4"/>
      <c r="O234" s="4"/>
      <c r="P234" s="4"/>
      <c r="Q234" s="4"/>
      <c r="R234" s="4"/>
      <c r="S234" s="4"/>
      <c r="T234" s="4"/>
      <c r="U234" s="4"/>
      <c r="V234" s="4"/>
      <c r="W234" s="4"/>
      <c r="X234" s="4"/>
      <c r="Y234" s="4"/>
      <c r="Z234" s="4"/>
      <c r="AA234" s="4"/>
      <c r="AB234" s="4"/>
      <c r="AC234" s="4"/>
      <c r="AD234" s="4"/>
      <c r="AE234" s="4"/>
      <c r="AF234" s="4"/>
      <c r="AG234" s="4"/>
      <c r="AH234" s="4"/>
    </row>
    <row r="235" ht="12.75" hidden="1" outlineLevel="1">
      <c r="A235" s="4"/>
      <c r="B235" s="4">
        <f>ROW()-ROW($B$182)</f>
        <v>53</v>
      </c>
      <c r="C235" s="187">
        <v>0.1266751412054561</v>
      </c>
      <c r="D235" s="190">
        <v>1.8154887457873206</v>
      </c>
      <c r="E235" s="4">
        <f>MOD(B235-1,64)</f>
        <v>52</v>
      </c>
      <c r="F235" s="4">
        <f>IF(B235&lt;=64,1,2)</f>
        <v>1</v>
      </c>
      <c r="G235" s="4">
        <f>SUMPRODUCT(MOD(INT(E235/2^({0,1,2,3,4,5})),2))</f>
        <v>3</v>
      </c>
      <c r="H235" s="316">
        <f>IF(MOD(INT($E235/2^0),2)=1,0,FACT($G235)*FACT(5-$G235)/FACT(6)*IF($F235=1,1,-1)*($C235-INDEX($C$183:$C$310,$B235+2^0)))</f>
        <v>0.00030362462659338694</v>
      </c>
      <c r="I235" s="316">
        <f>IF(MOD(INT($E235/2^1),2)=1,0,FACT($G235)*FACT(5-$G235)/FACT(6)*IF($F235=1,1,-1)*($C235-INDEX($C$183:$C$310,$B235+2^1)))</f>
        <v>0.0006807788709035867</v>
      </c>
      <c r="J235" s="316">
        <f>IF(MOD(INT($E235/2^2),2)=1,0,FACT($G235)*FACT(5-$G235)/FACT(6)*IF($F235=1,1,-1)*($C235-INDEX($C$183:$C$310,$B235+2^2)))</f>
        <v>0</v>
      </c>
      <c r="K235" s="316">
        <f>IF(MOD(INT($E235/2^3),2)=1,0,FACT($G235)*FACT(5-$G235)/FACT(6)*IF($F235=1,1,-1)*($C235-INDEX($C$183:$C$310,$B235+2^3)))</f>
        <v>0.0004973396891097363</v>
      </c>
      <c r="L235" s="316">
        <f>IF(MOD(INT($E235/2^4),2)=1,0,FACT($G235)*FACT(5-$G235)/FACT(6)*IF($F235=1,1,-1)*($C235-INDEX($C$183:$C$310,$B235+2^4)))</f>
        <v>0</v>
      </c>
      <c r="M235" s="316">
        <f>IF(MOD(INT($E235/2^5),2)=1,0,FACT($G235)*FACT(5-$G235)/FACT(6)*IF($F235=1,1,-1)*($C235-INDEX($C$183:$C$310,$B235+2^5)))</f>
        <v>0</v>
      </c>
      <c r="N235" s="4"/>
      <c r="O235" s="4"/>
      <c r="P235" s="4"/>
      <c r="Q235" s="4"/>
      <c r="R235" s="4"/>
      <c r="S235" s="4"/>
      <c r="T235" s="4"/>
      <c r="U235" s="4"/>
      <c r="V235" s="4"/>
      <c r="W235" s="4"/>
      <c r="X235" s="4"/>
      <c r="Y235" s="4"/>
      <c r="Z235" s="4"/>
      <c r="AA235" s="4"/>
      <c r="AB235" s="4"/>
      <c r="AC235" s="4"/>
      <c r="AD235" s="4"/>
      <c r="AE235" s="4"/>
      <c r="AF235" s="4"/>
      <c r="AG235" s="4"/>
      <c r="AH235" s="4"/>
    </row>
    <row r="236" ht="12.75" hidden="1" outlineLevel="1">
      <c r="A236" s="4"/>
      <c r="B236" s="4">
        <f>ROW()-ROW($B$182)</f>
        <v>54</v>
      </c>
      <c r="C236" s="187">
        <v>0.10845766360985287</v>
      </c>
      <c r="D236" s="190">
        <v>1.6733837669732818</v>
      </c>
      <c r="E236" s="4">
        <f>MOD(B236-1,64)</f>
        <v>53</v>
      </c>
      <c r="F236" s="4">
        <f>IF(B236&lt;=64,1,2)</f>
        <v>1</v>
      </c>
      <c r="G236" s="4">
        <f>SUMPRODUCT(MOD(INT(E236/2^({0,1,2,3,4,5})),2))</f>
        <v>4</v>
      </c>
      <c r="H236" s="316">
        <f>IF(MOD(INT($E236/2^0),2)=1,0,FACT($G236)*FACT(5-$G236)/FACT(6)*IF($F236=1,1,-1)*($C236-INDEX($C$183:$C$310,$B236+2^0)))</f>
        <v>0</v>
      </c>
      <c r="I236" s="316">
        <f>IF(MOD(INT($E236/2^1),2)=1,0,FACT($G236)*FACT(5-$G236)/FACT(6)*IF($F236=1,1,-1)*($C236-INDEX($C$183:$C$310,$B236+2^1)))</f>
        <v>0.0014109518459776594</v>
      </c>
      <c r="J236" s="316">
        <f>IF(MOD(INT($E236/2^2),2)=1,0,FACT($G236)*FACT(5-$G236)/FACT(6)*IF($F236=1,1,-1)*($C236-INDEX($C$183:$C$310,$B236+2^2)))</f>
        <v>0</v>
      </c>
      <c r="K236" s="316">
        <f>IF(MOD(INT($E236/2^3),2)=1,0,FACT($G236)*FACT(5-$G236)/FACT(6)*IF($F236=1,1,-1)*($C236-INDEX($C$183:$C$310,$B236+2^3)))</f>
        <v>0.0010173590855522793</v>
      </c>
      <c r="L236" s="316">
        <f>IF(MOD(INT($E236/2^4),2)=1,0,FACT($G236)*FACT(5-$G236)/FACT(6)*IF($F236=1,1,-1)*($C236-INDEX($C$183:$C$310,$B236+2^4)))</f>
        <v>0</v>
      </c>
      <c r="M236" s="316">
        <f>IF(MOD(INT($E236/2^5),2)=1,0,FACT($G236)*FACT(5-$G236)/FACT(6)*IF($F236=1,1,-1)*($C236-INDEX($C$183:$C$310,$B236+2^5)))</f>
        <v>0</v>
      </c>
      <c r="N236" s="4"/>
      <c r="O236" s="4"/>
      <c r="P236" s="4"/>
      <c r="Q236" s="4"/>
      <c r="R236" s="4"/>
      <c r="S236" s="4"/>
      <c r="T236" s="4"/>
      <c r="U236" s="4"/>
      <c r="V236" s="4"/>
      <c r="W236" s="4"/>
      <c r="X236" s="4"/>
      <c r="Y236" s="4"/>
      <c r="Z236" s="4"/>
      <c r="AA236" s="4"/>
      <c r="AB236" s="4"/>
      <c r="AC236" s="4"/>
      <c r="AD236" s="4"/>
      <c r="AE236" s="4"/>
      <c r="AF236" s="4"/>
      <c r="AG236" s="4"/>
      <c r="AH236" s="4"/>
    </row>
    <row r="237" ht="12.75" hidden="1" outlineLevel="1">
      <c r="A237" s="4"/>
      <c r="B237" s="4">
        <f>ROW()-ROW($B$182)</f>
        <v>55</v>
      </c>
      <c r="C237" s="187">
        <v>0.08582840895124089</v>
      </c>
      <c r="D237" s="190">
        <v>1.5094057511791388</v>
      </c>
      <c r="E237" s="4">
        <f>MOD(B237-1,64)</f>
        <v>54</v>
      </c>
      <c r="F237" s="4">
        <f>IF(B237&lt;=64,1,2)</f>
        <v>1</v>
      </c>
      <c r="G237" s="4">
        <f>SUMPRODUCT(MOD(INT(E237/2^({0,1,2,3,4,5})),2))</f>
        <v>4</v>
      </c>
      <c r="H237" s="316">
        <f>IF(MOD(INT($E237/2^0),2)=1,0,FACT($G237)*FACT(5-$G237)/FACT(6)*IF($F237=1,1,-1)*($C237-INDEX($C$183:$C$310,$B237+2^0)))</f>
        <v>0.0006566433573572598</v>
      </c>
      <c r="I237" s="316">
        <f>IF(MOD(INT($E237/2^1),2)=1,0,FACT($G237)*FACT(5-$G237)/FACT(6)*IF($F237=1,1,-1)*($C237-INDEX($C$183:$C$310,$B237+2^1)))</f>
        <v>0</v>
      </c>
      <c r="J237" s="316">
        <f>IF(MOD(INT($E237/2^2),2)=1,0,FACT($G237)*FACT(5-$G237)/FACT(6)*IF($F237=1,1,-1)*($C237-INDEX($C$183:$C$310,$B237+2^2)))</f>
        <v>0</v>
      </c>
      <c r="K237" s="316">
        <f>IF(MOD(INT($E237/2^3),2)=1,0,FACT($G237)*FACT(5-$G237)/FACT(6)*IF($F237=1,1,-1)*($C237-INDEX($C$183:$C$310,$B237+2^3)))</f>
        <v>0.0010908447320516768</v>
      </c>
      <c r="L237" s="316">
        <f>IF(MOD(INT($E237/2^4),2)=1,0,FACT($G237)*FACT(5-$G237)/FACT(6)*IF($F237=1,1,-1)*($C237-INDEX($C$183:$C$310,$B237+2^4)))</f>
        <v>0</v>
      </c>
      <c r="M237" s="316">
        <f>IF(MOD(INT($E237/2^5),2)=1,0,FACT($G237)*FACT(5-$G237)/FACT(6)*IF($F237=1,1,-1)*($C237-INDEX($C$183:$C$310,$B237+2^5)))</f>
        <v>0</v>
      </c>
      <c r="N237" s="4"/>
      <c r="O237" s="4"/>
      <c r="P237" s="4"/>
      <c r="Q237" s="4"/>
      <c r="R237" s="4"/>
      <c r="S237" s="4"/>
      <c r="T237" s="4"/>
      <c r="U237" s="4"/>
      <c r="V237" s="4"/>
      <c r="W237" s="4"/>
      <c r="X237" s="4"/>
      <c r="Y237" s="4"/>
      <c r="Z237" s="4"/>
      <c r="AA237" s="4"/>
      <c r="AB237" s="4"/>
      <c r="AC237" s="4"/>
      <c r="AD237" s="4"/>
      <c r="AE237" s="4"/>
      <c r="AF237" s="4"/>
      <c r="AG237" s="4"/>
      <c r="AH237" s="4"/>
    </row>
    <row r="238" ht="12.75" hidden="1" outlineLevel="1">
      <c r="A238" s="4"/>
      <c r="B238" s="4">
        <f>ROW()-ROW($B$182)</f>
        <v>56</v>
      </c>
      <c r="C238" s="187">
        <v>0.06612910823052309</v>
      </c>
      <c r="D238" s="190">
        <v>1.3773648784485366</v>
      </c>
      <c r="E238" s="4">
        <f>MOD(B238-1,64)</f>
        <v>55</v>
      </c>
      <c r="F238" s="4">
        <f>IF(B238&lt;=64,1,2)</f>
        <v>1</v>
      </c>
      <c r="G238" s="4">
        <f>SUMPRODUCT(MOD(INT(E238/2^({0,1,2,3,4,5})),2))</f>
        <v>5</v>
      </c>
      <c r="H238" s="316">
        <f>IF(MOD(INT($E238/2^0),2)=1,0,FACT($G238)*FACT(5-$G238)/FACT(6)*IF($F238=1,1,-1)*($C238-INDEX($C$183:$C$310,$B238+2^0)))</f>
        <v>0</v>
      </c>
      <c r="I238" s="316">
        <f>IF(MOD(INT($E238/2^1),2)=1,0,FACT($G238)*FACT(5-$G238)/FACT(6)*IF($F238=1,1,-1)*($C238-INDEX($C$183:$C$310,$B238+2^1)))</f>
        <v>0</v>
      </c>
      <c r="J238" s="316">
        <f>IF(MOD(INT($E238/2^2),2)=1,0,FACT($G238)*FACT(5-$G238)/FACT(6)*IF($F238=1,1,-1)*($C238-INDEX($C$183:$C$310,$B238+2^2)))</f>
        <v>0</v>
      </c>
      <c r="K238" s="316">
        <f>IF(MOD(INT($E238/2^3),2)=1,0,FACT($G238)*FACT(5-$G238)/FACT(6)*IF($F238=1,1,-1)*($C238-INDEX($C$183:$C$310,$B238+2^3)))</f>
        <v>0.005626492188464005</v>
      </c>
      <c r="L238" s="316">
        <f>IF(MOD(INT($E238/2^4),2)=1,0,FACT($G238)*FACT(5-$G238)/FACT(6)*IF($F238=1,1,-1)*($C238-INDEX($C$183:$C$310,$B238+2^4)))</f>
        <v>0</v>
      </c>
      <c r="M238" s="316">
        <f>IF(MOD(INT($E238/2^5),2)=1,0,FACT($G238)*FACT(5-$G238)/FACT(6)*IF($F238=1,1,-1)*($C238-INDEX($C$183:$C$310,$B238+2^5)))</f>
        <v>0</v>
      </c>
      <c r="N238" s="4"/>
      <c r="O238" s="4"/>
      <c r="P238" s="4"/>
      <c r="Q238" s="4"/>
      <c r="R238" s="4"/>
      <c r="S238" s="4"/>
      <c r="T238" s="4"/>
      <c r="U238" s="4"/>
      <c r="V238" s="4"/>
      <c r="W238" s="4"/>
      <c r="X238" s="4"/>
      <c r="Y238" s="4"/>
      <c r="Z238" s="4"/>
      <c r="AA238" s="4"/>
      <c r="AB238" s="4"/>
      <c r="AC238" s="4"/>
      <c r="AD238" s="4"/>
      <c r="AE238" s="4"/>
      <c r="AF238" s="4"/>
      <c r="AG238" s="4"/>
      <c r="AH238" s="4"/>
    </row>
    <row r="239" ht="12.75" hidden="1" outlineLevel="1">
      <c r="A239" s="4"/>
      <c r="B239" s="4">
        <f>ROW()-ROW($B$182)</f>
        <v>57</v>
      </c>
      <c r="C239" s="187">
        <v>0.10973867620804012</v>
      </c>
      <c r="D239" s="190">
        <v>1.6830755492570393</v>
      </c>
      <c r="E239" s="4">
        <f>MOD(B239-1,64)</f>
        <v>56</v>
      </c>
      <c r="F239" s="4">
        <f>IF(B239&lt;=64,1,2)</f>
        <v>1</v>
      </c>
      <c r="G239" s="4">
        <f>SUMPRODUCT(MOD(INT(E239/2^({0,1,2,3,4,5})),2))</f>
        <v>3</v>
      </c>
      <c r="H239" s="316">
        <f>IF(MOD(INT($E239/2^0),2)=1,0,FACT($G239)*FACT(5-$G239)/FACT(6)*IF($F239=1,1,-1)*($C239-INDEX($C$183:$C$310,$B239+2^0)))</f>
        <v>0.0003317348998214194</v>
      </c>
      <c r="I239" s="316">
        <f>IF(MOD(INT($E239/2^1),2)=1,0,FACT($G239)*FACT(5-$G239)/FACT(6)*IF($F239=1,1,-1)*($C239-INDEX($C$183:$C$310,$B239+2^1)))</f>
        <v>0.0007037403988093457</v>
      </c>
      <c r="J239" s="316">
        <f>IF(MOD(INT($E239/2^2),2)=1,0,FACT($G239)*FACT(5-$G239)/FACT(6)*IF($F239=1,1,-1)*($C239-INDEX($C$183:$C$310,$B239+2^2)))</f>
        <v>0.00021506527248613683</v>
      </c>
      <c r="K239" s="316">
        <f>IF(MOD(INT($E239/2^3),2)=1,0,FACT($G239)*FACT(5-$G239)/FACT(6)*IF($F239=1,1,-1)*($C239-INDEX($C$183:$C$310,$B239+2^3)))</f>
        <v>0</v>
      </c>
      <c r="L239" s="316">
        <f>IF(MOD(INT($E239/2^4),2)=1,0,FACT($G239)*FACT(5-$G239)/FACT(6)*IF($F239=1,1,-1)*($C239-INDEX($C$183:$C$310,$B239+2^4)))</f>
        <v>0</v>
      </c>
      <c r="M239" s="316">
        <f>IF(MOD(INT($E239/2^5),2)=1,0,FACT($G239)*FACT(5-$G239)/FACT(6)*IF($F239=1,1,-1)*($C239-INDEX($C$183:$C$310,$B239+2^5)))</f>
        <v>0</v>
      </c>
      <c r="N239" s="4"/>
      <c r="O239" s="4"/>
      <c r="P239" s="4"/>
      <c r="Q239" s="4"/>
      <c r="R239" s="4"/>
      <c r="S239" s="4"/>
      <c r="T239" s="4"/>
      <c r="U239" s="4"/>
      <c r="V239" s="4"/>
      <c r="W239" s="4"/>
      <c r="X239" s="4"/>
      <c r="Y239" s="4"/>
      <c r="Z239" s="4"/>
      <c r="AA239" s="4"/>
      <c r="AB239" s="4"/>
      <c r="AC239" s="4"/>
      <c r="AD239" s="4"/>
      <c r="AE239" s="4"/>
      <c r="AF239" s="4"/>
      <c r="AG239" s="4"/>
      <c r="AH239" s="4"/>
    </row>
    <row r="240" ht="12.75" hidden="1" outlineLevel="1">
      <c r="A240" s="4"/>
      <c r="B240" s="4">
        <f>ROW()-ROW($B$182)</f>
        <v>58</v>
      </c>
      <c r="C240" s="187">
        <v>0.08983458221875495</v>
      </c>
      <c r="D240" s="190">
        <v>1.5374568057156979</v>
      </c>
      <c r="E240" s="4">
        <f>MOD(B240-1,64)</f>
        <v>57</v>
      </c>
      <c r="F240" s="4">
        <f>IF(B240&lt;=64,1,2)</f>
        <v>1</v>
      </c>
      <c r="G240" s="4">
        <f>SUMPRODUCT(MOD(INT(E240/2^({0,1,2,3,4,5})),2))</f>
        <v>4</v>
      </c>
      <c r="H240" s="316">
        <f>IF(MOD(INT($E240/2^0),2)=1,0,FACT($G240)*FACT(5-$G240)/FACT(6)*IF($F240=1,1,-1)*($C240-INDEX($C$183:$C$310,$B240+2^0)))</f>
        <v>0</v>
      </c>
      <c r="I240" s="316">
        <f>IF(MOD(INT($E240/2^1),2)=1,0,FACT($G240)*FACT(5-$G240)/FACT(6)*IF($F240=1,1,-1)*($C240-INDEX($C$183:$C$310,$B240+2^1)))</f>
        <v>0.0014680621268847282</v>
      </c>
      <c r="J240" s="316">
        <f>IF(MOD(INT($E240/2^2),2)=1,0,FACT($G240)*FACT(5-$G240)/FACT(6)*IF($F240=1,1,-1)*($C240-INDEX($C$183:$C$310,$B240+2^2)))</f>
        <v>0.0003965897058490153</v>
      </c>
      <c r="K240" s="316">
        <f>IF(MOD(INT($E240/2^3),2)=1,0,FACT($G240)*FACT(5-$G240)/FACT(6)*IF($F240=1,1,-1)*($C240-INDEX($C$183:$C$310,$B240+2^3)))</f>
        <v>0</v>
      </c>
      <c r="L240" s="316">
        <f>IF(MOD(INT($E240/2^4),2)=1,0,FACT($G240)*FACT(5-$G240)/FACT(6)*IF($F240=1,1,-1)*($C240-INDEX($C$183:$C$310,$B240+2^4)))</f>
        <v>0</v>
      </c>
      <c r="M240" s="316">
        <f>IF(MOD(INT($E240/2^5),2)=1,0,FACT($G240)*FACT(5-$G240)/FACT(6)*IF($F240=1,1,-1)*($C240-INDEX($C$183:$C$310,$B240+2^5)))</f>
        <v>0</v>
      </c>
      <c r="N240" s="4"/>
      <c r="O240" s="4"/>
      <c r="P240" s="4"/>
      <c r="Q240" s="4"/>
      <c r="R240" s="4"/>
      <c r="S240" s="4"/>
      <c r="T240" s="4"/>
      <c r="U240" s="4"/>
      <c r="V240" s="4"/>
      <c r="W240" s="4"/>
      <c r="X240" s="4"/>
      <c r="Y240" s="4"/>
      <c r="Z240" s="4"/>
      <c r="AA240" s="4"/>
      <c r="AB240" s="4"/>
      <c r="AC240" s="4"/>
      <c r="AD240" s="4"/>
      <c r="AE240" s="4"/>
      <c r="AF240" s="4"/>
      <c r="AG240" s="4"/>
      <c r="AH240" s="4"/>
    </row>
    <row r="241" ht="12.75" hidden="1" outlineLevel="1">
      <c r="A241" s="4"/>
      <c r="B241" s="4">
        <f>ROW()-ROW($B$182)</f>
        <v>59</v>
      </c>
      <c r="C241" s="187">
        <v>0.06751425227947938</v>
      </c>
      <c r="D241" s="190">
        <v>1.3863357087791635</v>
      </c>
      <c r="E241" s="4">
        <f>MOD(B241-1,64)</f>
        <v>58</v>
      </c>
      <c r="F241" s="4">
        <f>IF(B241&lt;=64,1,2)</f>
        <v>1</v>
      </c>
      <c r="G241" s="4">
        <f>SUMPRODUCT(MOD(INT(E241/2^({0,1,2,3,4,5})),2))</f>
        <v>4</v>
      </c>
      <c r="H241" s="316">
        <f>IF(MOD(INT($E241/2^0),2)=1,0,FACT($G241)*FACT(5-$G241)/FACT(6)*IF($F241=1,1,-1)*($C241-INDEX($C$183:$C$310,$B241+2^0)))</f>
        <v>0.0007240511289088758</v>
      </c>
      <c r="I241" s="316">
        <f>IF(MOD(INT($E241/2^1),2)=1,0,FACT($G241)*FACT(5-$G241)/FACT(6)*IF($F241=1,1,-1)*($C241-INDEX($C$183:$C$310,$B241+2^1)))</f>
        <v>0</v>
      </c>
      <c r="J241" s="316">
        <f>IF(MOD(INT($E241/2^2),2)=1,0,FACT($G241)*FACT(5-$G241)/FACT(6)*IF($F241=1,1,-1)*($C241-INDEX($C$183:$C$310,$B241+2^2)))</f>
        <v>0.0004803728429929599</v>
      </c>
      <c r="K241" s="316">
        <f>IF(MOD(INT($E241/2^3),2)=1,0,FACT($G241)*FACT(5-$G241)/FACT(6)*IF($F241=1,1,-1)*($C241-INDEX($C$183:$C$310,$B241+2^3)))</f>
        <v>0</v>
      </c>
      <c r="L241" s="316">
        <f>IF(MOD(INT($E241/2^4),2)=1,0,FACT($G241)*FACT(5-$G241)/FACT(6)*IF($F241=1,1,-1)*($C241-INDEX($C$183:$C$310,$B241+2^4)))</f>
        <v>0</v>
      </c>
      <c r="M241" s="316">
        <f>IF(MOD(INT($E241/2^5),2)=1,0,FACT($G241)*FACT(5-$G241)/FACT(6)*IF($F241=1,1,-1)*($C241-INDEX($C$183:$C$310,$B241+2^5)))</f>
        <v>0</v>
      </c>
      <c r="N241" s="4"/>
      <c r="O241" s="4"/>
      <c r="P241" s="4"/>
      <c r="Q241" s="4"/>
      <c r="R241" s="4"/>
      <c r="S241" s="4"/>
      <c r="T241" s="4"/>
      <c r="U241" s="4"/>
      <c r="V241" s="4"/>
      <c r="W241" s="4"/>
      <c r="X241" s="4"/>
      <c r="Y241" s="4"/>
      <c r="Z241" s="4"/>
      <c r="AA241" s="4"/>
      <c r="AB241" s="4"/>
      <c r="AC241" s="4"/>
      <c r="AD241" s="4"/>
      <c r="AE241" s="4"/>
      <c r="AF241" s="4"/>
      <c r="AG241" s="4"/>
      <c r="AH241" s="4"/>
    </row>
    <row r="242" ht="12.75" hidden="1" outlineLevel="1">
      <c r="A242" s="4"/>
      <c r="B242" s="4">
        <f>ROW()-ROW($B$182)</f>
        <v>60</v>
      </c>
      <c r="C242" s="187">
        <v>0.04579271841221311</v>
      </c>
      <c r="D242" s="190">
        <v>1.2509157714694223</v>
      </c>
      <c r="E242" s="4">
        <f>MOD(B242-1,64)</f>
        <v>59</v>
      </c>
      <c r="F242" s="4">
        <f>IF(B242&lt;=64,1,2)</f>
        <v>1</v>
      </c>
      <c r="G242" s="4">
        <f>SUMPRODUCT(MOD(INT(E242/2^({0,1,2,3,4,5})),2))</f>
        <v>5</v>
      </c>
      <c r="H242" s="316">
        <f>IF(MOD(INT($E242/2^0),2)=1,0,FACT($G242)*FACT(5-$G242)/FACT(6)*IF($F242=1,1,-1)*($C242-INDEX($C$183:$C$310,$B242+2^0)))</f>
        <v>0</v>
      </c>
      <c r="I242" s="316">
        <f>IF(MOD(INT($E242/2^1),2)=1,0,FACT($G242)*FACT(5-$G242)/FACT(6)*IF($F242=1,1,-1)*($C242-INDEX($C$183:$C$310,$B242+2^1)))</f>
        <v>0</v>
      </c>
      <c r="J242" s="316">
        <f>IF(MOD(INT($E242/2^2),2)=1,0,FACT($G242)*FACT(5-$G242)/FACT(6)*IF($F242=1,1,-1)*($C242-INDEX($C$183:$C$310,$B242+2^2)))</f>
        <v>0.0022370938854123406</v>
      </c>
      <c r="K242" s="316">
        <f>IF(MOD(INT($E242/2^3),2)=1,0,FACT($G242)*FACT(5-$G242)/FACT(6)*IF($F242=1,1,-1)*($C242-INDEX($C$183:$C$310,$B242+2^3)))</f>
        <v>0</v>
      </c>
      <c r="L242" s="316">
        <f>IF(MOD(INT($E242/2^4),2)=1,0,FACT($G242)*FACT(5-$G242)/FACT(6)*IF($F242=1,1,-1)*($C242-INDEX($C$183:$C$310,$B242+2^4)))</f>
        <v>0</v>
      </c>
      <c r="M242" s="316">
        <f>IF(MOD(INT($E242/2^5),2)=1,0,FACT($G242)*FACT(5-$G242)/FACT(6)*IF($F242=1,1,-1)*($C242-INDEX($C$183:$C$310,$B242+2^5)))</f>
        <v>0</v>
      </c>
      <c r="N242" s="4"/>
      <c r="O242" s="4"/>
      <c r="P242" s="4"/>
      <c r="Q242" s="4"/>
      <c r="R242" s="4"/>
      <c r="S242" s="4"/>
      <c r="T242" s="4"/>
      <c r="U242" s="4"/>
      <c r="V242" s="4"/>
      <c r="W242" s="4"/>
      <c r="X242" s="4"/>
      <c r="Y242" s="4"/>
      <c r="Z242" s="4"/>
      <c r="AA242" s="4"/>
      <c r="AB242" s="4"/>
      <c r="AC242" s="4"/>
      <c r="AD242" s="4"/>
      <c r="AE242" s="4"/>
      <c r="AF242" s="4"/>
      <c r="AG242" s="4"/>
      <c r="AH242" s="4"/>
    </row>
    <row r="243" ht="12.75" hidden="1" outlineLevel="1">
      <c r="A243" s="4"/>
      <c r="B243" s="4">
        <f>ROW()-ROW($B$182)</f>
        <v>61</v>
      </c>
      <c r="C243" s="187">
        <v>0.09683475985887191</v>
      </c>
      <c r="D243" s="190">
        <v>1.5874718258845932</v>
      </c>
      <c r="E243" s="4">
        <f>MOD(B243-1,64)</f>
        <v>60</v>
      </c>
      <c r="F243" s="4">
        <f>IF(B243&lt;=64,1,2)</f>
        <v>1</v>
      </c>
      <c r="G243" s="4">
        <f>SUMPRODUCT(MOD(INT(E243/2^({0,1,2,3,4,5})),2))</f>
        <v>4</v>
      </c>
      <c r="H243" s="316">
        <f>IF(MOD(INT($E243/2^0),2)=1,0,FACT($G243)*FACT(5-$G243)/FACT(6)*IF($F243=1,1,-1)*($C243-INDEX($C$183:$C$310,$B243+2^0)))</f>
        <v>0.0006299289605195805</v>
      </c>
      <c r="I243" s="316">
        <f>IF(MOD(INT($E243/2^1),2)=1,0,FACT($G243)*FACT(5-$G243)/FACT(6)*IF($F243=1,1,-1)*($C243-INDEX($C$183:$C$310,$B243+2^1)))</f>
        <v>0.0014577230956393775</v>
      </c>
      <c r="J243" s="316">
        <f>IF(MOD(INT($E243/2^2),2)=1,0,FACT($G243)*FACT(5-$G243)/FACT(6)*IF($F243=1,1,-1)*($C243-INDEX($C$183:$C$310,$B243+2^2)))</f>
        <v>0</v>
      </c>
      <c r="K243" s="316">
        <f>IF(MOD(INT($E243/2^3),2)=1,0,FACT($G243)*FACT(5-$G243)/FACT(6)*IF($F243=1,1,-1)*($C243-INDEX($C$183:$C$310,$B243+2^3)))</f>
        <v>0</v>
      </c>
      <c r="L243" s="316">
        <f>IF(MOD(INT($E243/2^4),2)=1,0,FACT($G243)*FACT(5-$G243)/FACT(6)*IF($F243=1,1,-1)*($C243-INDEX($C$183:$C$310,$B243+2^4)))</f>
        <v>0</v>
      </c>
      <c r="M243" s="316">
        <f>IF(MOD(INT($E243/2^5),2)=1,0,FACT($G243)*FACT(5-$G243)/FACT(6)*IF($F243=1,1,-1)*($C243-INDEX($C$183:$C$310,$B243+2^5)))</f>
        <v>0</v>
      </c>
      <c r="N243" s="4"/>
      <c r="O243" s="4"/>
      <c r="P243" s="4"/>
      <c r="Q243" s="4"/>
      <c r="R243" s="4"/>
      <c r="S243" s="4"/>
      <c r="T243" s="4"/>
      <c r="U243" s="4"/>
      <c r="V243" s="4"/>
      <c r="W243" s="4"/>
      <c r="X243" s="4"/>
      <c r="Y243" s="4"/>
      <c r="Z243" s="4"/>
      <c r="AA243" s="4"/>
      <c r="AB243" s="4"/>
      <c r="AC243" s="4"/>
      <c r="AD243" s="4"/>
      <c r="AE243" s="4"/>
      <c r="AF243" s="4"/>
      <c r="AG243" s="4"/>
      <c r="AH243" s="4"/>
    </row>
    <row r="244" ht="12.75" hidden="1" outlineLevel="1">
      <c r="A244" s="4"/>
      <c r="B244" s="4">
        <f>ROW()-ROW($B$182)</f>
        <v>62</v>
      </c>
      <c r="C244" s="187">
        <v>0.0779368910432845</v>
      </c>
      <c r="D244" s="190">
        <v>1.4553474082919198</v>
      </c>
      <c r="E244" s="4">
        <f>MOD(B244-1,64)</f>
        <v>61</v>
      </c>
      <c r="F244" s="4">
        <f>IF(B244&lt;=64,1,2)</f>
        <v>1</v>
      </c>
      <c r="G244" s="4">
        <f>SUMPRODUCT(MOD(INT(E244/2^({0,1,2,3,4,5})),2))</f>
        <v>5</v>
      </c>
      <c r="H244" s="316">
        <f>IF(MOD(INT($E244/2^0),2)=1,0,FACT($G244)*FACT(5-$G244)/FACT(6)*IF($F244=1,1,-1)*($C244-INDEX($C$183:$C$310,$B244+2^0)))</f>
        <v>0</v>
      </c>
      <c r="I244" s="316">
        <f>IF(MOD(INT($E244/2^1),2)=1,0,FACT($G244)*FACT(5-$G244)/FACT(6)*IF($F244=1,1,-1)*($C244-INDEX($C$183:$C$310,$B244+2^1)))</f>
        <v>0.007594455990590905</v>
      </c>
      <c r="J244" s="316">
        <f>IF(MOD(INT($E244/2^2),2)=1,0,FACT($G244)*FACT(5-$G244)/FACT(6)*IF($F244=1,1,-1)*($C244-INDEX($C$183:$C$310,$B244+2^2)))</f>
        <v>0</v>
      </c>
      <c r="K244" s="316">
        <f>IF(MOD(INT($E244/2^3),2)=1,0,FACT($G244)*FACT(5-$G244)/FACT(6)*IF($F244=1,1,-1)*($C244-INDEX($C$183:$C$310,$B244+2^3)))</f>
        <v>0</v>
      </c>
      <c r="L244" s="316">
        <f>IF(MOD(INT($E244/2^4),2)=1,0,FACT($G244)*FACT(5-$G244)/FACT(6)*IF($F244=1,1,-1)*($C244-INDEX($C$183:$C$310,$B244+2^4)))</f>
        <v>0</v>
      </c>
      <c r="M244" s="316">
        <f>IF(MOD(INT($E244/2^5),2)=1,0,FACT($G244)*FACT(5-$G244)/FACT(6)*IF($F244=1,1,-1)*($C244-INDEX($C$183:$C$310,$B244+2^5)))</f>
        <v>0</v>
      </c>
      <c r="N244" s="4"/>
      <c r="O244" s="4"/>
      <c r="P244" s="4"/>
      <c r="Q244" s="4"/>
      <c r="R244" s="4"/>
      <c r="S244" s="4"/>
      <c r="T244" s="4"/>
      <c r="U244" s="4"/>
      <c r="V244" s="4"/>
      <c r="W244" s="4"/>
      <c r="X244" s="4"/>
      <c r="Y244" s="4"/>
      <c r="Z244" s="4"/>
      <c r="AA244" s="4"/>
      <c r="AB244" s="4"/>
      <c r="AC244" s="4"/>
      <c r="AD244" s="4"/>
      <c r="AE244" s="4"/>
      <c r="AF244" s="4"/>
      <c r="AG244" s="4"/>
      <c r="AH244" s="4"/>
    </row>
    <row r="245" ht="12.75" hidden="1" outlineLevel="1">
      <c r="A245" s="4"/>
      <c r="B245" s="4">
        <f>ROW()-ROW($B$182)</f>
        <v>63</v>
      </c>
      <c r="C245" s="187">
        <v>0.053103066989690584</v>
      </c>
      <c r="D245" s="190">
        <v>1.2952523470070054</v>
      </c>
      <c r="E245" s="4">
        <f>MOD(B245-1,64)</f>
        <v>62</v>
      </c>
      <c r="F245" s="4">
        <f>IF(B245&lt;=64,1,2)</f>
        <v>1</v>
      </c>
      <c r="G245" s="4">
        <f>SUMPRODUCT(MOD(INT(E245/2^({0,1,2,3,4,5})),2))</f>
        <v>5</v>
      </c>
      <c r="H245" s="316">
        <f>IF(MOD(INT($E245/2^0),2)=1,0,FACT($G245)*FACT(5-$G245)/FACT(6)*IF($F245=1,1,-1)*($C245-INDEX($C$183:$C$310,$B245+2^0)))</f>
        <v>0.00345548531499192</v>
      </c>
      <c r="I245" s="316">
        <f>IF(MOD(INT($E245/2^1),2)=1,0,FACT($G245)*FACT(5-$G245)/FACT(6)*IF($F245=1,1,-1)*($C245-INDEX($C$183:$C$310,$B245+2^1)))</f>
        <v>0</v>
      </c>
      <c r="J245" s="316">
        <f>IF(MOD(INT($E245/2^2),2)=1,0,FACT($G245)*FACT(5-$G245)/FACT(6)*IF($F245=1,1,-1)*($C245-INDEX($C$183:$C$310,$B245+2^2)))</f>
        <v>0</v>
      </c>
      <c r="K245" s="316">
        <f>IF(MOD(INT($E245/2^3),2)=1,0,FACT($G245)*FACT(5-$G245)/FACT(6)*IF($F245=1,1,-1)*($C245-INDEX($C$183:$C$310,$B245+2^3)))</f>
        <v>0</v>
      </c>
      <c r="L245" s="316">
        <f>IF(MOD(INT($E245/2^4),2)=1,0,FACT($G245)*FACT(5-$G245)/FACT(6)*IF($F245=1,1,-1)*($C245-INDEX($C$183:$C$310,$B245+2^4)))</f>
        <v>0</v>
      </c>
      <c r="M245" s="316">
        <f>IF(MOD(INT($E245/2^5),2)=1,0,FACT($G245)*FACT(5-$G245)/FACT(6)*IF($F245=1,1,-1)*($C245-INDEX($C$183:$C$310,$B245+2^5)))</f>
        <v>0</v>
      </c>
      <c r="N245" s="4"/>
      <c r="O245" s="4"/>
      <c r="P245" s="4"/>
      <c r="Q245" s="4"/>
      <c r="R245" s="4"/>
      <c r="S245" s="4"/>
      <c r="T245" s="4"/>
      <c r="U245" s="4"/>
      <c r="V245" s="4"/>
      <c r="W245" s="4"/>
      <c r="X245" s="4"/>
      <c r="Y245" s="4"/>
      <c r="Z245" s="4"/>
      <c r="AA245" s="4"/>
      <c r="AB245" s="4"/>
      <c r="AC245" s="4"/>
      <c r="AD245" s="4"/>
      <c r="AE245" s="4"/>
      <c r="AF245" s="4"/>
      <c r="AG245" s="4"/>
      <c r="AH245" s="4"/>
    </row>
    <row r="246" ht="12.75" hidden="1" outlineLevel="1">
      <c r="A246" s="4"/>
      <c r="B246" s="4">
        <f>ROW()-ROW($B$182)</f>
        <v>64</v>
      </c>
      <c r="C246" s="187">
        <v>0.03237015509973906</v>
      </c>
      <c r="D246" s="190">
        <v>1.172673753363568</v>
      </c>
      <c r="E246" s="4">
        <f>MOD(B246-1,64)</f>
        <v>63</v>
      </c>
      <c r="F246" s="4">
        <f>IF(B246&lt;=64,1,2)</f>
        <v>1</v>
      </c>
      <c r="G246" s="4">
        <f>SUMPRODUCT(MOD(INT(E246/2^({0,1,2,3,4,5})),2))</f>
        <v>6</v>
      </c>
      <c r="H246" s="316">
        <f>IF(MOD(INT($E246/2^0),2)=1,0,FACT($G246)*FACT(5-$G246)/FACT(6)*IF($F246=1,1,-1)*($C246-INDEX($C$183:$C$310,$B246+2^0)))</f>
        <v>0</v>
      </c>
      <c r="I246" s="316">
        <f>IF(MOD(INT($E246/2^1),2)=1,0,FACT($G246)*FACT(5-$G246)/FACT(6)*IF($F246=1,1,-1)*($C246-INDEX($C$183:$C$310,$B246+2^1)))</f>
        <v>0</v>
      </c>
      <c r="J246" s="316">
        <f>IF(MOD(INT($E246/2^2),2)=1,0,FACT($G246)*FACT(5-$G246)/FACT(6)*IF($F246=1,1,-1)*($C246-INDEX($C$183:$C$310,$B246+2^2)))</f>
        <v>0</v>
      </c>
      <c r="K246" s="316">
        <f>IF(MOD(INT($E246/2^3),2)=1,0,FACT($G246)*FACT(5-$G246)/FACT(6)*IF($F246=1,1,-1)*($C246-INDEX($C$183:$C$310,$B246+2^3)))</f>
        <v>0</v>
      </c>
      <c r="L246" s="316">
        <f>IF(MOD(INT($E246/2^4),2)=1,0,FACT($G246)*FACT(5-$G246)/FACT(6)*IF($F246=1,1,-1)*($C246-INDEX($C$183:$C$310,$B246+2^4)))</f>
        <v>0</v>
      </c>
      <c r="M246" s="316">
        <f>IF(MOD(INT($E246/2^5),2)=1,0,FACT($G246)*FACT(5-$G246)/FACT(6)*IF($F246=1,1,-1)*($C246-INDEX($C$183:$C$310,$B246+2^5)))</f>
        <v>0</v>
      </c>
      <c r="N246" s="4"/>
      <c r="O246" s="4"/>
      <c r="P246" s="4"/>
      <c r="Q246" s="4"/>
      <c r="R246" s="4"/>
      <c r="S246" s="4"/>
      <c r="T246" s="4"/>
      <c r="U246" s="4"/>
      <c r="V246" s="4"/>
      <c r="W246" s="4"/>
      <c r="X246" s="4"/>
      <c r="Y246" s="4"/>
      <c r="Z246" s="4"/>
      <c r="AA246" s="4"/>
      <c r="AB246" s="4"/>
      <c r="AC246" s="4"/>
      <c r="AD246" s="4"/>
      <c r="AE246" s="4"/>
      <c r="AF246" s="4"/>
      <c r="AG246" s="4"/>
      <c r="AH246" s="4"/>
    </row>
    <row r="247" ht="12.75" hidden="1" outlineLevel="1">
      <c r="A247" s="4"/>
      <c r="B247" s="4">
        <f>ROW()-ROW($B$182)</f>
        <v>65</v>
      </c>
      <c r="C247" s="187">
        <v>0.211735490955125</v>
      </c>
      <c r="D247" s="190">
        <v>2.6123967897992326</v>
      </c>
      <c r="E247" s="4">
        <f>MOD(B247-1,64)</f>
        <v>0</v>
      </c>
      <c r="F247" s="4">
        <f>IF(B247&lt;=64,1,2)</f>
        <v>2</v>
      </c>
      <c r="G247" s="4">
        <f>SUMPRODUCT(MOD(INT(E247/2^({0,1,2,3,4,5})),2))</f>
        <v>0</v>
      </c>
      <c r="H247" s="316">
        <f>IF(MOD(INT($E247/2^0),2)=1,0,FACT($G247)*FACT(5-$G247)/FACT(6)*IF($F247=1,1,-1)*($C247-INDEX($C$183:$C$310,$B247+2^0)))</f>
        <v>0.0014521970667158435</v>
      </c>
      <c r="I247" s="316">
        <f>IF(MOD(INT($E247/2^1),2)=1,0,FACT($G247)*FACT(5-$G247)/FACT(6)*IF($F247=1,1,-1)*($C247-INDEX($C$183:$C$310,$B247+2^1)))</f>
        <v>0.0021923785503588458</v>
      </c>
      <c r="J247" s="316">
        <f>IF(MOD(INT($E247/2^2),2)=1,0,FACT($G247)*FACT(5-$G247)/FACT(6)*IF($F247=1,1,-1)*($C247-INDEX($C$183:$C$310,$B247+2^2)))</f>
        <v>0.0010353122905405465</v>
      </c>
      <c r="K247" s="316">
        <f>IF(MOD(INT($E247/2^3),2)=1,0,FACT($G247)*FACT(5-$G247)/FACT(6)*IF($F247=1,1,-1)*($C247-INDEX($C$183:$C$310,$B247+2^3)))</f>
        <v>0.0020790091146795455</v>
      </c>
      <c r="L247" s="316">
        <f>IF(MOD(INT($E247/2^4),2)=1,0,FACT($G247)*FACT(5-$G247)/FACT(6)*IF($F247=1,1,-1)*($C247-INDEX($C$183:$C$310,$B247+2^4)))</f>
        <v>0.0029831563989520804</v>
      </c>
      <c r="M247" s="316">
        <f>IF(MOD(INT($E247/2^5),2)=1,0,FACT($G247)*FACT(5-$G247)/FACT(6)*IF($F247=1,1,-1)*($C247-INDEX($C$183:$C$310,$B247+2^5)))</f>
        <v>0.001343626216787556</v>
      </c>
      <c r="N247" s="4"/>
      <c r="O247" s="4"/>
      <c r="P247" s="4"/>
      <c r="Q247" s="4"/>
      <c r="R247" s="4"/>
      <c r="S247" s="4"/>
      <c r="T247" s="4"/>
      <c r="U247" s="4"/>
      <c r="V247" s="4"/>
      <c r="W247" s="4"/>
      <c r="X247" s="4"/>
      <c r="Y247" s="4"/>
      <c r="Z247" s="4"/>
      <c r="AA247" s="4"/>
      <c r="AB247" s="4"/>
      <c r="AC247" s="4"/>
      <c r="AD247" s="4"/>
      <c r="AE247" s="4"/>
      <c r="AF247" s="4"/>
      <c r="AG247" s="4"/>
      <c r="AH247" s="4"/>
    </row>
    <row r="248" ht="12.75" hidden="1" outlineLevel="1">
      <c r="A248" s="4"/>
      <c r="B248" s="4">
        <f>ROW()-ROW($B$182)</f>
        <v>66</v>
      </c>
      <c r="C248" s="187">
        <v>0.22044867335542007</v>
      </c>
      <c r="D248" s="190">
        <v>2.707681627939952</v>
      </c>
      <c r="E248" s="4">
        <f>MOD(B248-1,64)</f>
        <v>1</v>
      </c>
      <c r="F248" s="4">
        <f>IF(B248&lt;=64,1,2)</f>
        <v>2</v>
      </c>
      <c r="G248" s="4">
        <f>SUMPRODUCT(MOD(INT(E248/2^({0,1,2,3,4,5})),2))</f>
        <v>1</v>
      </c>
      <c r="H248" s="316">
        <f>IF(MOD(INT($E248/2^0),2)=1,0,FACT($G248)*FACT(5-$G248)/FACT(6)*IF($F248=1,1,-1)*($C248-INDEX($C$183:$C$310,$B248+2^0)))</f>
        <v>0</v>
      </c>
      <c r="I248" s="316">
        <f>IF(MOD(INT($E248/2^1),2)=1,0,FACT($G248)*FACT(5-$G248)/FACT(6)*IF($F248=1,1,-1)*($C248-INDEX($C$183:$C$310,$B248+2^1)))</f>
        <v>0.0004333857618352403</v>
      </c>
      <c r="J248" s="316">
        <f>IF(MOD(INT($E248/2^2),2)=1,0,FACT($G248)*FACT(5-$G248)/FACT(6)*IF($F248=1,1,-1)*($C248-INDEX($C$183:$C$310,$B248+2^2)))</f>
        <v>0.00021354302098805327</v>
      </c>
      <c r="K248" s="316">
        <f>IF(MOD(INT($E248/2^3),2)=1,0,FACT($G248)*FACT(5-$G248)/FACT(6)*IF($F248=1,1,-1)*($C248-INDEX($C$183:$C$310,$B248+2^3)))</f>
        <v>0.00041190169596797184</v>
      </c>
      <c r="L248" s="316">
        <f>IF(MOD(INT($E248/2^4),2)=1,0,FACT($G248)*FACT(5-$G248)/FACT(6)*IF($F248=1,1,-1)*($C248-INDEX($C$183:$C$310,$B248+2^4)))</f>
        <v>0.0005953376497392693</v>
      </c>
      <c r="M248" s="316">
        <f>IF(MOD(INT($E248/2^5),2)=1,0,FACT($G248)*FACT(5-$G248)/FACT(6)*IF($F248=1,1,-1)*($C248-INDEX($C$183:$C$310,$B248+2^5)))</f>
        <v>0.00027359324059090807</v>
      </c>
      <c r="N248" s="4"/>
      <c r="O248" s="4"/>
      <c r="P248" s="4"/>
      <c r="Q248" s="4"/>
      <c r="R248" s="4"/>
      <c r="S248" s="4"/>
      <c r="T248" s="4"/>
      <c r="U248" s="4"/>
      <c r="V248" s="4"/>
      <c r="W248" s="4"/>
      <c r="X248" s="4"/>
      <c r="Y248" s="4"/>
      <c r="Z248" s="4"/>
      <c r="AA248" s="4"/>
      <c r="AB248" s="4"/>
      <c r="AC248" s="4"/>
      <c r="AD248" s="4"/>
      <c r="AE248" s="4"/>
      <c r="AF248" s="4"/>
      <c r="AG248" s="4"/>
      <c r="AH248" s="4"/>
    </row>
    <row r="249" ht="12.75" hidden="1" outlineLevel="1">
      <c r="A249" s="4"/>
      <c r="B249" s="4">
        <f>ROW()-ROW($B$182)</f>
        <v>67</v>
      </c>
      <c r="C249" s="187">
        <v>0.22488976225727808</v>
      </c>
      <c r="D249" s="190">
        <v>2.7573063685884094</v>
      </c>
      <c r="E249" s="4">
        <f>MOD(B249-1,64)</f>
        <v>2</v>
      </c>
      <c r="F249" s="4">
        <f>IF(B249&lt;=64,1,2)</f>
        <v>2</v>
      </c>
      <c r="G249" s="4">
        <f>SUMPRODUCT(MOD(INT(E249/2^({0,1,2,3,4,5})),2))</f>
        <v>1</v>
      </c>
      <c r="H249" s="316">
        <f>IF(MOD(INT($E249/2^0),2)=1,0,FACT($G249)*FACT(5-$G249)/FACT(6)*IF($F249=1,1,-1)*($C249-INDEX($C$183:$C$310,$B249+2^0)))</f>
        <v>0.0002853494651066398</v>
      </c>
      <c r="I249" s="316">
        <f>IF(MOD(INT($E249/2^1),2)=1,0,FACT($G249)*FACT(5-$G249)/FACT(6)*IF($F249=1,1,-1)*($C249-INDEX($C$183:$C$310,$B249+2^1)))</f>
        <v>0</v>
      </c>
      <c r="J249" s="316">
        <f>IF(MOD(INT($E249/2^2),2)=1,0,FACT($G249)*FACT(5-$G249)/FACT(6)*IF($F249=1,1,-1)*($C249-INDEX($C$183:$C$310,$B249+2^2)))</f>
        <v>0.00020243141731184354</v>
      </c>
      <c r="K249" s="316">
        <f>IF(MOD(INT($E249/2^3),2)=1,0,FACT($G249)*FACT(5-$G249)/FACT(6)*IF($F249=1,1,-1)*($C249-INDEX($C$183:$C$310,$B249+2^3)))</f>
        <v>0.0004082040964773566</v>
      </c>
      <c r="L249" s="316">
        <f>IF(MOD(INT($E249/2^4),2)=1,0,FACT($G249)*FACT(5-$G249)/FACT(6)*IF($F249=1,1,-1)*($C249-INDEX($C$183:$C$310,$B249+2^4)))</f>
        <v>0.0005851385587752815</v>
      </c>
      <c r="M249" s="316">
        <f>IF(MOD(INT($E249/2^5),2)=1,0,FACT($G249)*FACT(5-$G249)/FACT(6)*IF($F249=1,1,-1)*($C249-INDEX($C$183:$C$310,$B249+2^5)))</f>
        <v>0.0002608815952607498</v>
      </c>
      <c r="N249" s="4"/>
      <c r="O249" s="4"/>
      <c r="P249" s="4"/>
      <c r="Q249" s="4"/>
      <c r="R249" s="4"/>
      <c r="S249" s="4"/>
      <c r="T249" s="4"/>
      <c r="U249" s="4"/>
      <c r="V249" s="4"/>
      <c r="W249" s="4"/>
      <c r="X249" s="4"/>
      <c r="Y249" s="4"/>
      <c r="Z249" s="4"/>
      <c r="AA249" s="4"/>
      <c r="AB249" s="4"/>
      <c r="AC249" s="4"/>
      <c r="AD249" s="4"/>
      <c r="AE249" s="4"/>
      <c r="AF249" s="4"/>
      <c r="AG249" s="4"/>
      <c r="AH249" s="4"/>
    </row>
    <row r="250" ht="12.75" hidden="1" outlineLevel="1">
      <c r="A250" s="4"/>
      <c r="B250" s="4">
        <f>ROW()-ROW($B$182)</f>
        <v>68</v>
      </c>
      <c r="C250" s="187">
        <v>0.23345024621047727</v>
      </c>
      <c r="D250" s="190">
        <v>2.8550135911527446</v>
      </c>
      <c r="E250" s="4">
        <f>MOD(B250-1,64)</f>
        <v>3</v>
      </c>
      <c r="F250" s="4">
        <f>IF(B250&lt;=64,1,2)</f>
        <v>2</v>
      </c>
      <c r="G250" s="4">
        <f>SUMPRODUCT(MOD(INT(E250/2^({0,1,2,3,4,5})),2))</f>
        <v>2</v>
      </c>
      <c r="H250" s="316">
        <f>IF(MOD(INT($E250/2^0),2)=1,0,FACT($G250)*FACT(5-$G250)/FACT(6)*IF($F250=1,1,-1)*($C250-INDEX($C$183:$C$310,$B250+2^0)))</f>
        <v>0</v>
      </c>
      <c r="I250" s="316">
        <f>IF(MOD(INT($E250/2^1),2)=1,0,FACT($G250)*FACT(5-$G250)/FACT(6)*IF($F250=1,1,-1)*($C250-INDEX($C$183:$C$310,$B250+2^1)))</f>
        <v>0</v>
      </c>
      <c r="J250" s="316">
        <f>IF(MOD(INT($E250/2^2),2)=1,0,FACT($G250)*FACT(5-$G250)/FACT(6)*IF($F250=1,1,-1)*($C250-INDEX($C$183:$C$310,$B250+2^2)))</f>
        <v>0.00010446818673275349</v>
      </c>
      <c r="K250" s="316">
        <f>IF(MOD(INT($E250/2^3),2)=1,0,FACT($G250)*FACT(5-$G250)/FACT(6)*IF($F250=1,1,-1)*($C250-INDEX($C$183:$C$310,$B250+2^3)))</f>
        <v>0.00020233215426654534</v>
      </c>
      <c r="L250" s="316">
        <f>IF(MOD(INT($E250/2^4),2)=1,0,FACT($G250)*FACT(5-$G250)/FACT(6)*IF($F250=1,1,-1)*($C250-INDEX($C$183:$C$310,$B250+2^4)))</f>
        <v>0.00029214305908511855</v>
      </c>
      <c r="M250" s="316">
        <f>IF(MOD(INT($E250/2^5),2)=1,0,FACT($G250)*FACT(5-$G250)/FACT(6)*IF($F250=1,1,-1)*($C250-INDEX($C$183:$C$310,$B250+2^5)))</f>
        <v>0.0001329190524221091</v>
      </c>
      <c r="N250" s="4"/>
      <c r="O250" s="4"/>
      <c r="P250" s="4"/>
      <c r="Q250" s="4"/>
      <c r="R250" s="4"/>
      <c r="S250" s="4"/>
      <c r="T250" s="4"/>
      <c r="U250" s="4"/>
      <c r="V250" s="4"/>
      <c r="W250" s="4"/>
      <c r="X250" s="4"/>
      <c r="Y250" s="4"/>
      <c r="Z250" s="4"/>
      <c r="AA250" s="4"/>
      <c r="AB250" s="4"/>
      <c r="AC250" s="4"/>
      <c r="AD250" s="4"/>
      <c r="AE250" s="4"/>
      <c r="AF250" s="4"/>
      <c r="AG250" s="4"/>
      <c r="AH250" s="4"/>
    </row>
    <row r="251" ht="12.75" hidden="1" outlineLevel="1">
      <c r="A251" s="4"/>
      <c r="B251" s="4">
        <f>ROW()-ROW($B$182)</f>
        <v>69</v>
      </c>
      <c r="C251" s="187">
        <v>0.21794736469836828</v>
      </c>
      <c r="D251" s="190">
        <v>2.6800481723075786</v>
      </c>
      <c r="E251" s="4">
        <f>MOD(B251-1,64)</f>
        <v>4</v>
      </c>
      <c r="F251" s="4">
        <f>IF(B251&lt;=64,1,2)</f>
        <v>2</v>
      </c>
      <c r="G251" s="4">
        <f>SUMPRODUCT(MOD(INT(E251/2^({0,1,2,3,4,5})),2))</f>
        <v>1</v>
      </c>
      <c r="H251" s="316">
        <f>IF(MOD(INT($E251/2^0),2)=1,0,FACT($G251)*FACT(5-$G251)/FACT(6)*IF($F251=1,1,-1)*($C251-INDEX($C$183:$C$310,$B251+2^0)))</f>
        <v>0.00029691997622311264</v>
      </c>
      <c r="I251" s="316">
        <f>IF(MOD(INT($E251/2^1),2)=1,0,FACT($G251)*FACT(5-$G251)/FACT(6)*IF($F251=1,1,-1)*($C251-INDEX($C$183:$C$310,$B251+2^1)))</f>
        <v>0.0004338446692755034</v>
      </c>
      <c r="J251" s="316">
        <f>IF(MOD(INT($E251/2^2),2)=1,0,FACT($G251)*FACT(5-$G251)/FACT(6)*IF($F251=1,1,-1)*($C251-INDEX($C$183:$C$310,$B251+2^2)))</f>
        <v>0</v>
      </c>
      <c r="K251" s="316">
        <f>IF(MOD(INT($E251/2^3),2)=1,0,FACT($G251)*FACT(5-$G251)/FACT(6)*IF($F251=1,1,-1)*($C251-INDEX($C$183:$C$310,$B251+2^3)))</f>
        <v>0.0004075912739437563</v>
      </c>
      <c r="L251" s="316">
        <f>IF(MOD(INT($E251/2^4),2)=1,0,FACT($G251)*FACT(5-$G251)/FACT(6)*IF($F251=1,1,-1)*($C251-INDEX($C$183:$C$310,$B251+2^4)))</f>
        <v>0.000594983007856853</v>
      </c>
      <c r="M251" s="316">
        <f>IF(MOD(INT($E251/2^5),2)=1,0,FACT($G251)*FACT(5-$G251)/FACT(6)*IF($F251=1,1,-1)*($C251-INDEX($C$183:$C$310,$B251+2^5)))</f>
        <v>0.0002633720584368652</v>
      </c>
      <c r="N251" s="4"/>
      <c r="O251" s="4"/>
      <c r="P251" s="4"/>
      <c r="Q251" s="4"/>
      <c r="R251" s="4"/>
      <c r="S251" s="4"/>
      <c r="T251" s="4"/>
      <c r="U251" s="4"/>
      <c r="V251" s="4"/>
      <c r="W251" s="4"/>
      <c r="X251" s="4"/>
      <c r="Y251" s="4"/>
      <c r="Z251" s="4"/>
      <c r="AA251" s="4"/>
      <c r="AB251" s="4"/>
      <c r="AC251" s="4"/>
      <c r="AD251" s="4"/>
      <c r="AE251" s="4"/>
      <c r="AF251" s="4"/>
      <c r="AG251" s="4"/>
      <c r="AH251" s="4"/>
    </row>
    <row r="252" ht="12.75" hidden="1" outlineLevel="1">
      <c r="A252" s="4"/>
      <c r="B252" s="4">
        <f>ROW()-ROW($B$182)</f>
        <v>70</v>
      </c>
      <c r="C252" s="187">
        <v>0.22685496398506166</v>
      </c>
      <c r="D252" s="190">
        <v>2.779496440834821</v>
      </c>
      <c r="E252" s="4">
        <f>MOD(B252-1,64)</f>
        <v>5</v>
      </c>
      <c r="F252" s="4">
        <f>IF(B252&lt;=64,1,2)</f>
        <v>2</v>
      </c>
      <c r="G252" s="4">
        <f>SUMPRODUCT(MOD(INT(E252/2^({0,1,2,3,4,5})),2))</f>
        <v>2</v>
      </c>
      <c r="H252" s="316">
        <f>IF(MOD(INT($E252/2^0),2)=1,0,FACT($G252)*FACT(5-$G252)/FACT(6)*IF($F252=1,1,-1)*($C252-INDEX($C$183:$C$310,$B252+2^0)))</f>
        <v>0</v>
      </c>
      <c r="I252" s="316">
        <f>IF(MOD(INT($E252/2^1),2)=1,0,FACT($G252)*FACT(5-$G252)/FACT(6)*IF($F252=1,1,-1)*($C252-INDEX($C$183:$C$310,$B252+2^1)))</f>
        <v>0.000214389557156347</v>
      </c>
      <c r="J252" s="316">
        <f>IF(MOD(INT($E252/2^2),2)=1,0,FACT($G252)*FACT(5-$G252)/FACT(6)*IF($F252=1,1,-1)*($C252-INDEX($C$183:$C$310,$B252+2^2)))</f>
        <v>0</v>
      </c>
      <c r="K252" s="316">
        <f>IF(MOD(INT($E252/2^3),2)=1,0,FACT($G252)*FACT(5-$G252)/FACT(6)*IF($F252=1,1,-1)*($C252-INDEX($C$183:$C$310,$B252+2^3)))</f>
        <v>0.00020178625642989224</v>
      </c>
      <c r="L252" s="316">
        <f>IF(MOD(INT($E252/2^4),2)=1,0,FACT($G252)*FACT(5-$G252)/FACT(6)*IF($F252=1,1,-1)*($C252-INDEX($C$183:$C$310,$B252+2^4)))</f>
        <v>0.0002968833597300935</v>
      </c>
      <c r="M252" s="316">
        <f>IF(MOD(INT($E252/2^5),2)=1,0,FACT($G252)*FACT(5-$G252)/FACT(6)*IF($F252=1,1,-1)*($C252-INDEX($C$183:$C$310,$B252+2^5)))</f>
        <v>0.0001340076282444517</v>
      </c>
      <c r="N252" s="4"/>
      <c r="O252" s="4"/>
      <c r="P252" s="4"/>
      <c r="Q252" s="4"/>
      <c r="R252" s="4"/>
      <c r="S252" s="4"/>
      <c r="T252" s="4"/>
      <c r="U252" s="4"/>
      <c r="V252" s="4"/>
      <c r="W252" s="4"/>
      <c r="X252" s="4"/>
      <c r="Y252" s="4"/>
      <c r="Z252" s="4"/>
      <c r="AA252" s="4"/>
      <c r="AB252" s="4"/>
      <c r="AC252" s="4"/>
      <c r="AD252" s="4"/>
      <c r="AE252" s="4"/>
      <c r="AF252" s="4"/>
      <c r="AG252" s="4"/>
      <c r="AH252" s="4"/>
    </row>
    <row r="253" ht="12.75" hidden="1" outlineLevel="1">
      <c r="A253" s="4"/>
      <c r="B253" s="4">
        <f>ROW()-ROW($B$182)</f>
        <v>71</v>
      </c>
      <c r="C253" s="187">
        <v>0.2309627047766334</v>
      </c>
      <c r="D253" s="190">
        <v>2.826340457458242</v>
      </c>
      <c r="E253" s="4">
        <f>MOD(B253-1,64)</f>
        <v>6</v>
      </c>
      <c r="F253" s="4">
        <f>IF(B253&lt;=64,1,2)</f>
        <v>2</v>
      </c>
      <c r="G253" s="4">
        <f>SUMPRODUCT(MOD(INT(E253/2^({0,1,2,3,4,5})),2))</f>
        <v>2</v>
      </c>
      <c r="H253" s="316">
        <f>IF(MOD(INT($E253/2^0),2)=1,0,FACT($G253)*FACT(5-$G253)/FACT(6)*IF($F253=1,1,-1)*($C253-INDEX($C$183:$C$310,$B253+2^0)))</f>
        <v>0.0001459272106301516</v>
      </c>
      <c r="I253" s="316">
        <f>IF(MOD(INT($E253/2^1),2)=1,0,FACT($G253)*FACT(5-$G253)/FACT(6)*IF($F253=1,1,-1)*($C253-INDEX($C$183:$C$310,$B253+2^1)))</f>
        <v>0</v>
      </c>
      <c r="J253" s="316">
        <f>IF(MOD(INT($E253/2^2),2)=1,0,FACT($G253)*FACT(5-$G253)/FACT(6)*IF($F253=1,1,-1)*($C253-INDEX($C$183:$C$310,$B253+2^2)))</f>
        <v>0</v>
      </c>
      <c r="K253" s="316">
        <f>IF(MOD(INT($E253/2^3),2)=1,0,FACT($G253)*FACT(5-$G253)/FACT(6)*IF($F253=1,1,-1)*($C253-INDEX($C$183:$C$310,$B253+2^3)))</f>
        <v>0.00020019989241347366</v>
      </c>
      <c r="L253" s="316">
        <f>IF(MOD(INT($E253/2^4),2)=1,0,FACT($G253)*FACT(5-$G253)/FACT(6)*IF($F253=1,1,-1)*($C253-INDEX($C$183:$C$310,$B253+2^4)))</f>
        <v>0.0002919388814873895</v>
      </c>
      <c r="M253" s="316">
        <f>IF(MOD(INT($E253/2^5),2)=1,0,FACT($G253)*FACT(5-$G253)/FACT(6)*IF($F253=1,1,-1)*($C253-INDEX($C$183:$C$310,$B253+2^5)))</f>
        <v>0.00012792510127171235</v>
      </c>
      <c r="N253" s="4"/>
      <c r="O253" s="4"/>
      <c r="P253" s="4"/>
      <c r="Q253" s="4"/>
      <c r="R253" s="4"/>
      <c r="S253" s="4"/>
      <c r="T253" s="4"/>
      <c r="U253" s="4"/>
      <c r="V253" s="4"/>
      <c r="W253" s="4"/>
      <c r="X253" s="4"/>
      <c r="Y253" s="4"/>
      <c r="Z253" s="4"/>
      <c r="AA253" s="4"/>
      <c r="AB253" s="4"/>
      <c r="AC253" s="4"/>
      <c r="AD253" s="4"/>
      <c r="AE253" s="4"/>
      <c r="AF253" s="4"/>
      <c r="AG253" s="4"/>
      <c r="AH253" s="4"/>
    </row>
    <row r="254" ht="12.75" hidden="1" outlineLevel="1">
      <c r="A254" s="4"/>
      <c r="B254" s="4">
        <f>ROW()-ROW($B$182)</f>
        <v>72</v>
      </c>
      <c r="C254" s="187">
        <v>0.23971833741444248</v>
      </c>
      <c r="D254" s="190">
        <v>2.9282970218516957</v>
      </c>
      <c r="E254" s="4">
        <f>MOD(B254-1,64)</f>
        <v>7</v>
      </c>
      <c r="F254" s="4">
        <f>IF(B254&lt;=64,1,2)</f>
        <v>2</v>
      </c>
      <c r="G254" s="4">
        <f>SUMPRODUCT(MOD(INT(E254/2^({0,1,2,3,4,5})),2))</f>
        <v>3</v>
      </c>
      <c r="H254" s="316">
        <f>IF(MOD(INT($E254/2^0),2)=1,0,FACT($G254)*FACT(5-$G254)/FACT(6)*IF($F254=1,1,-1)*($C254-INDEX($C$183:$C$310,$B254+2^0)))</f>
        <v>0</v>
      </c>
      <c r="I254" s="316">
        <f>IF(MOD(INT($E254/2^1),2)=1,0,FACT($G254)*FACT(5-$G254)/FACT(6)*IF($F254=1,1,-1)*($C254-INDEX($C$183:$C$310,$B254+2^1)))</f>
        <v>0</v>
      </c>
      <c r="J254" s="316">
        <f>IF(MOD(INT($E254/2^2),2)=1,0,FACT($G254)*FACT(5-$G254)/FACT(6)*IF($F254=1,1,-1)*($C254-INDEX($C$183:$C$310,$B254+2^2)))</f>
        <v>0</v>
      </c>
      <c r="K254" s="316">
        <f>IF(MOD(INT($E254/2^3),2)=1,0,FACT($G254)*FACT(5-$G254)/FACT(6)*IF($F254=1,1,-1)*($C254-INDEX($C$183:$C$310,$B254+2^3)))</f>
        <v>0.00019836692145102085</v>
      </c>
      <c r="L254" s="316">
        <f>IF(MOD(INT($E254/2^4),2)=1,0,FACT($G254)*FACT(5-$G254)/FACT(6)*IF($F254=1,1,-1)*($C254-INDEX($C$183:$C$310,$B254+2^4)))</f>
        <v>0.00029154857631703184</v>
      </c>
      <c r="M254" s="316">
        <f>IF(MOD(INT($E254/2^5),2)=1,0,FACT($G254)*FACT(5-$G254)/FACT(6)*IF($F254=1,1,-1)*($C254-INDEX($C$183:$C$310,$B254+2^5)))</f>
        <v>0.00013029281704408647</v>
      </c>
      <c r="N254" s="4"/>
      <c r="O254" s="4"/>
      <c r="P254" s="4"/>
      <c r="Q254" s="4"/>
      <c r="R254" s="4"/>
      <c r="S254" s="4"/>
      <c r="T254" s="4"/>
      <c r="U254" s="4"/>
      <c r="V254" s="4"/>
      <c r="W254" s="4"/>
      <c r="X254" s="4"/>
      <c r="Y254" s="4"/>
      <c r="Z254" s="4"/>
      <c r="AA254" s="4"/>
      <c r="AB254" s="4"/>
      <c r="AC254" s="4"/>
      <c r="AD254" s="4"/>
      <c r="AE254" s="4"/>
      <c r="AF254" s="4"/>
      <c r="AG254" s="4"/>
      <c r="AH254" s="4"/>
    </row>
    <row r="255" ht="12.75" hidden="1" outlineLevel="1">
      <c r="A255" s="4"/>
      <c r="B255" s="4">
        <f>ROW()-ROW($B$182)</f>
        <v>73</v>
      </c>
      <c r="C255" s="187">
        <v>0.22420954564320228</v>
      </c>
      <c r="D255" s="190">
        <v>2.74965880835532</v>
      </c>
      <c r="E255" s="4">
        <f>MOD(B255-1,64)</f>
        <v>8</v>
      </c>
      <c r="F255" s="4">
        <f>IF(B255&lt;=64,1,2)</f>
        <v>2</v>
      </c>
      <c r="G255" s="4">
        <f>SUMPRODUCT(MOD(INT(E255/2^({0,1,2,3,4,5})),2))</f>
        <v>1</v>
      </c>
      <c r="H255" s="316">
        <f>IF(MOD(INT($E255/2^0),2)=1,0,FACT($G255)*FACT(5-$G255)/FACT(6)*IF($F255=1,1,-1)*($C255-INDEX($C$183:$C$310,$B255+2^0)))</f>
        <v>0.0002865392863752314</v>
      </c>
      <c r="I255" s="316">
        <f>IF(MOD(INT($E255/2^1),2)=1,0,FACT($G255)*FACT(5-$G255)/FACT(6)*IF($F255=1,1,-1)*($C255-INDEX($C$183:$C$310,$B255+2^1)))</f>
        <v>0.0004308779836132167</v>
      </c>
      <c r="J255" s="316">
        <f>IF(MOD(INT($E255/2^2),2)=1,0,FACT($G255)*FACT(5-$G255)/FACT(6)*IF($F255=1,1,-1)*($C255-INDEX($C$183:$C$310,$B255+2^2)))</f>
        <v>0.00019885190911595648</v>
      </c>
      <c r="K255" s="316">
        <f>IF(MOD(INT($E255/2^3),2)=1,0,FACT($G255)*FACT(5-$G255)/FACT(6)*IF($F255=1,1,-1)*($C255-INDEX($C$183:$C$310,$B255+2^3)))</f>
        <v>0</v>
      </c>
      <c r="L255" s="316">
        <f>IF(MOD(INT($E255/2^4),2)=1,0,FACT($G255)*FACT(5-$G255)/FACT(6)*IF($F255=1,1,-1)*($C255-INDEX($C$183:$C$310,$B255+2^4)))</f>
        <v>0.0005735049947370138</v>
      </c>
      <c r="M255" s="316">
        <f>IF(MOD(INT($E255/2^5),2)=1,0,FACT($G255)*FACT(5-$G255)/FACT(6)*IF($F255=1,1,-1)*($C255-INDEX($C$183:$C$310,$B255+2^5)))</f>
        <v>0.00025810807876784175</v>
      </c>
      <c r="N255" s="4"/>
      <c r="O255" s="4"/>
      <c r="P255" s="4"/>
      <c r="Q255" s="4"/>
      <c r="R255" s="4"/>
      <c r="S255" s="4"/>
      <c r="T255" s="4"/>
      <c r="U255" s="4"/>
      <c r="V255" s="4"/>
      <c r="W255" s="4"/>
      <c r="X255" s="4"/>
      <c r="Y255" s="4"/>
      <c r="Z255" s="4"/>
      <c r="AA255" s="4"/>
      <c r="AB255" s="4"/>
      <c r="AC255" s="4"/>
      <c r="AD255" s="4"/>
      <c r="AE255" s="4"/>
      <c r="AF255" s="4"/>
      <c r="AG255" s="4"/>
      <c r="AH255" s="4"/>
    </row>
    <row r="256" ht="12.75" hidden="1" outlineLevel="1">
      <c r="A256" s="4"/>
      <c r="B256" s="4">
        <f>ROW()-ROW($B$182)</f>
        <v>74</v>
      </c>
      <c r="C256" s="187">
        <v>0.23280572423445922</v>
      </c>
      <c r="D256" s="190">
        <v>2.847562147710755</v>
      </c>
      <c r="E256" s="4">
        <f>MOD(B256-1,64)</f>
        <v>9</v>
      </c>
      <c r="F256" s="4">
        <f>IF(B256&lt;=64,1,2)</f>
        <v>2</v>
      </c>
      <c r="G256" s="4">
        <f>SUMPRODUCT(MOD(INT(E256/2^({0,1,2,3,4,5})),2))</f>
        <v>2</v>
      </c>
      <c r="H256" s="316">
        <f>IF(MOD(INT($E256/2^0),2)=1,0,FACT($G256)*FACT(5-$G256)/FACT(6)*IF($F256=1,1,-1)*($C256-INDEX($C$183:$C$310,$B256+2^0)))</f>
        <v>0</v>
      </c>
      <c r="I256" s="316">
        <f>IF(MOD(INT($E256/2^1),2)=1,0,FACT($G256)*FACT(5-$G256)/FACT(6)*IF($F256=1,1,-1)*($C256-INDEX($C$183:$C$310,$B256+2^1)))</f>
        <v>0.00021307418720017957</v>
      </c>
      <c r="J256" s="316">
        <f>IF(MOD(INT($E256/2^2),2)=1,0,FACT($G256)*FACT(5-$G256)/FACT(6)*IF($F256=1,1,-1)*($C256-INDEX($C$183:$C$310,$B256+2^2)))</f>
        <v>0.00010260691893993294</v>
      </c>
      <c r="K256" s="316">
        <f>IF(MOD(INT($E256/2^3),2)=1,0,FACT($G256)*FACT(5-$G256)/FACT(6)*IF($F256=1,1,-1)*($C256-INDEX($C$183:$C$310,$B256+2^3)))</f>
        <v>0</v>
      </c>
      <c r="L256" s="316">
        <f>IF(MOD(INT($E256/2^4),2)=1,0,FACT($G256)*FACT(5-$G256)/FACT(6)*IF($F256=1,1,-1)*($C256-INDEX($C$183:$C$310,$B256+2^4)))</f>
        <v>0.0002863124843190512</v>
      </c>
      <c r="M256" s="316">
        <f>IF(MOD(INT($E256/2^5),2)=1,0,FACT($G256)*FACT(5-$G256)/FACT(6)*IF($F256=1,1,-1)*($C256-INDEX($C$183:$C$310,$B256+2^5)))</f>
        <v>0.00013147954606692233</v>
      </c>
      <c r="N256" s="4"/>
      <c r="O256" s="4"/>
      <c r="P256" s="4"/>
      <c r="Q256" s="4"/>
      <c r="R256" s="4"/>
      <c r="S256" s="4"/>
      <c r="T256" s="4"/>
      <c r="U256" s="4"/>
      <c r="V256" s="4"/>
      <c r="W256" s="4"/>
      <c r="X256" s="4"/>
      <c r="Y256" s="4"/>
      <c r="Z256" s="4"/>
      <c r="AA256" s="4"/>
      <c r="AB256" s="4"/>
      <c r="AC256" s="4"/>
      <c r="AD256" s="4"/>
      <c r="AE256" s="4"/>
      <c r="AF256" s="4"/>
      <c r="AG256" s="4"/>
      <c r="AH256" s="4"/>
    </row>
    <row r="257" ht="12.75" hidden="1" outlineLevel="1">
      <c r="A257" s="4"/>
      <c r="B257" s="4">
        <f>ROW()-ROW($B$182)</f>
        <v>75</v>
      </c>
      <c r="C257" s="187">
        <v>0.23713588515159878</v>
      </c>
      <c r="D257" s="190">
        <v>2.897924206187651</v>
      </c>
      <c r="E257" s="4">
        <f>MOD(B257-1,64)</f>
        <v>10</v>
      </c>
      <c r="F257" s="4">
        <f>IF(B257&lt;=64,1,2)</f>
        <v>2</v>
      </c>
      <c r="G257" s="4">
        <f>SUMPRODUCT(MOD(INT(E257/2^({0,1,2,3,4,5})),2))</f>
        <v>2</v>
      </c>
      <c r="H257" s="316">
        <f>IF(MOD(INT($E257/2^0),2)=1,0,FACT($G257)*FACT(5-$G257)/FACT(6)*IF($F257=1,1,-1)*($C257-INDEX($C$183:$C$310,$B257+2^0)))</f>
        <v>0.00014090483858118693</v>
      </c>
      <c r="I257" s="316">
        <f>IF(MOD(INT($E257/2^1),2)=1,0,FACT($G257)*FACT(5-$G257)/FACT(6)*IF($F257=1,1,-1)*($C257-INDEX($C$183:$C$310,$B257+2^1)))</f>
        <v>0</v>
      </c>
      <c r="J257" s="316">
        <f>IF(MOD(INT($E257/2^2),2)=1,0,FACT($G257)*FACT(5-$G257)/FACT(6)*IF($F257=1,1,-1)*($C257-INDEX($C$183:$C$310,$B257+2^2)))</f>
        <v>0.00009731355283071711</v>
      </c>
      <c r="K257" s="316">
        <f>IF(MOD(INT($E257/2^3),2)=1,0,FACT($G257)*FACT(5-$G257)/FACT(6)*IF($F257=1,1,-1)*($C257-INDEX($C$183:$C$310,$B257+2^3)))</f>
        <v>0</v>
      </c>
      <c r="L257" s="316">
        <f>IF(MOD(INT($E257/2^4),2)=1,0,FACT($G257)*FACT(5-$G257)/FACT(6)*IF($F257=1,1,-1)*($C257-INDEX($C$183:$C$310,$B257+2^4)))</f>
        <v>0.0002815367163371089</v>
      </c>
      <c r="M257" s="316">
        <f>IF(MOD(INT($E257/2^5),2)=1,0,FACT($G257)*FACT(5-$G257)/FACT(6)*IF($F257=1,1,-1)*($C257-INDEX($C$183:$C$310,$B257+2^5)))</f>
        <v>0.00012542898422738998</v>
      </c>
      <c r="N257" s="4"/>
      <c r="O257" s="4"/>
      <c r="P257" s="4"/>
      <c r="Q257" s="4"/>
      <c r="R257" s="4"/>
      <c r="S257" s="4"/>
      <c r="T257" s="4"/>
      <c r="U257" s="4"/>
      <c r="V257" s="4"/>
      <c r="W257" s="4"/>
      <c r="X257" s="4"/>
      <c r="Y257" s="4"/>
      <c r="Z257" s="4"/>
      <c r="AA257" s="4"/>
      <c r="AB257" s="4"/>
      <c r="AC257" s="4"/>
      <c r="AD257" s="4"/>
      <c r="AE257" s="4"/>
      <c r="AF257" s="4"/>
      <c r="AG257" s="4"/>
      <c r="AH257" s="4"/>
    </row>
    <row r="258" ht="12.75" hidden="1" outlineLevel="1">
      <c r="A258" s="4"/>
      <c r="B258" s="4">
        <f>ROW()-ROW($B$182)</f>
        <v>76</v>
      </c>
      <c r="C258" s="187">
        <v>0.24559017546647</v>
      </c>
      <c r="D258" s="190">
        <v>2.998305424515266</v>
      </c>
      <c r="E258" s="4">
        <f>MOD(B258-1,64)</f>
        <v>11</v>
      </c>
      <c r="F258" s="4">
        <f>IF(B258&lt;=64,1,2)</f>
        <v>2</v>
      </c>
      <c r="G258" s="4">
        <f>SUMPRODUCT(MOD(INT(E258/2^({0,1,2,3,4,5})),2))</f>
        <v>3</v>
      </c>
      <c r="H258" s="316">
        <f>IF(MOD(INT($E258/2^0),2)=1,0,FACT($G258)*FACT(5-$G258)/FACT(6)*IF($F258=1,1,-1)*($C258-INDEX($C$183:$C$310,$B258+2^0)))</f>
        <v>0</v>
      </c>
      <c r="I258" s="316">
        <f>IF(MOD(INT($E258/2^1),2)=1,0,FACT($G258)*FACT(5-$G258)/FACT(6)*IF($F258=1,1,-1)*($C258-INDEX($C$183:$C$310,$B258+2^1)))</f>
        <v>0</v>
      </c>
      <c r="J258" s="316">
        <f>IF(MOD(INT($E258/2^2),2)=1,0,FACT($G258)*FACT(5-$G258)/FACT(6)*IF($F258=1,1,-1)*($C258-INDEX($C$183:$C$310,$B258+2^2)))</f>
        <v>0.000100502953917229</v>
      </c>
      <c r="K258" s="316">
        <f>IF(MOD(INT($E258/2^3),2)=1,0,FACT($G258)*FACT(5-$G258)/FACT(6)*IF($F258=1,1,-1)*($C258-INDEX($C$183:$C$310,$B258+2^3)))</f>
        <v>0</v>
      </c>
      <c r="L258" s="316">
        <f>IF(MOD(INT($E258/2^4),2)=1,0,FACT($G258)*FACT(5-$G258)/FACT(6)*IF($F258=1,1,-1)*($C258-INDEX($C$183:$C$310,$B258+2^4)))</f>
        <v>0.0002812909251884303</v>
      </c>
      <c r="M258" s="316">
        <f>IF(MOD(INT($E258/2^5),2)=1,0,FACT($G258)*FACT(5-$G258)/FACT(6)*IF($F258=1,1,-1)*($C258-INDEX($C$183:$C$310,$B258+2^5)))</f>
        <v>0.00012789047775274565</v>
      </c>
      <c r="N258" s="4"/>
      <c r="O258" s="4"/>
      <c r="P258" s="4"/>
      <c r="Q258" s="4"/>
      <c r="R258" s="4"/>
      <c r="S258" s="4"/>
      <c r="T258" s="4"/>
      <c r="U258" s="4"/>
      <c r="V258" s="4"/>
      <c r="W258" s="4"/>
      <c r="X258" s="4"/>
      <c r="Y258" s="4"/>
      <c r="Z258" s="4"/>
      <c r="AA258" s="4"/>
      <c r="AB258" s="4"/>
      <c r="AC258" s="4"/>
      <c r="AD258" s="4"/>
      <c r="AE258" s="4"/>
      <c r="AF258" s="4"/>
      <c r="AG258" s="4"/>
      <c r="AH258" s="4"/>
    </row>
    <row r="259" ht="12.75" hidden="1" outlineLevel="1">
      <c r="A259" s="4"/>
      <c r="B259" s="4">
        <f>ROW()-ROW($B$182)</f>
        <v>77</v>
      </c>
      <c r="C259" s="187">
        <v>0.23017510291668097</v>
      </c>
      <c r="D259" s="190">
        <v>2.817310190863666</v>
      </c>
      <c r="E259" s="4">
        <f>MOD(B259-1,64)</f>
        <v>12</v>
      </c>
      <c r="F259" s="4">
        <f>IF(B259&lt;=64,1,2)</f>
        <v>2</v>
      </c>
      <c r="G259" s="4">
        <f>SUMPRODUCT(MOD(INT(E259/2^({0,1,2,3,4,5})),2))</f>
        <v>2</v>
      </c>
      <c r="H259" s="316">
        <f>IF(MOD(INT($E259/2^0),2)=1,0,FACT($G259)*FACT(5-$G259)/FACT(6)*IF($F259=1,1,-1)*($C259-INDEX($C$183:$C$310,$B259+2^0)))</f>
        <v>0.0001464506075695704</v>
      </c>
      <c r="I259" s="316">
        <f>IF(MOD(INT($E259/2^1),2)=1,0,FACT($G259)*FACT(5-$G259)/FACT(6)*IF($F259=1,1,-1)*($C259-INDEX($C$183:$C$310,$B259+2^1)))</f>
        <v>0.0002133265900793472</v>
      </c>
      <c r="J259" s="316">
        <f>IF(MOD(INT($E259/2^2),2)=1,0,FACT($G259)*FACT(5-$G259)/FACT(6)*IF($F259=1,1,-1)*($C259-INDEX($C$183:$C$310,$B259+2^2)))</f>
        <v>0</v>
      </c>
      <c r="K259" s="316">
        <f>IF(MOD(INT($E259/2^3),2)=1,0,FACT($G259)*FACT(5-$G259)/FACT(6)*IF($F259=1,1,-1)*($C259-INDEX($C$183:$C$310,$B259+2^3)))</f>
        <v>0</v>
      </c>
      <c r="L259" s="316">
        <f>IF(MOD(INT($E259/2^4),2)=1,0,FACT($G259)*FACT(5-$G259)/FACT(6)*IF($F259=1,1,-1)*($C259-INDEX($C$183:$C$310,$B259+2^4)))</f>
        <v>0.00028623597331908595</v>
      </c>
      <c r="M259" s="316">
        <f>IF(MOD(INT($E259/2^5),2)=1,0,FACT($G259)*FACT(5-$G259)/FACT(6)*IF($F259=1,1,-1)*($C259-INDEX($C$183:$C$310,$B259+2^5)))</f>
        <v>0.0001266068570813128</v>
      </c>
      <c r="N259" s="4"/>
      <c r="O259" s="4"/>
      <c r="P259" s="4"/>
      <c r="Q259" s="4"/>
      <c r="R259" s="4"/>
      <c r="S259" s="4"/>
      <c r="T259" s="4"/>
      <c r="U259" s="4"/>
      <c r="V259" s="4"/>
      <c r="W259" s="4"/>
      <c r="X259" s="4"/>
      <c r="Y259" s="4"/>
      <c r="Z259" s="4"/>
      <c r="AA259" s="4"/>
      <c r="AB259" s="4"/>
      <c r="AC259" s="4"/>
      <c r="AD259" s="4"/>
      <c r="AE259" s="4"/>
      <c r="AF259" s="4"/>
      <c r="AG259" s="4"/>
      <c r="AH259" s="4"/>
    </row>
    <row r="260" ht="12.75" hidden="1" outlineLevel="1">
      <c r="A260" s="4"/>
      <c r="B260" s="4">
        <f>ROW()-ROW($B$182)</f>
        <v>78</v>
      </c>
      <c r="C260" s="187">
        <v>0.2389621393708552</v>
      </c>
      <c r="D260" s="190">
        <v>2.919376960605622</v>
      </c>
      <c r="E260" s="4">
        <f>MOD(B260-1,64)</f>
        <v>13</v>
      </c>
      <c r="F260" s="4">
        <f>IF(B260&lt;=64,1,2)</f>
        <v>2</v>
      </c>
      <c r="G260" s="4">
        <f>SUMPRODUCT(MOD(INT(E260/2^({0,1,2,3,4,5})),2))</f>
        <v>3</v>
      </c>
      <c r="H260" s="316">
        <f>IF(MOD(INT($E260/2^0),2)=1,0,FACT($G260)*FACT(5-$G260)/FACT(6)*IF($F260=1,1,-1)*($C260-INDEX($C$183:$C$310,$B260+2^0)))</f>
        <v>0</v>
      </c>
      <c r="I260" s="316">
        <f>IF(MOD(INT($E260/2^1),2)=1,0,FACT($G260)*FACT(5-$G260)/FACT(6)*IF($F260=1,1,-1)*($C260-INDEX($C$183:$C$310,$B260+2^1)))</f>
        <v>0.00021097022217747563</v>
      </c>
      <c r="J260" s="316">
        <f>IF(MOD(INT($E260/2^2),2)=1,0,FACT($G260)*FACT(5-$G260)/FACT(6)*IF($F260=1,1,-1)*($C260-INDEX($C$183:$C$310,$B260+2^2)))</f>
        <v>0</v>
      </c>
      <c r="K260" s="316">
        <f>IF(MOD(INT($E260/2^3),2)=1,0,FACT($G260)*FACT(5-$G260)/FACT(6)*IF($F260=1,1,-1)*($C260-INDEX($C$183:$C$310,$B260+2^3)))</f>
        <v>0</v>
      </c>
      <c r="L260" s="316">
        <f>IF(MOD(INT($E260/2^4),2)=1,0,FACT($G260)*FACT(5-$G260)/FACT(6)*IF($F260=1,1,-1)*($C260-INDEX($C$183:$C$310,$B260+2^4)))</f>
        <v>0.0002858344368060465</v>
      </c>
      <c r="M260" s="316">
        <f>IF(MOD(INT($E260/2^5),2)=1,0,FACT($G260)*FACT(5-$G260)/FACT(6)*IF($F260=1,1,-1)*($C260-INDEX($C$183:$C$310,$B260+2^5)))</f>
        <v>0.00012892574863905272</v>
      </c>
      <c r="N260" s="4"/>
      <c r="O260" s="4"/>
      <c r="P260" s="4"/>
      <c r="Q260" s="4"/>
      <c r="R260" s="4"/>
      <c r="S260" s="4"/>
      <c r="T260" s="4"/>
      <c r="U260" s="4"/>
      <c r="V260" s="4"/>
      <c r="W260" s="4"/>
      <c r="X260" s="4"/>
      <c r="Y260" s="4"/>
      <c r="Z260" s="4"/>
      <c r="AA260" s="4"/>
      <c r="AB260" s="4"/>
      <c r="AC260" s="4"/>
      <c r="AD260" s="4"/>
      <c r="AE260" s="4"/>
      <c r="AF260" s="4"/>
      <c r="AG260" s="4"/>
      <c r="AH260" s="4"/>
    </row>
    <row r="261" ht="12.75" hidden="1" outlineLevel="1">
      <c r="A261" s="4"/>
      <c r="B261" s="4">
        <f>ROW()-ROW($B$182)</f>
        <v>79</v>
      </c>
      <c r="C261" s="187">
        <v>0.2429746983214418</v>
      </c>
      <c r="D261" s="190">
        <v>2.966958295057484</v>
      </c>
      <c r="E261" s="4">
        <f>MOD(B261-1,64)</f>
        <v>14</v>
      </c>
      <c r="F261" s="4">
        <f>IF(B261&lt;=64,1,2)</f>
        <v>2</v>
      </c>
      <c r="G261" s="4">
        <f>SUMPRODUCT(MOD(INT(E261/2^({0,1,2,3,4,5})),2))</f>
        <v>3</v>
      </c>
      <c r="H261" s="316">
        <f>IF(MOD(INT($E261/2^0),2)=1,0,FACT($G261)*FACT(5-$G261)/FACT(6)*IF($F261=1,1,-1)*($C261-INDEX($C$183:$C$310,$B261+2^0)))</f>
        <v>0.00014409423966769882</v>
      </c>
      <c r="I261" s="316">
        <f>IF(MOD(INT($E261/2^1),2)=1,0,FACT($G261)*FACT(5-$G261)/FACT(6)*IF($F261=1,1,-1)*($C261-INDEX($C$183:$C$310,$B261+2^1)))</f>
        <v>0</v>
      </c>
      <c r="J261" s="316">
        <f>IF(MOD(INT($E261/2^2),2)=1,0,FACT($G261)*FACT(5-$G261)/FACT(6)*IF($F261=1,1,-1)*($C261-INDEX($C$183:$C$310,$B261+2^2)))</f>
        <v>0</v>
      </c>
      <c r="K261" s="316">
        <f>IF(MOD(INT($E261/2^3),2)=1,0,FACT($G261)*FACT(5-$G261)/FACT(6)*IF($F261=1,1,-1)*($C261-INDEX($C$183:$C$310,$B261+2^3)))</f>
        <v>0</v>
      </c>
      <c r="L261" s="316">
        <f>IF(MOD(INT($E261/2^4),2)=1,0,FACT($G261)*FACT(5-$G261)/FACT(6)*IF($F261=1,1,-1)*($C261-INDEX($C$183:$C$310,$B261+2^4)))</f>
        <v>0.0002811853119972045</v>
      </c>
      <c r="M261" s="316">
        <f>IF(MOD(INT($E261/2^5),2)=1,0,FACT($G261)*FACT(5-$G261)/FACT(6)*IF($F261=1,1,-1)*($C261-INDEX($C$183:$C$310,$B261+2^5)))</f>
        <v>0.00012312319170021402</v>
      </c>
      <c r="N261" s="4"/>
      <c r="O261" s="4"/>
      <c r="P261" s="4"/>
      <c r="Q261" s="4"/>
      <c r="R261" s="4"/>
      <c r="S261" s="4"/>
      <c r="T261" s="4"/>
      <c r="U261" s="4"/>
      <c r="V261" s="4"/>
      <c r="W261" s="4"/>
      <c r="X261" s="4"/>
      <c r="Y261" s="4"/>
      <c r="Z261" s="4"/>
      <c r="AA261" s="4"/>
      <c r="AB261" s="4"/>
      <c r="AC261" s="4"/>
      <c r="AD261" s="4"/>
      <c r="AE261" s="4"/>
      <c r="AF261" s="4"/>
      <c r="AG261" s="4"/>
      <c r="AH261" s="4"/>
    </row>
    <row r="262" ht="12.75" hidden="1" outlineLevel="1">
      <c r="A262" s="4"/>
      <c r="B262" s="4">
        <f>ROW()-ROW($B$182)</f>
        <v>80</v>
      </c>
      <c r="C262" s="187">
        <v>0.25162035270150374</v>
      </c>
      <c r="D262" s="190">
        <v>3.0715888552142183</v>
      </c>
      <c r="E262" s="4">
        <f>MOD(B262-1,64)</f>
        <v>15</v>
      </c>
      <c r="F262" s="4">
        <f>IF(B262&lt;=64,1,2)</f>
        <v>2</v>
      </c>
      <c r="G262" s="4">
        <f>SUMPRODUCT(MOD(INT(E262/2^({0,1,2,3,4,5})),2))</f>
        <v>4</v>
      </c>
      <c r="H262" s="316">
        <f>IF(MOD(INT($E262/2^0),2)=1,0,FACT($G262)*FACT(5-$G262)/FACT(6)*IF($F262=1,1,-1)*($C262-INDEX($C$183:$C$310,$B262+2^0)))</f>
        <v>0</v>
      </c>
      <c r="I262" s="316">
        <f>IF(MOD(INT($E262/2^1),2)=1,0,FACT($G262)*FACT(5-$G262)/FACT(6)*IF($F262=1,1,-1)*($C262-INDEX($C$183:$C$310,$B262+2^1)))</f>
        <v>0</v>
      </c>
      <c r="J262" s="316">
        <f>IF(MOD(INT($E262/2^2),2)=1,0,FACT($G262)*FACT(5-$G262)/FACT(6)*IF($F262=1,1,-1)*($C262-INDEX($C$183:$C$310,$B262+2^2)))</f>
        <v>0</v>
      </c>
      <c r="K262" s="316">
        <f>IF(MOD(INT($E262/2^3),2)=1,0,FACT($G262)*FACT(5-$G262)/FACT(6)*IF($F262=1,1,-1)*($C262-INDEX($C$183:$C$310,$B262+2^3)))</f>
        <v>0</v>
      </c>
      <c r="L262" s="316">
        <f>IF(MOD(INT($E262/2^4),2)=1,0,FACT($G262)*FACT(5-$G262)/FACT(6)*IF($F262=1,1,-1)*($C262-INDEX($C$183:$C$310,$B262+2^4)))</f>
        <v>0.0005619520659654468</v>
      </c>
      <c r="M262" s="316">
        <f>IF(MOD(INT($E262/2^5),2)=1,0,FACT($G262)*FACT(5-$G262)/FACT(6)*IF($F262=1,1,-1)*($C262-INDEX($C$183:$C$310,$B262+2^5)))</f>
        <v>0.0002509600431794971</v>
      </c>
      <c r="N262" s="4"/>
      <c r="O262" s="4"/>
      <c r="P262" s="4"/>
      <c r="Q262" s="4"/>
      <c r="R262" s="4"/>
      <c r="S262" s="4"/>
      <c r="T262" s="4"/>
      <c r="U262" s="4"/>
      <c r="V262" s="4"/>
      <c r="W262" s="4"/>
      <c r="X262" s="4"/>
      <c r="Y262" s="4"/>
      <c r="Z262" s="4"/>
      <c r="AA262" s="4"/>
      <c r="AB262" s="4"/>
      <c r="AC262" s="4"/>
      <c r="AD262" s="4"/>
      <c r="AE262" s="4"/>
      <c r="AF262" s="4"/>
      <c r="AG262" s="4"/>
      <c r="AH262" s="4"/>
    </row>
    <row r="263" ht="12.75" hidden="1" outlineLevel="1">
      <c r="A263" s="4"/>
      <c r="B263" s="4">
        <f>ROW()-ROW($B$182)</f>
        <v>81</v>
      </c>
      <c r="C263" s="187">
        <v>0.2296344293488375</v>
      </c>
      <c r="D263" s="190">
        <v>2.811124458539368</v>
      </c>
      <c r="E263" s="4">
        <f>MOD(B263-1,64)</f>
        <v>16</v>
      </c>
      <c r="F263" s="4">
        <f>IF(B263&lt;=64,1,2)</f>
        <v>2</v>
      </c>
      <c r="G263" s="4">
        <f>SUMPRODUCT(MOD(INT(E263/2^({0,1,2,3,4,5})),2))</f>
        <v>1</v>
      </c>
      <c r="H263" s="316">
        <f>IF(MOD(INT($E263/2^0),2)=1,0,FACT($G263)*FACT(5-$G263)/FACT(6)*IF($F263=1,1,-1)*($C263-INDEX($C$183:$C$310,$B263+2^0)))</f>
        <v>0.0002891457832920219</v>
      </c>
      <c r="I263" s="316">
        <f>IF(MOD(INT($E263/2^1),2)=1,0,FACT($G263)*FACT(5-$G263)/FACT(6)*IF($F263=1,1,-1)*($C263-INDEX($C$183:$C$310,$B263+2^1)))</f>
        <v>0.00042698298905663457</v>
      </c>
      <c r="J263" s="316">
        <f>IF(MOD(INT($E263/2^2),2)=1,0,FACT($G263)*FACT(5-$G263)/FACT(6)*IF($F263=1,1,-1)*($C263-INDEX($C$183:$C$310,$B263+2^2)))</f>
        <v>0.0002054141861745462</v>
      </c>
      <c r="K263" s="316">
        <f>IF(MOD(INT($E263/2^3),2)=1,0,FACT($G263)*FACT(5-$G263)/FACT(6)*IF($F263=1,1,-1)*($C263-INDEX($C$183:$C$310,$B263+2^3)))</f>
        <v>0.0003926755378825068</v>
      </c>
      <c r="L263" s="316">
        <f>IF(MOD(INT($E263/2^4),2)=1,0,FACT($G263)*FACT(5-$G263)/FACT(6)*IF($F263=1,1,-1)*($C263-INDEX($C$183:$C$310,$B263+2^4)))</f>
        <v>0</v>
      </c>
      <c r="M263" s="316">
        <f>IF(MOD(INT($E263/2^5),2)=1,0,FACT($G263)*FACT(5-$G263)/FACT(6)*IF($F263=1,1,-1)*($C263-INDEX($C$183:$C$310,$B263+2^5)))</f>
        <v>0.00025365255408735796</v>
      </c>
      <c r="N263" s="4"/>
      <c r="O263" s="4"/>
      <c r="P263" s="4"/>
      <c r="Q263" s="4"/>
      <c r="R263" s="4"/>
      <c r="S263" s="4"/>
      <c r="T263" s="4"/>
      <c r="U263" s="4"/>
      <c r="V263" s="4"/>
      <c r="W263" s="4"/>
      <c r="X263" s="4"/>
      <c r="Y263" s="4"/>
      <c r="Z263" s="4"/>
      <c r="AA263" s="4"/>
      <c r="AB263" s="4"/>
      <c r="AC263" s="4"/>
      <c r="AD263" s="4"/>
      <c r="AE263" s="4"/>
      <c r="AF263" s="4"/>
      <c r="AG263" s="4"/>
      <c r="AH263" s="4"/>
    </row>
    <row r="264" ht="12.75" hidden="1" outlineLevel="1">
      <c r="A264" s="4"/>
      <c r="B264" s="4">
        <f>ROW()-ROW($B$182)</f>
        <v>82</v>
      </c>
      <c r="C264" s="187">
        <v>0.23830880284759814</v>
      </c>
      <c r="D264" s="190">
        <v>2.911687762447499</v>
      </c>
      <c r="E264" s="4">
        <f>MOD(B264-1,64)</f>
        <v>17</v>
      </c>
      <c r="F264" s="4">
        <f>IF(B264&lt;=64,1,2)</f>
        <v>2</v>
      </c>
      <c r="G264" s="4">
        <f>SUMPRODUCT(MOD(INT(E264/2^({0,1,2,3,4,5})),2))</f>
        <v>2</v>
      </c>
      <c r="H264" s="316">
        <f>IF(MOD(INT($E264/2^0),2)=1,0,FACT($G264)*FACT(5-$G264)/FACT(6)*IF($F264=1,1,-1)*($C264-INDEX($C$183:$C$310,$B264+2^0)))</f>
        <v>0</v>
      </c>
      <c r="I264" s="316">
        <f>IF(MOD(INT($E264/2^1),2)=1,0,FACT($G264)*FACT(5-$G264)/FACT(6)*IF($F264=1,1,-1)*($C264-INDEX($C$183:$C$310,$B264+2^1)))</f>
        <v>0.00021116711513310404</v>
      </c>
      <c r="J264" s="316">
        <f>IF(MOD(INT($E264/2^2),2)=1,0,FACT($G264)*FACT(5-$G264)/FACT(6)*IF($F264=1,1,-1)*($C264-INDEX($C$183:$C$310,$B264+2^2)))</f>
        <v>0.00010598604535448549</v>
      </c>
      <c r="K264" s="316">
        <f>IF(MOD(INT($E264/2^3),2)=1,0,FACT($G264)*FACT(5-$G264)/FACT(6)*IF($F264=1,1,-1)*($C264-INDEX($C$183:$C$310,$B264+2^3)))</f>
        <v>0.00019459450743340248</v>
      </c>
      <c r="L264" s="316">
        <f>IF(MOD(INT($E264/2^4),2)=1,0,FACT($G264)*FACT(5-$G264)/FACT(6)*IF($F264=1,1,-1)*($C264-INDEX($C$183:$C$310,$B264+2^4)))</f>
        <v>0</v>
      </c>
      <c r="M264" s="316">
        <f>IF(MOD(INT($E264/2^5),2)=1,0,FACT($G264)*FACT(5-$G264)/FACT(6)*IF($F264=1,1,-1)*($C264-INDEX($C$183:$C$310,$B264+2^5)))</f>
        <v>0.00012919384332835682</v>
      </c>
      <c r="N264" s="4"/>
      <c r="O264" s="4"/>
      <c r="P264" s="4"/>
      <c r="Q264" s="4"/>
      <c r="R264" s="4"/>
      <c r="S264" s="4"/>
      <c r="T264" s="4"/>
      <c r="U264" s="4"/>
      <c r="V264" s="4"/>
      <c r="W264" s="4"/>
      <c r="X264" s="4"/>
      <c r="Y264" s="4"/>
      <c r="Z264" s="4"/>
      <c r="AA264" s="4"/>
      <c r="AB264" s="4"/>
      <c r="AC264" s="4"/>
      <c r="AD264" s="4"/>
      <c r="AE264" s="4"/>
      <c r="AF264" s="4"/>
      <c r="AG264" s="4"/>
      <c r="AH264" s="4"/>
    </row>
    <row r="265" ht="12.75" hidden="1" outlineLevel="1">
      <c r="A265" s="4"/>
      <c r="B265" s="4">
        <f>ROW()-ROW($B$182)</f>
        <v>83</v>
      </c>
      <c r="C265" s="187">
        <v>0.24244391902053652</v>
      </c>
      <c r="D265" s="190">
        <v>2.9606288996441963</v>
      </c>
      <c r="E265" s="4">
        <f>MOD(B265-1,64)</f>
        <v>18</v>
      </c>
      <c r="F265" s="4">
        <f>IF(B265&lt;=64,1,2)</f>
        <v>2</v>
      </c>
      <c r="G265" s="4">
        <f>SUMPRODUCT(MOD(INT(E265/2^({0,1,2,3,4,5})),2))</f>
        <v>2</v>
      </c>
      <c r="H265" s="316">
        <f>IF(MOD(INT($E265/2^0),2)=1,0,FACT($G265)*FACT(5-$G265)/FACT(6)*IF($F265=1,1,-1)*($C265-INDEX($C$183:$C$310,$B265+2^0)))</f>
        <v>0.0001422485122507977</v>
      </c>
      <c r="I265" s="316">
        <f>IF(MOD(INT($E265/2^1),2)=1,0,FACT($G265)*FACT(5-$G265)/FACT(6)*IF($F265=1,1,-1)*($C265-INDEX($C$183:$C$310,$B265+2^1)))</f>
        <v>0</v>
      </c>
      <c r="J265" s="316">
        <f>IF(MOD(INT($E265/2^2),2)=1,0,FACT($G265)*FACT(5-$G265)/FACT(6)*IF($F265=1,1,-1)*($C265-INDEX($C$183:$C$310,$B265+2^2)))</f>
        <v>0.00010058531075567053</v>
      </c>
      <c r="K265" s="316">
        <f>IF(MOD(INT($E265/2^3),2)=1,0,FACT($G265)*FACT(5-$G265)/FACT(6)*IF($F265=1,1,-1)*($C265-INDEX($C$183:$C$310,$B265+2^3)))</f>
        <v>0.00019306948518814647</v>
      </c>
      <c r="L265" s="316">
        <f>IF(MOD(INT($E265/2^4),2)=1,0,FACT($G265)*FACT(5-$G265)/FACT(6)*IF($F265=1,1,-1)*($C265-INDEX($C$183:$C$310,$B265+2^4)))</f>
        <v>0</v>
      </c>
      <c r="M265" s="316">
        <f>IF(MOD(INT($E265/2^5),2)=1,0,FACT($G265)*FACT(5-$G265)/FACT(6)*IF($F265=1,1,-1)*($C265-INDEX($C$183:$C$310,$B265+2^5)))</f>
        <v>0.00012333062519247114</v>
      </c>
      <c r="N265" s="4"/>
      <c r="O265" s="4"/>
      <c r="P265" s="4"/>
      <c r="Q265" s="4"/>
      <c r="R265" s="4"/>
      <c r="S265" s="4"/>
      <c r="T265" s="4"/>
      <c r="U265" s="4"/>
      <c r="V265" s="4"/>
      <c r="W265" s="4"/>
      <c r="X265" s="4"/>
      <c r="Y265" s="4"/>
      <c r="Z265" s="4"/>
      <c r="AA265" s="4"/>
      <c r="AB265" s="4"/>
      <c r="AC265" s="4"/>
      <c r="AD265" s="4"/>
      <c r="AE265" s="4"/>
      <c r="AF265" s="4"/>
      <c r="AG265" s="4"/>
      <c r="AH265" s="4"/>
    </row>
    <row r="266" ht="12.75" hidden="1" outlineLevel="1">
      <c r="A266" s="4"/>
      <c r="B266" s="4">
        <f>ROW()-ROW($B$182)</f>
        <v>84</v>
      </c>
      <c r="C266" s="187">
        <v>0.2509788297555844</v>
      </c>
      <c r="D266" s="190">
        <v>3.06372514561492</v>
      </c>
      <c r="E266" s="4">
        <f>MOD(B266-1,64)</f>
        <v>19</v>
      </c>
      <c r="F266" s="4">
        <f>IF(B266&lt;=64,1,2)</f>
        <v>2</v>
      </c>
      <c r="G266" s="4">
        <f>SUMPRODUCT(MOD(INT(E266/2^({0,1,2,3,4,5})),2))</f>
        <v>3</v>
      </c>
      <c r="H266" s="316">
        <f>IF(MOD(INT($E266/2^0),2)=1,0,FACT($G266)*FACT(5-$G266)/FACT(6)*IF($F266=1,1,-1)*($C266-INDEX($C$183:$C$310,$B266+2^0)))</f>
        <v>0</v>
      </c>
      <c r="I266" s="316">
        <f>IF(MOD(INT($E266/2^1),2)=1,0,FACT($G266)*FACT(5-$G266)/FACT(6)*IF($F266=1,1,-1)*($C266-INDEX($C$183:$C$310,$B266+2^1)))</f>
        <v>0</v>
      </c>
      <c r="J266" s="316">
        <f>IF(MOD(INT($E266/2^2),2)=1,0,FACT($G266)*FACT(5-$G266)/FACT(6)*IF($F266=1,1,-1)*($C266-INDEX($C$183:$C$310,$B266+2^2)))</f>
        <v>0.0001038737039646668</v>
      </c>
      <c r="K266" s="316">
        <f>IF(MOD(INT($E266/2^3),2)=1,0,FACT($G266)*FACT(5-$G266)/FACT(6)*IF($F266=1,1,-1)*($C266-INDEX($C$183:$C$310,$B266+2^3)))</f>
        <v>0.0001914800203698571</v>
      </c>
      <c r="L266" s="316">
        <f>IF(MOD(INT($E266/2^4),2)=1,0,FACT($G266)*FACT(5-$G266)/FACT(6)*IF($F266=1,1,-1)*($C266-INDEX($C$183:$C$310,$B266+2^4)))</f>
        <v>0</v>
      </c>
      <c r="M266" s="316">
        <f>IF(MOD(INT($E266/2^5),2)=1,0,FACT($G266)*FACT(5-$G266)/FACT(6)*IF($F266=1,1,-1)*($C266-INDEX($C$183:$C$310,$B266+2^5)))</f>
        <v>0.00012573377646463526</v>
      </c>
      <c r="N266" s="4"/>
      <c r="O266" s="4"/>
      <c r="P266" s="4"/>
      <c r="Q266" s="4"/>
      <c r="R266" s="4"/>
      <c r="S266" s="4"/>
      <c r="T266" s="4"/>
      <c r="U266" s="4"/>
      <c r="V266" s="4"/>
      <c r="W266" s="4"/>
      <c r="X266" s="4"/>
      <c r="Y266" s="4"/>
      <c r="Z266" s="4"/>
      <c r="AA266" s="4"/>
      <c r="AB266" s="4"/>
      <c r="AC266" s="4"/>
      <c r="AD266" s="4"/>
      <c r="AE266" s="4"/>
      <c r="AF266" s="4"/>
      <c r="AG266" s="4"/>
      <c r="AH266" s="4"/>
    </row>
    <row r="267" ht="12.75" hidden="1" outlineLevel="1">
      <c r="A267" s="4"/>
      <c r="B267" s="4">
        <f>ROW()-ROW($B$182)</f>
        <v>85</v>
      </c>
      <c r="C267" s="187">
        <v>0.23579685493407387</v>
      </c>
      <c r="D267" s="190">
        <v>2.882275087959572</v>
      </c>
      <c r="E267" s="4">
        <f>MOD(B267-1,64)</f>
        <v>20</v>
      </c>
      <c r="F267" s="4">
        <f>IF(B267&lt;=64,1,2)</f>
        <v>2</v>
      </c>
      <c r="G267" s="4">
        <f>SUMPRODUCT(MOD(INT(E267/2^({0,1,2,3,4,5})),2))</f>
        <v>2</v>
      </c>
      <c r="H267" s="316">
        <f>IF(MOD(INT($E267/2^0),2)=1,0,FACT($G267)*FACT(5-$G267)/FACT(6)*IF($F267=1,1,-1)*($C267-INDEX($C$183:$C$310,$B267+2^0)))</f>
        <v>0.00014785184391322332</v>
      </c>
      <c r="I267" s="316">
        <f>IF(MOD(INT($E267/2^1),2)=1,0,FACT($G267)*FACT(5-$G267)/FACT(6)*IF($F267=1,1,-1)*($C267-INDEX($C$183:$C$310,$B267+2^1)))</f>
        <v>0.0002113697121967147</v>
      </c>
      <c r="J267" s="316">
        <f>IF(MOD(INT($E267/2^2),2)=1,0,FACT($G267)*FACT(5-$G267)/FACT(6)*IF($F267=1,1,-1)*($C267-INDEX($C$183:$C$310,$B267+2^2)))</f>
        <v>0</v>
      </c>
      <c r="K267" s="316">
        <f>IF(MOD(INT($E267/2^3),2)=1,0,FACT($G267)*FACT(5-$G267)/FACT(6)*IF($F267=1,1,-1)*($C267-INDEX($C$183:$C$310,$B267+2^3)))</f>
        <v>0.0001925401063625376</v>
      </c>
      <c r="L267" s="316">
        <f>IF(MOD(INT($E267/2^4),2)=1,0,FACT($G267)*FACT(5-$G267)/FACT(6)*IF($F267=1,1,-1)*($C267-INDEX($C$183:$C$310,$B267+2^4)))</f>
        <v>0</v>
      </c>
      <c r="M267" s="316">
        <f>IF(MOD(INT($E267/2^5),2)=1,0,FACT($G267)*FACT(5-$G267)/FACT(6)*IF($F267=1,1,-1)*($C267-INDEX($C$183:$C$310,$B267+2^5)))</f>
        <v>0.000124352942580086</v>
      </c>
      <c r="N267" s="4"/>
      <c r="O267" s="4"/>
      <c r="P267" s="4"/>
      <c r="Q267" s="4"/>
      <c r="R267" s="4"/>
      <c r="S267" s="4"/>
      <c r="T267" s="4"/>
      <c r="U267" s="4"/>
      <c r="V267" s="4"/>
      <c r="W267" s="4"/>
      <c r="X267" s="4"/>
      <c r="Y267" s="4"/>
      <c r="Z267" s="4"/>
      <c r="AA267" s="4"/>
      <c r="AB267" s="4"/>
      <c r="AC267" s="4"/>
      <c r="AD267" s="4"/>
      <c r="AE267" s="4"/>
      <c r="AF267" s="4"/>
      <c r="AG267" s="4"/>
      <c r="AH267" s="4"/>
    </row>
    <row r="268" ht="12.75" hidden="1" outlineLevel="1">
      <c r="A268" s="4"/>
      <c r="B268" s="4">
        <f>ROW()-ROW($B$182)</f>
        <v>86</v>
      </c>
      <c r="C268" s="187">
        <v>0.24466796556886727</v>
      </c>
      <c r="D268" s="190">
        <v>2.9872224229656013</v>
      </c>
      <c r="E268" s="4">
        <f>MOD(B268-1,64)</f>
        <v>21</v>
      </c>
      <c r="F268" s="4">
        <f>IF(B268&lt;=64,1,2)</f>
        <v>2</v>
      </c>
      <c r="G268" s="4">
        <f>SUMPRODUCT(MOD(INT(E268/2^({0,1,2,3,4,5})),2))</f>
        <v>3</v>
      </c>
      <c r="H268" s="316">
        <f>IF(MOD(INT($E268/2^0),2)=1,0,FACT($G268)*FACT(5-$G268)/FACT(6)*IF($F268=1,1,-1)*($C268-INDEX($C$183:$C$310,$B268+2^0)))</f>
        <v>0</v>
      </c>
      <c r="I268" s="316">
        <f>IF(MOD(INT($E268/2^1),2)=1,0,FACT($G268)*FACT(5-$G268)/FACT(6)*IF($F268=1,1,-1)*($C268-INDEX($C$183:$C$310,$B268+2^1)))</f>
        <v>0.00020905477374328537</v>
      </c>
      <c r="J268" s="316">
        <f>IF(MOD(INT($E268/2^2),2)=1,0,FACT($G268)*FACT(5-$G268)/FACT(6)*IF($F268=1,1,-1)*($C268-INDEX($C$183:$C$310,$B268+2^2)))</f>
        <v>0</v>
      </c>
      <c r="K268" s="316">
        <f>IF(MOD(INT($E268/2^3),2)=1,0,FACT($G268)*FACT(5-$G268)/FACT(6)*IF($F268=1,1,-1)*($C268-INDEX($C$183:$C$310,$B268+2^3)))</f>
        <v>0.00019073733350584524</v>
      </c>
      <c r="L268" s="316">
        <f>IF(MOD(INT($E268/2^4),2)=1,0,FACT($G268)*FACT(5-$G268)/FACT(6)*IF($F268=1,1,-1)*($C268-INDEX($C$183:$C$310,$B268+2^4)))</f>
        <v>0</v>
      </c>
      <c r="M268" s="316">
        <f>IF(MOD(INT($E268/2^5),2)=1,0,FACT($G268)*FACT(5-$G268)/FACT(6)*IF($F268=1,1,-1)*($C268-INDEX($C$183:$C$310,$B268+2^5)))</f>
        <v>0.00012661333135773148</v>
      </c>
      <c r="N268" s="4"/>
      <c r="O268" s="4"/>
      <c r="P268" s="4"/>
      <c r="Q268" s="4"/>
      <c r="R268" s="4"/>
      <c r="S268" s="4"/>
      <c r="T268" s="4"/>
      <c r="U268" s="4"/>
      <c r="V268" s="4"/>
      <c r="W268" s="4"/>
      <c r="X268" s="4"/>
      <c r="Y268" s="4"/>
      <c r="Z268" s="4"/>
      <c r="AA268" s="4"/>
      <c r="AB268" s="4"/>
      <c r="AC268" s="4"/>
      <c r="AD268" s="4"/>
      <c r="AE268" s="4"/>
      <c r="AF268" s="4"/>
      <c r="AG268" s="4"/>
      <c r="AH268" s="4"/>
    </row>
    <row r="269" ht="12.75" hidden="1" outlineLevel="1">
      <c r="A269" s="4"/>
      <c r="B269" s="4">
        <f>ROW()-ROW($B$182)</f>
        <v>87</v>
      </c>
      <c r="C269" s="187">
        <v>0.24847903766587676</v>
      </c>
      <c r="D269" s="190">
        <v>3.033236504971112</v>
      </c>
      <c r="E269" s="4">
        <f>MOD(B269-1,64)</f>
        <v>22</v>
      </c>
      <c r="F269" s="4">
        <f>IF(B269&lt;=64,1,2)</f>
        <v>2</v>
      </c>
      <c r="G269" s="4">
        <f>SUMPRODUCT(MOD(INT(E269/2^({0,1,2,3,4,5})),2))</f>
        <v>3</v>
      </c>
      <c r="H269" s="316">
        <f>IF(MOD(INT($E269/2^0),2)=1,0,FACT($G269)*FACT(5-$G269)/FACT(6)*IF($F269=1,1,-1)*($C269-INDEX($C$183:$C$310,$B269+2^0)))</f>
        <v>0.00014553690545979399</v>
      </c>
      <c r="I269" s="316">
        <f>IF(MOD(INT($E269/2^1),2)=1,0,FACT($G269)*FACT(5-$G269)/FACT(6)*IF($F269=1,1,-1)*($C269-INDEX($C$183:$C$310,$B269+2^1)))</f>
        <v>0</v>
      </c>
      <c r="J269" s="316">
        <f>IF(MOD(INT($E269/2^2),2)=1,0,FACT($G269)*FACT(5-$G269)/FACT(6)*IF($F269=1,1,-1)*($C269-INDEX($C$183:$C$310,$B269+2^2)))</f>
        <v>0</v>
      </c>
      <c r="K269" s="316">
        <f>IF(MOD(INT($E269/2^3),2)=1,0,FACT($G269)*FACT(5-$G269)/FACT(6)*IF($F269=1,1,-1)*($C269-INDEX($C$183:$C$310,$B269+2^3)))</f>
        <v>0.00018944632292328863</v>
      </c>
      <c r="L269" s="316">
        <f>IF(MOD(INT($E269/2^4),2)=1,0,FACT($G269)*FACT(5-$G269)/FACT(6)*IF($F269=1,1,-1)*($C269-INDEX($C$183:$C$310,$B269+2^4)))</f>
        <v>0</v>
      </c>
      <c r="M269" s="316">
        <f>IF(MOD(INT($E269/2^5),2)=1,0,FACT($G269)*FACT(5-$G269)/FACT(6)*IF($F269=1,1,-1)*($C269-INDEX($C$183:$C$310,$B269+2^5)))</f>
        <v>0.00012099725012932512</v>
      </c>
      <c r="N269" s="4"/>
      <c r="O269" s="4"/>
      <c r="P269" s="4"/>
      <c r="Q269" s="4"/>
      <c r="R269" s="4"/>
      <c r="S269" s="4"/>
      <c r="T269" s="4"/>
      <c r="U269" s="4"/>
      <c r="V269" s="4"/>
      <c r="W269" s="4"/>
      <c r="X269" s="4"/>
      <c r="Y269" s="4"/>
      <c r="Z269" s="4"/>
      <c r="AA269" s="4"/>
      <c r="AB269" s="4"/>
      <c r="AC269" s="4"/>
      <c r="AD269" s="4"/>
      <c r="AE269" s="4"/>
      <c r="AF269" s="4"/>
      <c r="AG269" s="4"/>
      <c r="AH269" s="4"/>
    </row>
    <row r="270" ht="12.75" hidden="1" outlineLevel="1">
      <c r="A270" s="4"/>
      <c r="B270" s="4">
        <f>ROW()-ROW($B$182)</f>
        <v>88</v>
      </c>
      <c r="C270" s="187">
        <v>0.2572112519934644</v>
      </c>
      <c r="D270" s="190">
        <v>3.1408073343378047</v>
      </c>
      <c r="E270" s="4">
        <f>MOD(B270-1,64)</f>
        <v>23</v>
      </c>
      <c r="F270" s="4">
        <f>IF(B270&lt;=64,1,2)</f>
        <v>2</v>
      </c>
      <c r="G270" s="4">
        <f>SUMPRODUCT(MOD(INT(E270/2^({0,1,2,3,4,5})),2))</f>
        <v>4</v>
      </c>
      <c r="H270" s="316">
        <f>IF(MOD(INT($E270/2^0),2)=1,0,FACT($G270)*FACT(5-$G270)/FACT(6)*IF($F270=1,1,-1)*($C270-INDEX($C$183:$C$310,$B270+2^0)))</f>
        <v>0</v>
      </c>
      <c r="I270" s="316">
        <f>IF(MOD(INT($E270/2^1),2)=1,0,FACT($G270)*FACT(5-$G270)/FACT(6)*IF($F270=1,1,-1)*($C270-INDEX($C$183:$C$310,$B270+2^1)))</f>
        <v>0</v>
      </c>
      <c r="J270" s="316">
        <f>IF(MOD(INT($E270/2^2),2)=1,0,FACT($G270)*FACT(5-$G270)/FACT(6)*IF($F270=1,1,-1)*($C270-INDEX($C$183:$C$310,$B270+2^2)))</f>
        <v>0</v>
      </c>
      <c r="K270" s="316">
        <f>IF(MOD(INT($E270/2^3),2)=1,0,FACT($G270)*FACT(5-$G270)/FACT(6)*IF($F270=1,1,-1)*($C270-INDEX($C$183:$C$310,$B270+2^3)))</f>
        <v>0.0003755887562334248</v>
      </c>
      <c r="L270" s="316">
        <f>IF(MOD(INT($E270/2^4),2)=1,0,FACT($G270)*FACT(5-$G270)/FACT(6)*IF($F270=1,1,-1)*($C270-INDEX($C$183:$C$310,$B270+2^4)))</f>
        <v>0</v>
      </c>
      <c r="M270" s="316">
        <f>IF(MOD(INT($E270/2^5),2)=1,0,FACT($G270)*FACT(5-$G270)/FACT(6)*IF($F270=1,1,-1)*($C270-INDEX($C$183:$C$310,$B270+2^5)))</f>
        <v>0.00024659020094751257</v>
      </c>
      <c r="N270" s="4"/>
      <c r="O270" s="4"/>
      <c r="P270" s="4"/>
      <c r="Q270" s="4"/>
      <c r="R270" s="4"/>
      <c r="S270" s="4"/>
      <c r="T270" s="4"/>
      <c r="U270" s="4"/>
      <c r="V270" s="4"/>
      <c r="W270" s="4"/>
      <c r="X270" s="4"/>
      <c r="Y270" s="4"/>
      <c r="Z270" s="4"/>
      <c r="AA270" s="4"/>
      <c r="AB270" s="4"/>
      <c r="AC270" s="4"/>
      <c r="AD270" s="4"/>
      <c r="AE270" s="4"/>
      <c r="AF270" s="4"/>
      <c r="AG270" s="4"/>
      <c r="AH270" s="4"/>
    </row>
    <row r="271" ht="12.75" hidden="1" outlineLevel="1">
      <c r="A271" s="4"/>
      <c r="B271" s="4">
        <f>ROW()-ROW($B$182)</f>
        <v>89</v>
      </c>
      <c r="C271" s="187">
        <v>0.2414146954853127</v>
      </c>
      <c r="D271" s="190">
        <v>2.9483864770954553</v>
      </c>
      <c r="E271" s="4">
        <f>MOD(B271-1,64)</f>
        <v>24</v>
      </c>
      <c r="F271" s="4">
        <f>IF(B271&lt;=64,1,2)</f>
        <v>2</v>
      </c>
      <c r="G271" s="4">
        <f>SUMPRODUCT(MOD(INT(E271/2^({0,1,2,3,4,5})),2))</f>
        <v>2</v>
      </c>
      <c r="H271" s="316">
        <f>IF(MOD(INT($E271/2^0),2)=1,0,FACT($G271)*FACT(5-$G271)/FACT(6)*IF($F271=1,1,-1)*($C271-INDEX($C$183:$C$310,$B271+2^0)))</f>
        <v>0.00014282963013816005</v>
      </c>
      <c r="I271" s="316">
        <f>IF(MOD(INT($E271/2^1),2)=1,0,FACT($G271)*FACT(5-$G271)/FACT(6)*IF($F271=1,1,-1)*($C271-INDEX($C$183:$C$310,$B271+2^1)))</f>
        <v>0.00021022321077521038</v>
      </c>
      <c r="J271" s="316">
        <f>IF(MOD(INT($E271/2^2),2)=1,0,FACT($G271)*FACT(5-$G271)/FACT(6)*IF($F271=1,1,-1)*($C271-INDEX($C$183:$C$310,$B271+2^2)))</f>
        <v>0.00009890943050855731</v>
      </c>
      <c r="K271" s="316">
        <f>IF(MOD(INT($E271/2^3),2)=1,0,FACT($G271)*FACT(5-$G271)/FACT(6)*IF($F271=1,1,-1)*($C271-INDEX($C$183:$C$310,$B271+2^3)))</f>
        <v>0</v>
      </c>
      <c r="L271" s="316">
        <f>IF(MOD(INT($E271/2^4),2)=1,0,FACT($G271)*FACT(5-$G271)/FACT(6)*IF($F271=1,1,-1)*($C271-INDEX($C$183:$C$310,$B271+2^4)))</f>
        <v>0</v>
      </c>
      <c r="M271" s="316">
        <f>IF(MOD(INT($E271/2^5),2)=1,0,FACT($G271)*FACT(5-$G271)/FACT(6)*IF($F271=1,1,-1)*($C271-INDEX($C$183:$C$310,$B271+2^5)))</f>
        <v>0.00012214989424087498</v>
      </c>
      <c r="N271" s="4"/>
      <c r="O271" s="4"/>
      <c r="P271" s="4"/>
      <c r="Q271" s="4"/>
      <c r="R271" s="4"/>
      <c r="S271" s="4"/>
      <c r="T271" s="4"/>
      <c r="U271" s="4"/>
      <c r="V271" s="4"/>
      <c r="W271" s="4"/>
      <c r="X271" s="4"/>
      <c r="Y271" s="4"/>
      <c r="Z271" s="4"/>
      <c r="AA271" s="4"/>
      <c r="AB271" s="4"/>
      <c r="AC271" s="4"/>
      <c r="AD271" s="4"/>
      <c r="AE271" s="4"/>
      <c r="AF271" s="4"/>
      <c r="AG271" s="4"/>
      <c r="AH271" s="4"/>
    </row>
    <row r="272" ht="12.75" hidden="1" outlineLevel="1">
      <c r="A272" s="4"/>
      <c r="B272" s="4">
        <f>ROW()-ROW($B$182)</f>
        <v>90</v>
      </c>
      <c r="C272" s="187">
        <v>0.2499844732936023</v>
      </c>
      <c r="D272" s="190">
        <v>3.051568282218302</v>
      </c>
      <c r="E272" s="4">
        <f>MOD(B272-1,64)</f>
        <v>25</v>
      </c>
      <c r="F272" s="4">
        <f>IF(B272&lt;=64,1,2)</f>
        <v>2</v>
      </c>
      <c r="G272" s="4">
        <f>SUMPRODUCT(MOD(INT(E272/2^({0,1,2,3,4,5})),2))</f>
        <v>3</v>
      </c>
      <c r="H272" s="316">
        <f>IF(MOD(INT($E272/2^0),2)=1,0,FACT($G272)*FACT(5-$G272)/FACT(6)*IF($F272=1,1,-1)*($C272-INDEX($C$183:$C$310,$B272+2^0)))</f>
        <v>0</v>
      </c>
      <c r="I272" s="316">
        <f>IF(MOD(INT($E272/2^1),2)=1,0,FACT($G272)*FACT(5-$G272)/FACT(6)*IF($F272=1,1,-1)*($C272-INDEX($C$183:$C$310,$B272+2^1)))</f>
        <v>0.00020805262806955862</v>
      </c>
      <c r="J272" s="316">
        <f>IF(MOD(INT($E272/2^2),2)=1,0,FACT($G272)*FACT(5-$G272)/FACT(6)*IF($F272=1,1,-1)*($C272-INDEX($C$183:$C$310,$B272+2^2)))</f>
        <v>0.00010212887142692824</v>
      </c>
      <c r="K272" s="316">
        <f>IF(MOD(INT($E272/2^3),2)=1,0,FACT($G272)*FACT(5-$G272)/FACT(6)*IF($F272=1,1,-1)*($C272-INDEX($C$183:$C$310,$B272+2^3)))</f>
        <v>0</v>
      </c>
      <c r="L272" s="316">
        <f>IF(MOD(INT($E272/2^4),2)=1,0,FACT($G272)*FACT(5-$G272)/FACT(6)*IF($F272=1,1,-1)*($C272-INDEX($C$183:$C$310,$B272+2^4)))</f>
        <v>0</v>
      </c>
      <c r="M272" s="316">
        <f>IF(MOD(INT($E272/2^5),2)=1,0,FACT($G272)*FACT(5-$G272)/FACT(6)*IF($F272=1,1,-1)*($C272-INDEX($C$183:$C$310,$B272+2^5)))</f>
        <v>0.00012450462216799426</v>
      </c>
      <c r="N272" s="4"/>
      <c r="O272" s="4"/>
      <c r="P272" s="4"/>
      <c r="Q272" s="4"/>
      <c r="R272" s="4"/>
      <c r="S272" s="4"/>
      <c r="T272" s="4"/>
      <c r="U272" s="4"/>
      <c r="V272" s="4"/>
      <c r="W272" s="4"/>
      <c r="X272" s="4"/>
      <c r="Y272" s="4"/>
      <c r="Z272" s="4"/>
      <c r="AA272" s="4"/>
      <c r="AB272" s="4"/>
      <c r="AC272" s="4"/>
      <c r="AD272" s="4"/>
      <c r="AE272" s="4"/>
      <c r="AF272" s="4"/>
      <c r="AG272" s="4"/>
      <c r="AH272" s="4"/>
    </row>
    <row r="273" ht="12.75" hidden="1" outlineLevel="1">
      <c r="A273" s="4"/>
      <c r="B273" s="4">
        <f>ROW()-ROW($B$182)</f>
        <v>91</v>
      </c>
      <c r="C273" s="187">
        <v>0.2540280881318253</v>
      </c>
      <c r="D273" s="190">
        <v>3.101246737243438</v>
      </c>
      <c r="E273" s="4">
        <f>MOD(B273-1,64)</f>
        <v>26</v>
      </c>
      <c r="F273" s="4">
        <f>IF(B273&lt;=64,1,2)</f>
        <v>2</v>
      </c>
      <c r="G273" s="4">
        <f>SUMPRODUCT(MOD(INT(E273/2^({0,1,2,3,4,5})),2))</f>
        <v>3</v>
      </c>
      <c r="H273" s="316">
        <f>IF(MOD(INT($E273/2^0),2)=1,0,FACT($G273)*FACT(5-$G273)/FACT(6)*IF($F273=1,1,-1)*($C273-INDEX($C$183:$C$310,$B273+2^0)))</f>
        <v>0.00014065904743250832</v>
      </c>
      <c r="I273" s="316">
        <f>IF(MOD(INT($E273/2^1),2)=1,0,FACT($G273)*FACT(5-$G273)/FACT(6)*IF($F273=1,1,-1)*($C273-INDEX($C$183:$C$310,$B273+2^1)))</f>
        <v>0</v>
      </c>
      <c r="J273" s="316">
        <f>IF(MOD(INT($E273/2^2),2)=1,0,FACT($G273)*FACT(5-$G273)/FACT(6)*IF($F273=1,1,-1)*($C273-INDEX($C$183:$C$310,$B273+2^2)))</f>
        <v>0.00009696214849081267</v>
      </c>
      <c r="K273" s="316">
        <f>IF(MOD(INT($E273/2^3),2)=1,0,FACT($G273)*FACT(5-$G273)/FACT(6)*IF($F273=1,1,-1)*($C273-INDEX($C$183:$C$310,$B273+2^3)))</f>
        <v>0</v>
      </c>
      <c r="L273" s="316">
        <f>IF(MOD(INT($E273/2^4),2)=1,0,FACT($G273)*FACT(5-$G273)/FACT(6)*IF($F273=1,1,-1)*($C273-INDEX($C$183:$C$310,$B273+2^4)))</f>
        <v>0</v>
      </c>
      <c r="M273" s="316">
        <f>IF(MOD(INT($E273/2^5),2)=1,0,FACT($G273)*FACT(5-$G273)/FACT(6)*IF($F273=1,1,-1)*($C273-INDEX($C$183:$C$310,$B273+2^5)))</f>
        <v>0.00011889976038224059</v>
      </c>
      <c r="N273" s="4"/>
      <c r="O273" s="4"/>
      <c r="P273" s="4"/>
      <c r="Q273" s="4"/>
      <c r="R273" s="4"/>
      <c r="S273" s="4"/>
      <c r="T273" s="4"/>
      <c r="U273" s="4"/>
      <c r="V273" s="4"/>
      <c r="W273" s="4"/>
      <c r="X273" s="4"/>
      <c r="Y273" s="4"/>
      <c r="Z273" s="4"/>
      <c r="AA273" s="4"/>
      <c r="AB273" s="4"/>
      <c r="AC273" s="4"/>
      <c r="AD273" s="4"/>
      <c r="AE273" s="4"/>
      <c r="AF273" s="4"/>
      <c r="AG273" s="4"/>
      <c r="AH273" s="4"/>
    </row>
    <row r="274" ht="12.75" hidden="1" outlineLevel="1">
      <c r="A274" s="4"/>
      <c r="B274" s="4">
        <f>ROW()-ROW($B$182)</f>
        <v>92</v>
      </c>
      <c r="C274" s="187">
        <v>0.2624676309777758</v>
      </c>
      <c r="D274" s="190">
        <v>3.207016978977442</v>
      </c>
      <c r="E274" s="4">
        <f>MOD(B274-1,64)</f>
        <v>27</v>
      </c>
      <c r="F274" s="4">
        <f>IF(B274&lt;=64,1,2)</f>
        <v>2</v>
      </c>
      <c r="G274" s="4">
        <f>SUMPRODUCT(MOD(INT(E274/2^({0,1,2,3,4,5})),2))</f>
        <v>4</v>
      </c>
      <c r="H274" s="316">
        <f>IF(MOD(INT($E274/2^0),2)=1,0,FACT($G274)*FACT(5-$G274)/FACT(6)*IF($F274=1,1,-1)*($C274-INDEX($C$183:$C$310,$B274+2^0)))</f>
        <v>0</v>
      </c>
      <c r="I274" s="316">
        <f>IF(MOD(INT($E274/2^1),2)=1,0,FACT($G274)*FACT(5-$G274)/FACT(6)*IF($F274=1,1,-1)*($C274-INDEX($C$183:$C$310,$B274+2^1)))</f>
        <v>0</v>
      </c>
      <c r="J274" s="316">
        <f>IF(MOD(INT($E274/2^2),2)=1,0,FACT($G274)*FACT(5-$G274)/FACT(6)*IF($F274=1,1,-1)*($C274-INDEX($C$183:$C$310,$B274+2^2)))</f>
        <v>0.00020037612342304427</v>
      </c>
      <c r="K274" s="316">
        <f>IF(MOD(INT($E274/2^3),2)=1,0,FACT($G274)*FACT(5-$G274)/FACT(6)*IF($F274=1,1,-1)*($C274-INDEX($C$183:$C$310,$B274+2^3)))</f>
        <v>0</v>
      </c>
      <c r="L274" s="316">
        <f>IF(MOD(INT($E274/2^4),2)=1,0,FACT($G274)*FACT(5-$G274)/FACT(6)*IF($F274=1,1,-1)*($C274-INDEX($C$183:$C$310,$B274+2^4)))</f>
        <v>0</v>
      </c>
      <c r="M274" s="316">
        <f>IF(MOD(INT($E274/2^5),2)=1,0,FACT($G274)*FACT(5-$G274)/FACT(6)*IF($F274=1,1,-1)*($C274-INDEX($C$183:$C$310,$B274+2^5)))</f>
        <v>0.00024256724589980885</v>
      </c>
      <c r="N274" s="4"/>
      <c r="O274" s="4"/>
      <c r="P274" s="4"/>
      <c r="Q274" s="4"/>
      <c r="R274" s="4"/>
      <c r="S274" s="4"/>
      <c r="T274" s="4"/>
      <c r="U274" s="4"/>
      <c r="V274" s="4"/>
      <c r="W274" s="4"/>
      <c r="X274" s="4"/>
      <c r="Y274" s="4"/>
      <c r="Z274" s="4"/>
      <c r="AA274" s="4"/>
      <c r="AB274" s="4"/>
      <c r="AC274" s="4"/>
      <c r="AD274" s="4"/>
      <c r="AE274" s="4"/>
      <c r="AF274" s="4"/>
      <c r="AG274" s="4"/>
      <c r="AH274" s="4"/>
    </row>
    <row r="275" ht="12.75" hidden="1" outlineLevel="1">
      <c r="A275" s="4"/>
      <c r="B275" s="4">
        <f>ROW()-ROW($B$182)</f>
        <v>93</v>
      </c>
      <c r="C275" s="187">
        <v>0.24734926131582613</v>
      </c>
      <c r="D275" s="190">
        <v>3.019537106515659</v>
      </c>
      <c r="E275" s="4">
        <f>MOD(B275-1,64)</f>
        <v>28</v>
      </c>
      <c r="F275" s="4">
        <f>IF(B275&lt;=64,1,2)</f>
        <v>2</v>
      </c>
      <c r="G275" s="4">
        <f>SUMPRODUCT(MOD(INT(E275/2^({0,1,2,3,4,5})),2))</f>
        <v>3</v>
      </c>
      <c r="H275" s="316">
        <f>IF(MOD(INT($E275/2^0),2)=1,0,FACT($G275)*FACT(5-$G275)/FACT(6)*IF($F275=1,1,-1)*($C275-INDEX($C$183:$C$310,$B275+2^0)))</f>
        <v>0.00014604907105653098</v>
      </c>
      <c r="I275" s="316">
        <f>IF(MOD(INT($E275/2^1),2)=1,0,FACT($G275)*FACT(5-$G275)/FACT(6)*IF($F275=1,1,-1)*($C275-INDEX($C$183:$C$310,$B275+2^1)))</f>
        <v>0.00020827592875746574</v>
      </c>
      <c r="J275" s="316">
        <f>IF(MOD(INT($E275/2^2),2)=1,0,FACT($G275)*FACT(5-$G275)/FACT(6)*IF($F275=1,1,-1)*($C275-INDEX($C$183:$C$310,$B275+2^2)))</f>
        <v>0</v>
      </c>
      <c r="K275" s="316">
        <f>IF(MOD(INT($E275/2^3),2)=1,0,FACT($G275)*FACT(5-$G275)/FACT(6)*IF($F275=1,1,-1)*($C275-INDEX($C$183:$C$310,$B275+2^3)))</f>
        <v>0</v>
      </c>
      <c r="L275" s="316">
        <f>IF(MOD(INT($E275/2^4),2)=1,0,FACT($G275)*FACT(5-$G275)/FACT(6)*IF($F275=1,1,-1)*($C275-INDEX($C$183:$C$310,$B275+2^4)))</f>
        <v>0</v>
      </c>
      <c r="M275" s="316">
        <f>IF(MOD(INT($E275/2^5),2)=1,0,FACT($G275)*FACT(5-$G275)/FACT(6)*IF($F275=1,1,-1)*($C275-INDEX($C$183:$C$310,$B275+2^5)))</f>
        <v>0.00011987476785011071</v>
      </c>
      <c r="N275" s="4"/>
      <c r="O275" s="4"/>
      <c r="P275" s="4"/>
      <c r="Q275" s="4"/>
      <c r="R275" s="4"/>
      <c r="S275" s="4"/>
      <c r="T275" s="4"/>
      <c r="U275" s="4"/>
      <c r="V275" s="4"/>
      <c r="W275" s="4"/>
      <c r="X275" s="4"/>
      <c r="Y275" s="4"/>
      <c r="Z275" s="4"/>
      <c r="AA275" s="4"/>
      <c r="AB275" s="4"/>
      <c r="AC275" s="4"/>
      <c r="AD275" s="4"/>
      <c r="AE275" s="4"/>
      <c r="AF275" s="4"/>
      <c r="AG275" s="4"/>
      <c r="AH275" s="4"/>
    </row>
    <row r="276" ht="12.75" hidden="1" outlineLevel="1">
      <c r="A276" s="4"/>
      <c r="B276" s="4">
        <f>ROW()-ROW($B$182)</f>
        <v>94</v>
      </c>
      <c r="C276" s="187">
        <v>0.256112205579218</v>
      </c>
      <c r="D276" s="190">
        <v>3.1271029427364034</v>
      </c>
      <c r="E276" s="4">
        <f>MOD(B276-1,64)</f>
        <v>29</v>
      </c>
      <c r="F276" s="4">
        <f>IF(B276&lt;=64,1,2)</f>
        <v>2</v>
      </c>
      <c r="G276" s="4">
        <f>SUMPRODUCT(MOD(INT(E276/2^({0,1,2,3,4,5})),2))</f>
        <v>4</v>
      </c>
      <c r="H276" s="316">
        <f>IF(MOD(INT($E276/2^0),2)=1,0,FACT($G276)*FACT(5-$G276)/FACT(6)*IF($F276=1,1,-1)*($C276-INDEX($C$183:$C$310,$B276+2^0)))</f>
        <v>0</v>
      </c>
      <c r="I276" s="316">
        <f>IF(MOD(INT($E276/2^1),2)=1,0,FACT($G276)*FACT(5-$G276)/FACT(6)*IF($F276=1,1,-1)*($C276-INDEX($C$183:$C$310,$B276+2^1)))</f>
        <v>0.00041222363670830503</v>
      </c>
      <c r="J276" s="316">
        <f>IF(MOD(INT($E276/2^2),2)=1,0,FACT($G276)*FACT(5-$G276)/FACT(6)*IF($F276=1,1,-1)*($C276-INDEX($C$183:$C$310,$B276+2^2)))</f>
        <v>0</v>
      </c>
      <c r="K276" s="316">
        <f>IF(MOD(INT($E276/2^3),2)=1,0,FACT($G276)*FACT(5-$G276)/FACT(6)*IF($F276=1,1,-1)*($C276-INDEX($C$183:$C$310,$B276+2^3)))</f>
        <v>0</v>
      </c>
      <c r="L276" s="316">
        <f>IF(MOD(INT($E276/2^4),2)=1,0,FACT($G276)*FACT(5-$G276)/FACT(6)*IF($F276=1,1,-1)*($C276-INDEX($C$183:$C$310,$B276+2^4)))</f>
        <v>0</v>
      </c>
      <c r="M276" s="316">
        <f>IF(MOD(INT($E276/2^5),2)=1,0,FACT($G276)*FACT(5-$G276)/FACT(6)*IF($F276=1,1,-1)*($C276-INDEX($C$183:$C$310,$B276+2^5)))</f>
        <v>0.00024425538093925483</v>
      </c>
      <c r="N276" s="4"/>
      <c r="O276" s="4"/>
      <c r="P276" s="4"/>
      <c r="Q276" s="4"/>
      <c r="R276" s="4"/>
      <c r="S276" s="4"/>
      <c r="T276" s="4"/>
      <c r="U276" s="4"/>
      <c r="V276" s="4"/>
      <c r="W276" s="4"/>
      <c r="X276" s="4"/>
      <c r="Y276" s="4"/>
      <c r="Z276" s="4"/>
      <c r="AA276" s="4"/>
      <c r="AB276" s="4"/>
      <c r="AC276" s="4"/>
      <c r="AD276" s="4"/>
      <c r="AE276" s="4"/>
      <c r="AF276" s="4"/>
      <c r="AG276" s="4"/>
      <c r="AH276" s="4"/>
    </row>
    <row r="277" ht="12.75" hidden="1" outlineLevel="1">
      <c r="A277" s="4"/>
      <c r="B277" s="4">
        <f>ROW()-ROW($B$182)</f>
        <v>95</v>
      </c>
      <c r="C277" s="187">
        <v>0.2598458170412741</v>
      </c>
      <c r="D277" s="190">
        <v>3.1738543425703543</v>
      </c>
      <c r="E277" s="4">
        <f>MOD(B277-1,64)</f>
        <v>30</v>
      </c>
      <c r="F277" s="4">
        <f>IF(B277&lt;=64,1,2)</f>
        <v>2</v>
      </c>
      <c r="G277" s="4">
        <f>SUMPRODUCT(MOD(INT(E277/2^({0,1,2,3,4,5})),2))</f>
        <v>4</v>
      </c>
      <c r="H277" s="316">
        <f>IF(MOD(INT($E277/2^0),2)=1,0,FACT($G277)*FACT(5-$G277)/FACT(6)*IF($F277=1,1,-1)*($C277-INDEX($C$183:$C$310,$B277+2^0)))</f>
        <v>0.00028776992130643555</v>
      </c>
      <c r="I277" s="316">
        <f>IF(MOD(INT($E277/2^1),2)=1,0,FACT($G277)*FACT(5-$G277)/FACT(6)*IF($F277=1,1,-1)*($C277-INDEX($C$183:$C$310,$B277+2^1)))</f>
        <v>0</v>
      </c>
      <c r="J277" s="316">
        <f>IF(MOD(INT($E277/2^2),2)=1,0,FACT($G277)*FACT(5-$G277)/FACT(6)*IF($F277=1,1,-1)*($C277-INDEX($C$183:$C$310,$B277+2^2)))</f>
        <v>0</v>
      </c>
      <c r="K277" s="316">
        <f>IF(MOD(INT($E277/2^3),2)=1,0,FACT($G277)*FACT(5-$G277)/FACT(6)*IF($F277=1,1,-1)*($C277-INDEX($C$183:$C$310,$B277+2^3)))</f>
        <v>0</v>
      </c>
      <c r="L277" s="316">
        <f>IF(MOD(INT($E277/2^4),2)=1,0,FACT($G277)*FACT(5-$G277)/FACT(6)*IF($F277=1,1,-1)*($C277-INDEX($C$183:$C$310,$B277+2^4)))</f>
        <v>0</v>
      </c>
      <c r="M277" s="316">
        <f>IF(MOD(INT($E277/2^5),2)=1,0,FACT($G277)*FACT(5-$G277)/FACT(6)*IF($F277=1,1,-1)*($C277-INDEX($C$183:$C$310,$B277+2^5)))</f>
        <v>0.00023349749925710334</v>
      </c>
      <c r="N277" s="4"/>
      <c r="O277" s="4"/>
      <c r="P277" s="4"/>
      <c r="Q277" s="4"/>
      <c r="R277" s="4"/>
      <c r="S277" s="4"/>
      <c r="T277" s="4"/>
      <c r="U277" s="4"/>
      <c r="V277" s="4"/>
      <c r="W277" s="4"/>
      <c r="X277" s="4"/>
      <c r="Y277" s="4"/>
      <c r="Z277" s="4"/>
      <c r="AA277" s="4"/>
      <c r="AB277" s="4"/>
      <c r="AC277" s="4"/>
      <c r="AD277" s="4"/>
      <c r="AE277" s="4"/>
      <c r="AF277" s="4"/>
      <c r="AG277" s="4"/>
      <c r="AH277" s="4"/>
    </row>
    <row r="278" ht="12.75" hidden="1" outlineLevel="1">
      <c r="A278" s="4"/>
      <c r="B278" s="4">
        <f>ROW()-ROW($B$182)</f>
        <v>96</v>
      </c>
      <c r="C278" s="187">
        <v>0.26847891468046714</v>
      </c>
      <c r="D278" s="190">
        <v>3.284099167700327</v>
      </c>
      <c r="E278" s="4">
        <f>MOD(B278-1,64)</f>
        <v>31</v>
      </c>
      <c r="F278" s="4">
        <f>IF(B278&lt;=64,1,2)</f>
        <v>2</v>
      </c>
      <c r="G278" s="4">
        <f>SUMPRODUCT(MOD(INT(E278/2^({0,1,2,3,4,5})),2))</f>
        <v>5</v>
      </c>
      <c r="H278" s="316">
        <f>IF(MOD(INT($E278/2^0),2)=1,0,FACT($G278)*FACT(5-$G278)/FACT(6)*IF($F278=1,1,-1)*($C278-INDEX($C$183:$C$310,$B278+2^0)))</f>
        <v>0</v>
      </c>
      <c r="I278" s="316">
        <f>IF(MOD(INT($E278/2^1),2)=1,0,FACT($G278)*FACT(5-$G278)/FACT(6)*IF($F278=1,1,-1)*($C278-INDEX($C$183:$C$310,$B278+2^1)))</f>
        <v>0</v>
      </c>
      <c r="J278" s="316">
        <f>IF(MOD(INT($E278/2^2),2)=1,0,FACT($G278)*FACT(5-$G278)/FACT(6)*IF($F278=1,1,-1)*($C278-INDEX($C$183:$C$310,$B278+2^2)))</f>
        <v>0</v>
      </c>
      <c r="K278" s="316">
        <f>IF(MOD(INT($E278/2^3),2)=1,0,FACT($G278)*FACT(5-$G278)/FACT(6)*IF($F278=1,1,-1)*($C278-INDEX($C$183:$C$310,$B278+2^3)))</f>
        <v>0</v>
      </c>
      <c r="L278" s="316">
        <f>IF(MOD(INT($E278/2^4),2)=1,0,FACT($G278)*FACT(5-$G278)/FACT(6)*IF($F278=1,1,-1)*($C278-INDEX($C$183:$C$310,$B278+2^4)))</f>
        <v>0</v>
      </c>
      <c r="M278" s="316">
        <f>IF(MOD(INT($E278/2^5),2)=1,0,FACT($G278)*FACT(5-$G278)/FACT(6)*IF($F278=1,1,-1)*($C278-INDEX($C$183:$C$310,$B278+2^5)))</f>
        <v>0.0011903272100795743</v>
      </c>
      <c r="N278" s="4"/>
      <c r="O278" s="4"/>
      <c r="P278" s="4"/>
      <c r="Q278" s="4"/>
      <c r="R278" s="4"/>
      <c r="S278" s="4"/>
      <c r="T278" s="4"/>
      <c r="U278" s="4"/>
      <c r="V278" s="4"/>
      <c r="W278" s="4"/>
      <c r="X278" s="4"/>
      <c r="Y278" s="4"/>
      <c r="Z278" s="4"/>
      <c r="AA278" s="4"/>
      <c r="AB278" s="4"/>
      <c r="AC278" s="4"/>
      <c r="AD278" s="4"/>
      <c r="AE278" s="4"/>
      <c r="AF278" s="4"/>
      <c r="AG278" s="4"/>
      <c r="AH278" s="4"/>
    </row>
    <row r="279" ht="12.75" hidden="1" outlineLevel="1">
      <c r="A279" s="4"/>
      <c r="B279" s="4">
        <f>ROW()-ROW($B$182)</f>
        <v>97</v>
      </c>
      <c r="C279" s="187">
        <v>0.21979724825585034</v>
      </c>
      <c r="D279" s="190">
        <v>2.700463094810074</v>
      </c>
      <c r="E279" s="4">
        <f>MOD(B279-1,64)</f>
        <v>32</v>
      </c>
      <c r="F279" s="4">
        <f>IF(B279&lt;=64,1,2)</f>
        <v>2</v>
      </c>
      <c r="G279" s="4">
        <f>SUMPRODUCT(MOD(INT(E279/2^({0,1,2,3,4,5})),2))</f>
        <v>1</v>
      </c>
      <c r="H279" s="316">
        <f>IF(MOD(INT($E279/2^0),2)=1,0,FACT($G279)*FACT(5-$G279)/FACT(6)*IF($F279=1,1,-1)*($C279-INDEX($C$183:$C$310,$B279+2^0)))</f>
        <v>0.00029530741057656555</v>
      </c>
      <c r="I279" s="316">
        <f>IF(MOD(INT($E279/2^1),2)=1,0,FACT($G279)*FACT(5-$G279)/FACT(6)*IF($F279=1,1,-1)*($C279-INDEX($C$183:$C$310,$B279+2^1)))</f>
        <v>0.0004306320619750078</v>
      </c>
      <c r="J279" s="316">
        <f>IF(MOD(INT($E279/2^2),2)=1,0,FACT($G279)*FACT(5-$G279)/FACT(6)*IF($F279=1,1,-1)*($C279-INDEX($C$183:$C$310,$B279+2^2)))</f>
        <v>0.0002017092731874633</v>
      </c>
      <c r="K279" s="316">
        <f>IF(MOD(INT($E279/2^3),2)=1,0,FACT($G279)*FACT(5-$G279)/FACT(6)*IF($F279=1,1,-1)*($C279-INDEX($C$183:$C$310,$B279+2^3)))</f>
        <v>0.00040518465834623967</v>
      </c>
      <c r="L279" s="316">
        <f>IF(MOD(INT($E279/2^4),2)=1,0,FACT($G279)*FACT(5-$G279)/FACT(6)*IF($F279=1,1,-1)*($C279-INDEX($C$183:$C$310,$B279+2^4)))</f>
        <v>0.0005815585905202628</v>
      </c>
      <c r="M279" s="316">
        <f>IF(MOD(INT($E279/2^5),2)=1,0,FACT($G279)*FACT(5-$G279)/FACT(6)*IF($F279=1,1,-1)*($C279-INDEX($C$183:$C$310,$B279+2^5)))</f>
        <v>0</v>
      </c>
      <c r="N279" s="4"/>
      <c r="O279" s="4"/>
      <c r="P279" s="4"/>
      <c r="Q279" s="4"/>
      <c r="R279" s="4"/>
      <c r="S279" s="4"/>
      <c r="T279" s="4"/>
      <c r="U279" s="4"/>
      <c r="V279" s="4"/>
      <c r="W279" s="4"/>
      <c r="X279" s="4"/>
      <c r="Y279" s="4"/>
      <c r="Z279" s="4"/>
      <c r="AA279" s="4"/>
      <c r="AB279" s="4"/>
      <c r="AC279" s="4"/>
      <c r="AD279" s="4"/>
      <c r="AE279" s="4"/>
      <c r="AF279" s="4"/>
      <c r="AG279" s="4"/>
      <c r="AH279" s="4"/>
    </row>
    <row r="280" ht="12.75" hidden="1" outlineLevel="1">
      <c r="A280" s="4"/>
      <c r="B280" s="4">
        <f>ROW()-ROW($B$182)</f>
        <v>98</v>
      </c>
      <c r="C280" s="187">
        <v>0.2286564705731473</v>
      </c>
      <c r="D280" s="190">
        <v>2.799963440726378</v>
      </c>
      <c r="E280" s="4">
        <f>MOD(B280-1,64)</f>
        <v>33</v>
      </c>
      <c r="F280" s="4">
        <f>IF(B280&lt;=64,1,2)</f>
        <v>2</v>
      </c>
      <c r="G280" s="4">
        <f>SUMPRODUCT(MOD(INT(E280/2^({0,1,2,3,4,5})),2))</f>
        <v>2</v>
      </c>
      <c r="H280" s="316">
        <f>IF(MOD(INT($E280/2^0),2)=1,0,FACT($G280)*FACT(5-$G280)/FACT(6)*IF($F280=1,1,-1)*($C280-INDEX($C$183:$C$310,$B280+2^0)))</f>
        <v>0</v>
      </c>
      <c r="I280" s="316">
        <f>IF(MOD(INT($E280/2^1),2)=1,0,FACT($G280)*FACT(5-$G280)/FACT(6)*IF($F280=1,1,-1)*($C280-INDEX($C$183:$C$310,$B280+2^1)))</f>
        <v>0.00021281531304427522</v>
      </c>
      <c r="J280" s="316">
        <f>IF(MOD(INT($E280/2^2),2)=1,0,FACT($G280)*FACT(5-$G280)/FACT(6)*IF($F280=1,1,-1)*($C280-INDEX($C$183:$C$310,$B280+2^2)))</f>
        <v>0.0001039825184430243</v>
      </c>
      <c r="K280" s="316">
        <f>IF(MOD(INT($E280/2^3),2)=1,0,FACT($G280)*FACT(5-$G280)/FACT(6)*IF($F280=1,1,-1)*($C280-INDEX($C$183:$C$310,$B280+2^3)))</f>
        <v>0.00020063377375545421</v>
      </c>
      <c r="L280" s="316">
        <f>IF(MOD(INT($E280/2^4),2)=1,0,FACT($G280)*FACT(5-$G280)/FACT(6)*IF($F280=1,1,-1)*($C280-INDEX($C$183:$C$310,$B280+2^4)))</f>
        <v>0.0002900660479025374</v>
      </c>
      <c r="M280" s="316">
        <f>IF(MOD(INT($E280/2^5),2)=1,0,FACT($G280)*FACT(5-$G280)/FACT(6)*IF($F280=1,1,-1)*($C280-INDEX($C$183:$C$310,$B280+2^5)))</f>
        <v>0</v>
      </c>
      <c r="N280" s="4"/>
      <c r="O280" s="4"/>
      <c r="P280" s="4"/>
      <c r="Q280" s="4"/>
      <c r="R280" s="4"/>
      <c r="S280" s="4"/>
      <c r="T280" s="4"/>
      <c r="U280" s="4"/>
      <c r="V280" s="4"/>
      <c r="W280" s="4"/>
      <c r="X280" s="4"/>
      <c r="Y280" s="4"/>
      <c r="Z280" s="4"/>
      <c r="AA280" s="4"/>
      <c r="AB280" s="4"/>
      <c r="AC280" s="4"/>
      <c r="AD280" s="4"/>
      <c r="AE280" s="4"/>
      <c r="AF280" s="4"/>
      <c r="AG280" s="4"/>
      <c r="AH280" s="4"/>
    </row>
    <row r="281" ht="12.75" hidden="1" outlineLevel="1">
      <c r="A281" s="4"/>
      <c r="B281" s="4">
        <f>ROW()-ROW($B$182)</f>
        <v>99</v>
      </c>
      <c r="C281" s="187">
        <v>0.23271621011510057</v>
      </c>
      <c r="D281" s="190">
        <v>2.8465284892864617</v>
      </c>
      <c r="E281" s="4">
        <f>MOD(B281-1,64)</f>
        <v>34</v>
      </c>
      <c r="F281" s="4">
        <f>IF(B281&lt;=64,1,2)</f>
        <v>2</v>
      </c>
      <c r="G281" s="4">
        <f>SUMPRODUCT(MOD(INT(E281/2^({0,1,2,3,4,5})),2))</f>
        <v>2</v>
      </c>
      <c r="H281" s="316">
        <f>IF(MOD(INT($E281/2^0),2)=1,0,FACT($G281)*FACT(5-$G281)/FACT(6)*IF($F281=1,1,-1)*($C281-INDEX($C$183:$C$310,$B281+2^0)))</f>
        <v>0.0001451529873450541</v>
      </c>
      <c r="I281" s="316">
        <f>IF(MOD(INT($E281/2^1),2)=1,0,FACT($G281)*FACT(5-$G281)/FACT(6)*IF($F281=1,1,-1)*($C281-INDEX($C$183:$C$310,$B281+2^1)))</f>
        <v>0</v>
      </c>
      <c r="J281" s="316">
        <f>IF(MOD(INT($E281/2^2),2)=1,0,FACT($G281)*FACT(5-$G281)/FACT(6)*IF($F281=1,1,-1)*($C281-INDEX($C$183:$C$310,$B281+2^2)))</f>
        <v>0.00009870001229725921</v>
      </c>
      <c r="K281" s="316">
        <f>IF(MOD(INT($E281/2^3),2)=1,0,FACT($G281)*FACT(5-$G281)/FACT(6)*IF($F281=1,1,-1)*($C281-INDEX($C$183:$C$310,$B281+2^3)))</f>
        <v>0.0001990902348356934</v>
      </c>
      <c r="L281" s="316">
        <f>IF(MOD(INT($E281/2^4),2)=1,0,FACT($G281)*FACT(5-$G281)/FACT(6)*IF($F281=1,1,-1)*($C281-INDEX($C$183:$C$310,$B281+2^4)))</f>
        <v>0.000285459106949737</v>
      </c>
      <c r="M281" s="316">
        <f>IF(MOD(INT($E281/2^5),2)=1,0,FACT($G281)*FACT(5-$G281)/FACT(6)*IF($F281=1,1,-1)*($C281-INDEX($C$183:$C$310,$B281+2^5)))</f>
        <v>0</v>
      </c>
      <c r="N281" s="4"/>
      <c r="O281" s="4"/>
      <c r="P281" s="4"/>
      <c r="Q281" s="4"/>
      <c r="R281" s="4"/>
      <c r="S281" s="4"/>
      <c r="T281" s="4"/>
      <c r="U281" s="4"/>
      <c r="V281" s="4"/>
      <c r="W281" s="4"/>
      <c r="X281" s="4"/>
      <c r="Y281" s="4"/>
      <c r="Z281" s="4"/>
      <c r="AA281" s="4"/>
      <c r="AB281" s="4"/>
      <c r="AC281" s="4"/>
      <c r="AD281" s="4"/>
      <c r="AE281" s="4"/>
      <c r="AF281" s="4"/>
      <c r="AG281" s="4"/>
      <c r="AH281" s="4"/>
    </row>
    <row r="282" ht="12.75" hidden="1" outlineLevel="1">
      <c r="A282" s="4"/>
      <c r="B282" s="4">
        <f>ROW()-ROW($B$182)</f>
        <v>100</v>
      </c>
      <c r="C282" s="187">
        <v>0.24142538935580382</v>
      </c>
      <c r="D282" s="190">
        <v>2.9485134701400537</v>
      </c>
      <c r="E282" s="4">
        <f>MOD(B282-1,64)</f>
        <v>35</v>
      </c>
      <c r="F282" s="4">
        <f>IF(B282&lt;=64,1,2)</f>
        <v>2</v>
      </c>
      <c r="G282" s="4">
        <f>SUMPRODUCT(MOD(INT(E282/2^({0,1,2,3,4,5})),2))</f>
        <v>3</v>
      </c>
      <c r="H282" s="316">
        <f>IF(MOD(INT($E282/2^0),2)=1,0,FACT($G282)*FACT(5-$G282)/FACT(6)*IF($F282=1,1,-1)*($C282-INDEX($C$183:$C$310,$B282+2^0)))</f>
        <v>0</v>
      </c>
      <c r="I282" s="316">
        <f>IF(MOD(INT($E282/2^1),2)=1,0,FACT($G282)*FACT(5-$G282)/FACT(6)*IF($F282=1,1,-1)*($C282-INDEX($C$183:$C$310,$B282+2^1)))</f>
        <v>0</v>
      </c>
      <c r="J282" s="316">
        <f>IF(MOD(INT($E282/2^2),2)=1,0,FACT($G282)*FACT(5-$G282)/FACT(6)*IF($F282=1,1,-1)*($C282-INDEX($C$183:$C$310,$B282+2^2)))</f>
        <v>0.00010184195135473084</v>
      </c>
      <c r="K282" s="316">
        <f>IF(MOD(INT($E282/2^3),2)=1,0,FACT($G282)*FACT(5-$G282)/FACT(6)*IF($F282=1,1,-1)*($C282-INDEX($C$183:$C$310,$B282+2^3)))</f>
        <v>0.00019730357959718187</v>
      </c>
      <c r="L282" s="316">
        <f>IF(MOD(INT($E282/2^4),2)=1,0,FACT($G282)*FACT(5-$G282)/FACT(6)*IF($F282=1,1,-1)*($C282-INDEX($C$183:$C$310,$B282+2^4)))</f>
        <v>0.0002849577831276447</v>
      </c>
      <c r="M282" s="316">
        <f>IF(MOD(INT($E282/2^5),2)=1,0,FACT($G282)*FACT(5-$G282)/FACT(6)*IF($F282=1,1,-1)*($C282-INDEX($C$183:$C$310,$B282+2^5)))</f>
        <v>0</v>
      </c>
      <c r="N282" s="4"/>
      <c r="O282" s="4"/>
      <c r="P282" s="4"/>
      <c r="Q282" s="4"/>
      <c r="R282" s="4"/>
      <c r="S282" s="4"/>
      <c r="T282" s="4"/>
      <c r="U282" s="4"/>
      <c r="V282" s="4"/>
      <c r="W282" s="4"/>
      <c r="X282" s="4"/>
      <c r="Y282" s="4"/>
      <c r="Z282" s="4"/>
      <c r="AA282" s="4"/>
      <c r="AB282" s="4"/>
      <c r="AC282" s="4"/>
      <c r="AD282" s="4"/>
      <c r="AE282" s="4"/>
      <c r="AF282" s="4"/>
      <c r="AG282" s="4"/>
      <c r="AH282" s="4"/>
    </row>
    <row r="283" ht="12.75" hidden="1" outlineLevel="1">
      <c r="A283" s="4"/>
      <c r="B283" s="4">
        <f>ROW()-ROW($B$182)</f>
        <v>101</v>
      </c>
      <c r="C283" s="187">
        <v>0.22584852645147424</v>
      </c>
      <c r="D283" s="190">
        <v>2.768114477318419</v>
      </c>
      <c r="E283" s="4">
        <f>MOD(B283-1,64)</f>
        <v>36</v>
      </c>
      <c r="F283" s="4">
        <f>IF(B283&lt;=64,1,2)</f>
        <v>2</v>
      </c>
      <c r="G283" s="4">
        <f>SUMPRODUCT(MOD(INT(E283/2^({0,1,2,3,4,5})),2))</f>
        <v>2</v>
      </c>
      <c r="H283" s="316">
        <f>IF(MOD(INT($E283/2^0),2)=1,0,FACT($G283)*FACT(5-$G283)/FACT(6)*IF($F283=1,1,-1)*($C283-INDEX($C$183:$C$310,$B283+2^0)))</f>
        <v>0.00015078158713757543</v>
      </c>
      <c r="I283" s="316">
        <f>IF(MOD(INT($E283/2^1),2)=1,0,FACT($G283)*FACT(5-$G283)/FACT(6)*IF($F283=1,1,-1)*($C283-INDEX($C$183:$C$310,$B283+2^1)))</f>
        <v>0.00021316140669103145</v>
      </c>
      <c r="J283" s="316">
        <f>IF(MOD(INT($E283/2^2),2)=1,0,FACT($G283)*FACT(5-$G283)/FACT(6)*IF($F283=1,1,-1)*($C283-INDEX($C$183:$C$310,$B283+2^2)))</f>
        <v>0</v>
      </c>
      <c r="K283" s="316">
        <f>IF(MOD(INT($E283/2^3),2)=1,0,FACT($G283)*FACT(5-$G283)/FACT(6)*IF($F283=1,1,-1)*($C283-INDEX($C$183:$C$310,$B283+2^3)))</f>
        <v>0.00019871646483475834</v>
      </c>
      <c r="L283" s="316">
        <f>IF(MOD(INT($E283/2^4),2)=1,0,FACT($G283)*FACT(5-$G283)/FACT(6)*IF($F283=1,1,-1)*($C283-INDEX($C$183:$C$310,$B283+2^4)))</f>
        <v>0.0002901584172900799</v>
      </c>
      <c r="M283" s="316">
        <f>IF(MOD(INT($E283/2^5),2)=1,0,FACT($G283)*FACT(5-$G283)/FACT(6)*IF($F283=1,1,-1)*($C283-INDEX($C$183:$C$310,$B283+2^5)))</f>
        <v>0</v>
      </c>
      <c r="N283" s="4"/>
      <c r="O283" s="4"/>
      <c r="P283" s="4"/>
      <c r="Q283" s="4"/>
      <c r="R283" s="4"/>
      <c r="S283" s="4"/>
      <c r="T283" s="4"/>
      <c r="U283" s="4"/>
      <c r="V283" s="4"/>
      <c r="W283" s="4"/>
      <c r="X283" s="4"/>
      <c r="Y283" s="4"/>
      <c r="Z283" s="4"/>
      <c r="AA283" s="4"/>
      <c r="AB283" s="4"/>
      <c r="AC283" s="4"/>
      <c r="AD283" s="4"/>
      <c r="AE283" s="4"/>
      <c r="AF283" s="4"/>
      <c r="AG283" s="4"/>
      <c r="AH283" s="4"/>
    </row>
    <row r="284" ht="12.75" hidden="1" outlineLevel="1">
      <c r="A284" s="4"/>
      <c r="B284" s="4">
        <f>ROW()-ROW($B$182)</f>
        <v>102</v>
      </c>
      <c r="C284" s="187">
        <v>0.23489542167972877</v>
      </c>
      <c r="D284" s="190">
        <v>2.871778253621247</v>
      </c>
      <c r="E284" s="4">
        <f>MOD(B284-1,64)</f>
        <v>37</v>
      </c>
      <c r="F284" s="4">
        <f>IF(B284&lt;=64,1,2)</f>
        <v>2</v>
      </c>
      <c r="G284" s="4">
        <f>SUMPRODUCT(MOD(INT(E284/2^({0,1,2,3,4,5})),2))</f>
        <v>3</v>
      </c>
      <c r="H284" s="316">
        <f>IF(MOD(INT($E284/2^0),2)=1,0,FACT($G284)*FACT(5-$G284)/FACT(6)*IF($F284=1,1,-1)*($C284-INDEX($C$183:$C$310,$B284+2^0)))</f>
        <v>0</v>
      </c>
      <c r="I284" s="316">
        <f>IF(MOD(INT($E284/2^1),2)=1,0,FACT($G284)*FACT(5-$G284)/FACT(6)*IF($F284=1,1,-1)*($C284-INDEX($C$183:$C$310,$B284+2^1)))</f>
        <v>0.00021067474595598174</v>
      </c>
      <c r="J284" s="316">
        <f>IF(MOD(INT($E284/2^2),2)=1,0,FACT($G284)*FACT(5-$G284)/FACT(6)*IF($F284=1,1,-1)*($C284-INDEX($C$183:$C$310,$B284+2^2)))</f>
        <v>0</v>
      </c>
      <c r="K284" s="316">
        <f>IF(MOD(INT($E284/2^3),2)=1,0,FACT($G284)*FACT(5-$G284)/FACT(6)*IF($F284=1,1,-1)*($C284-INDEX($C$183:$C$310,$B284+2^3)))</f>
        <v>0.00019670437682449323</v>
      </c>
      <c r="L284" s="316">
        <f>IF(MOD(INT($E284/2^4),2)=1,0,FACT($G284)*FACT(5-$G284)/FACT(6)*IF($F284=1,1,-1)*($C284-INDEX($C$183:$C$310,$B284+2^4)))</f>
        <v>0.0002894890628433733</v>
      </c>
      <c r="M284" s="316">
        <f>IF(MOD(INT($E284/2^5),2)=1,0,FACT($G284)*FACT(5-$G284)/FACT(6)*IF($F284=1,1,-1)*($C284-INDEX($C$183:$C$310,$B284+2^5)))</f>
        <v>0</v>
      </c>
      <c r="N284" s="4"/>
      <c r="O284" s="4"/>
      <c r="P284" s="4"/>
      <c r="Q284" s="4"/>
      <c r="R284" s="4"/>
      <c r="S284" s="4"/>
      <c r="T284" s="4"/>
      <c r="U284" s="4"/>
      <c r="V284" s="4"/>
      <c r="W284" s="4"/>
      <c r="X284" s="4"/>
      <c r="Y284" s="4"/>
      <c r="Z284" s="4"/>
      <c r="AA284" s="4"/>
      <c r="AB284" s="4"/>
      <c r="AC284" s="4"/>
      <c r="AD284" s="4"/>
      <c r="AE284" s="4"/>
      <c r="AF284" s="4"/>
      <c r="AG284" s="4"/>
      <c r="AH284" s="4"/>
    </row>
    <row r="285" ht="12.75" hidden="1" outlineLevel="1">
      <c r="A285" s="4"/>
      <c r="B285" s="4">
        <f>ROW()-ROW($B$182)</f>
        <v>103</v>
      </c>
      <c r="C285" s="187">
        <v>0.23863821085293613</v>
      </c>
      <c r="D285" s="190">
        <v>2.915562578156294</v>
      </c>
      <c r="E285" s="4">
        <f>MOD(B285-1,64)</f>
        <v>38</v>
      </c>
      <c r="F285" s="4">
        <f>IF(B285&lt;=64,1,2)</f>
        <v>2</v>
      </c>
      <c r="G285" s="4">
        <f>SUMPRODUCT(MOD(INT(E285/2^({0,1,2,3,4,5})),2))</f>
        <v>3</v>
      </c>
      <c r="H285" s="316">
        <f>IF(MOD(INT($E285/2^0),2)=1,0,FACT($G285)*FACT(5-$G285)/FACT(6)*IF($F285=1,1,-1)*($C285-INDEX($C$183:$C$310,$B285+2^0)))</f>
        <v>0.00014829492640252572</v>
      </c>
      <c r="I285" s="316">
        <f>IF(MOD(INT($E285/2^1),2)=1,0,FACT($G285)*FACT(5-$G285)/FACT(6)*IF($F285=1,1,-1)*($C285-INDEX($C$183:$C$310,$B285+2^1)))</f>
        <v>0</v>
      </c>
      <c r="J285" s="316">
        <f>IF(MOD(INT($E285/2^2),2)=1,0,FACT($G285)*FACT(5-$G285)/FACT(6)*IF($F285=1,1,-1)*($C285-INDEX($C$183:$C$310,$B285+2^2)))</f>
        <v>0</v>
      </c>
      <c r="K285" s="316">
        <f>IF(MOD(INT($E285/2^3),2)=1,0,FACT($G285)*FACT(5-$G285)/FACT(6)*IF($F285=1,1,-1)*($C285-INDEX($C$183:$C$310,$B285+2^3)))</f>
        <v>0.00019539798284197533</v>
      </c>
      <c r="L285" s="316">
        <f>IF(MOD(INT($E285/2^4),2)=1,0,FACT($G285)*FACT(5-$G285)/FACT(6)*IF($F285=1,1,-1)*($C285-INDEX($C$183:$C$310,$B285+2^4)))</f>
        <v>0.0002850110303450023</v>
      </c>
      <c r="M285" s="316">
        <f>IF(MOD(INT($E285/2^5),2)=1,0,FACT($G285)*FACT(5-$G285)/FACT(6)*IF($F285=1,1,-1)*($C285-INDEX($C$183:$C$310,$B285+2^5)))</f>
        <v>0</v>
      </c>
      <c r="N285" s="4"/>
      <c r="O285" s="4"/>
      <c r="P285" s="4"/>
      <c r="Q285" s="4"/>
      <c r="R285" s="4"/>
      <c r="S285" s="4"/>
      <c r="T285" s="4"/>
      <c r="U285" s="4"/>
      <c r="V285" s="4"/>
      <c r="W285" s="4"/>
      <c r="X285" s="4"/>
      <c r="Y285" s="4"/>
      <c r="Z285" s="4"/>
      <c r="AA285" s="4"/>
      <c r="AB285" s="4"/>
      <c r="AC285" s="4"/>
      <c r="AD285" s="4"/>
      <c r="AE285" s="4"/>
      <c r="AF285" s="4"/>
      <c r="AG285" s="4"/>
      <c r="AH285" s="4"/>
    </row>
    <row r="286" ht="12.75" hidden="1" outlineLevel="1">
      <c r="A286" s="4"/>
      <c r="B286" s="4">
        <f>ROW()-ROW($B$182)</f>
        <v>104</v>
      </c>
      <c r="C286" s="187">
        <v>0.24753590643708767</v>
      </c>
      <c r="D286" s="190">
        <v>3.0217969008390053</v>
      </c>
      <c r="E286" s="4">
        <f>MOD(B286-1,64)</f>
        <v>39</v>
      </c>
      <c r="F286" s="4">
        <f>IF(B286&lt;=64,1,2)</f>
        <v>2</v>
      </c>
      <c r="G286" s="4">
        <f>SUMPRODUCT(MOD(INT(E286/2^({0,1,2,3,4,5})),2))</f>
        <v>4</v>
      </c>
      <c r="H286" s="316">
        <f>IF(MOD(INT($E286/2^0),2)=1,0,FACT($G286)*FACT(5-$G286)/FACT(6)*IF($F286=1,1,-1)*($C286-INDEX($C$183:$C$310,$B286+2^0)))</f>
        <v>0</v>
      </c>
      <c r="I286" s="316">
        <f>IF(MOD(INT($E286/2^1),2)=1,0,FACT($G286)*FACT(5-$G286)/FACT(6)*IF($F286=1,1,-1)*($C286-INDEX($C$183:$C$310,$B286+2^1)))</f>
        <v>0</v>
      </c>
      <c r="J286" s="316">
        <f>IF(MOD(INT($E286/2^2),2)=1,0,FACT($G286)*FACT(5-$G286)/FACT(6)*IF($F286=1,1,-1)*($C286-INDEX($C$183:$C$310,$B286+2^2)))</f>
        <v>0</v>
      </c>
      <c r="K286" s="316">
        <f>IF(MOD(INT($E286/2^3),2)=1,0,FACT($G286)*FACT(5-$G286)/FACT(6)*IF($F286=1,1,-1)*($C286-INDEX($C$183:$C$310,$B286+2^3)))</f>
        <v>0.0003871082519933659</v>
      </c>
      <c r="L286" s="316">
        <f>IF(MOD(INT($E286/2^4),2)=1,0,FACT($G286)*FACT(5-$G286)/FACT(6)*IF($F286=1,1,-1)*($C286-INDEX($C$183:$C$310,$B286+2^4)))</f>
        <v>0.0005691017194934034</v>
      </c>
      <c r="M286" s="316">
        <f>IF(MOD(INT($E286/2^5),2)=1,0,FACT($G286)*FACT(5-$G286)/FACT(6)*IF($F286=1,1,-1)*($C286-INDEX($C$183:$C$310,$B286+2^5)))</f>
        <v>0</v>
      </c>
      <c r="N286" s="4"/>
      <c r="O286" s="4"/>
      <c r="P286" s="4"/>
      <c r="Q286" s="4"/>
      <c r="R286" s="4"/>
      <c r="S286" s="4"/>
      <c r="T286" s="4"/>
      <c r="U286" s="4"/>
      <c r="V286" s="4"/>
      <c r="W286" s="4"/>
      <c r="X286" s="4"/>
      <c r="Y286" s="4"/>
      <c r="Z286" s="4"/>
      <c r="AA286" s="4"/>
      <c r="AB286" s="4"/>
      <c r="AC286" s="4"/>
      <c r="AD286" s="4"/>
      <c r="AE286" s="4"/>
      <c r="AF286" s="4"/>
      <c r="AG286" s="4"/>
      <c r="AH286" s="4"/>
    </row>
    <row r="287" ht="12.75" hidden="1" outlineLevel="1">
      <c r="A287" s="4"/>
      <c r="B287" s="4">
        <f>ROW()-ROW($B$182)</f>
        <v>105</v>
      </c>
      <c r="C287" s="187">
        <v>0.23195278800623753</v>
      </c>
      <c r="D287" s="190">
        <v>2.8377251133661607</v>
      </c>
      <c r="E287" s="4">
        <f>MOD(B287-1,64)</f>
        <v>40</v>
      </c>
      <c r="F287" s="4">
        <f>IF(B287&lt;=64,1,2)</f>
        <v>2</v>
      </c>
      <c r="G287" s="4">
        <f>SUMPRODUCT(MOD(INT(E287/2^({0,1,2,3,4,5})),2))</f>
        <v>2</v>
      </c>
      <c r="H287" s="316">
        <f>IF(MOD(INT($E287/2^0),2)=1,0,FACT($G287)*FACT(5-$G287)/FACT(6)*IF($F287=1,1,-1)*($C287-INDEX($C$183:$C$310,$B287+2^0)))</f>
        <v>0.00014569514987061716</v>
      </c>
      <c r="I287" s="316">
        <f>IF(MOD(INT($E287/2^1),2)=1,0,FACT($G287)*FACT(5-$G287)/FACT(6)*IF($F287=1,1,-1)*($C287-INDEX($C$183:$C$310,$B287+2^1)))</f>
        <v>0.00021181393665007744</v>
      </c>
      <c r="J287" s="316">
        <f>IF(MOD(INT($E287/2^2),2)=1,0,FACT($G287)*FACT(5-$G287)/FACT(6)*IF($F287=1,1,-1)*($C287-INDEX($C$183:$C$310,$B287+2^2)))</f>
        <v>0.00009697877225537017</v>
      </c>
      <c r="K287" s="316">
        <f>IF(MOD(INT($E287/2^3),2)=1,0,FACT($G287)*FACT(5-$G287)/FACT(6)*IF($F287=1,1,-1)*($C287-INDEX($C$183:$C$310,$B287+2^3)))</f>
        <v>0</v>
      </c>
      <c r="L287" s="316">
        <f>IF(MOD(INT($E287/2^4),2)=1,0,FACT($G287)*FACT(5-$G287)/FACT(6)*IF($F287=1,1,-1)*($C287-INDEX($C$183:$C$310,$B287+2^4)))</f>
        <v>0.00027984835222546095</v>
      </c>
      <c r="M287" s="316">
        <f>IF(MOD(INT($E287/2^5),2)=1,0,FACT($G287)*FACT(5-$G287)/FACT(6)*IF($F287=1,1,-1)*($C287-INDEX($C$183:$C$310,$B287+2^5)))</f>
        <v>0</v>
      </c>
      <c r="N287" s="4"/>
      <c r="O287" s="4"/>
      <c r="P287" s="4"/>
      <c r="Q287" s="4"/>
      <c r="R287" s="4"/>
      <c r="S287" s="4"/>
      <c r="T287" s="4"/>
      <c r="U287" s="4"/>
      <c r="V287" s="4"/>
      <c r="W287" s="4"/>
      <c r="X287" s="4"/>
      <c r="Y287" s="4"/>
      <c r="Z287" s="4"/>
      <c r="AA287" s="4"/>
      <c r="AB287" s="4"/>
      <c r="AC287" s="4"/>
      <c r="AD287" s="4"/>
      <c r="AE287" s="4"/>
      <c r="AF287" s="4"/>
      <c r="AG287" s="4"/>
      <c r="AH287" s="4"/>
    </row>
    <row r="288" ht="12.75" hidden="1" outlineLevel="1">
      <c r="A288" s="4"/>
      <c r="B288" s="4">
        <f>ROW()-ROW($B$182)</f>
        <v>106</v>
      </c>
      <c r="C288" s="187">
        <v>0.24069449699847456</v>
      </c>
      <c r="D288" s="190">
        <v>2.9398439604971816</v>
      </c>
      <c r="E288" s="4">
        <f>MOD(B288-1,64)</f>
        <v>41</v>
      </c>
      <c r="F288" s="4">
        <f>IF(B288&lt;=64,1,2)</f>
        <v>2</v>
      </c>
      <c r="G288" s="4">
        <f>SUMPRODUCT(MOD(INT(E288/2^({0,1,2,3,4,5})),2))</f>
        <v>3</v>
      </c>
      <c r="H288" s="316">
        <f>IF(MOD(INT($E288/2^0),2)=1,0,FACT($G288)*FACT(5-$G288)/FACT(6)*IF($F288=1,1,-1)*($C288-INDEX($C$183:$C$310,$B288+2^0)))</f>
        <v>0</v>
      </c>
      <c r="I288" s="316">
        <f>IF(MOD(INT($E288/2^1),2)=1,0,FACT($G288)*FACT(5-$G288)/FACT(6)*IF($F288=1,1,-1)*($C288-INDEX($C$183:$C$310,$B288+2^1)))</f>
        <v>0.00020948511888600288</v>
      </c>
      <c r="J288" s="316">
        <f>IF(MOD(INT($E288/2^2),2)=1,0,FACT($G288)*FACT(5-$G288)/FACT(6)*IF($F288=1,1,-1)*($C288-INDEX($C$183:$C$310,$B288+2^2)))</f>
        <v>0.00010005312151206332</v>
      </c>
      <c r="K288" s="316">
        <f>IF(MOD(INT($E288/2^3),2)=1,0,FACT($G288)*FACT(5-$G288)/FACT(6)*IF($F288=1,1,-1)*($C288-INDEX($C$183:$C$310,$B288+2^3)))</f>
        <v>0</v>
      </c>
      <c r="L288" s="316">
        <f>IF(MOD(INT($E288/2^4),2)=1,0,FACT($G288)*FACT(5-$G288)/FACT(6)*IF($F288=1,1,-1)*($C288-INDEX($C$183:$C$310,$B288+2^4)))</f>
        <v>0.0002793375604201231</v>
      </c>
      <c r="M288" s="316">
        <f>IF(MOD(INT($E288/2^5),2)=1,0,FACT($G288)*FACT(5-$G288)/FACT(6)*IF($F288=1,1,-1)*($C288-INDEX($C$183:$C$310,$B288+2^5)))</f>
        <v>0</v>
      </c>
      <c r="N288" s="4"/>
      <c r="O288" s="4"/>
      <c r="P288" s="4"/>
      <c r="Q288" s="4"/>
      <c r="R288" s="4"/>
      <c r="S288" s="4"/>
      <c r="T288" s="4"/>
      <c r="U288" s="4"/>
      <c r="V288" s="4"/>
      <c r="W288" s="4"/>
      <c r="X288" s="4"/>
      <c r="Y288" s="4"/>
      <c r="Z288" s="4"/>
      <c r="AA288" s="4"/>
      <c r="AB288" s="4"/>
      <c r="AC288" s="4"/>
      <c r="AD288" s="4"/>
      <c r="AE288" s="4"/>
      <c r="AF288" s="4"/>
      <c r="AG288" s="4"/>
      <c r="AH288" s="4"/>
    </row>
    <row r="289" ht="12.75" hidden="1" outlineLevel="1">
      <c r="A289" s="4"/>
      <c r="B289" s="4">
        <f>ROW()-ROW($B$182)</f>
        <v>107</v>
      </c>
      <c r="C289" s="187">
        <v>0.24466162420524218</v>
      </c>
      <c r="D289" s="190">
        <v>2.987146326885704</v>
      </c>
      <c r="E289" s="4">
        <f>MOD(B289-1,64)</f>
        <v>42</v>
      </c>
      <c r="F289" s="4">
        <f>IF(B289&lt;=64,1,2)</f>
        <v>2</v>
      </c>
      <c r="G289" s="4">
        <f>SUMPRODUCT(MOD(INT(E289/2^({0,1,2,3,4,5})),2))</f>
        <v>3</v>
      </c>
      <c r="H289" s="316">
        <f>IF(MOD(INT($E289/2^0),2)=1,0,FACT($G289)*FACT(5-$G289)/FACT(6)*IF($F289=1,1,-1)*($C289-INDEX($C$183:$C$310,$B289+2^0)))</f>
        <v>0.0001433663321065426</v>
      </c>
      <c r="I289" s="316">
        <f>IF(MOD(INT($E289/2^1),2)=1,0,FACT($G289)*FACT(5-$G289)/FACT(6)*IF($F289=1,1,-1)*($C289-INDEX($C$183:$C$310,$B289+2^1)))</f>
        <v>0</v>
      </c>
      <c r="J289" s="316">
        <f>IF(MOD(INT($E289/2^2),2)=1,0,FACT($G289)*FACT(5-$G289)/FACT(6)*IF($F289=1,1,-1)*($C289-INDEX($C$183:$C$310,$B289+2^2)))</f>
        <v>0.00009500776030354115</v>
      </c>
      <c r="K289" s="316">
        <f>IF(MOD(INT($E289/2^3),2)=1,0,FACT($G289)*FACT(5-$G289)/FACT(6)*IF($F289=1,1,-1)*($C289-INDEX($C$183:$C$310,$B289+2^3)))</f>
        <v>0</v>
      </c>
      <c r="L289" s="316">
        <f>IF(MOD(INT($E289/2^4),2)=1,0,FACT($G289)*FACT(5-$G289)/FACT(6)*IF($F289=1,1,-1)*($C289-INDEX($C$183:$C$310,$B289+2^4)))</f>
        <v>0.0002750074924919595</v>
      </c>
      <c r="M289" s="316">
        <f>IF(MOD(INT($E289/2^5),2)=1,0,FACT($G289)*FACT(5-$G289)/FACT(6)*IF($F289=1,1,-1)*($C289-INDEX($C$183:$C$310,$B289+2^5)))</f>
        <v>0</v>
      </c>
      <c r="N289" s="4"/>
      <c r="O289" s="4"/>
      <c r="P289" s="4"/>
      <c r="Q289" s="4"/>
      <c r="R289" s="4"/>
      <c r="S289" s="4"/>
      <c r="T289" s="4"/>
      <c r="U289" s="4"/>
      <c r="V289" s="4"/>
      <c r="W289" s="4"/>
      <c r="X289" s="4"/>
      <c r="Y289" s="4"/>
      <c r="Z289" s="4"/>
      <c r="AA289" s="4"/>
      <c r="AB289" s="4"/>
      <c r="AC289" s="4"/>
      <c r="AD289" s="4"/>
      <c r="AE289" s="4"/>
      <c r="AF289" s="4"/>
      <c r="AG289" s="4"/>
      <c r="AH289" s="4"/>
    </row>
    <row r="290" ht="12.75" hidden="1" outlineLevel="1">
      <c r="A290" s="4"/>
      <c r="B290" s="4">
        <f>ROW()-ROW($B$182)</f>
        <v>108</v>
      </c>
      <c r="C290" s="187">
        <v>0.25326360413163473</v>
      </c>
      <c r="D290" s="190">
        <v>3.0918053035025745</v>
      </c>
      <c r="E290" s="4">
        <f>MOD(B290-1,64)</f>
        <v>43</v>
      </c>
      <c r="F290" s="4">
        <f>IF(B290&lt;=64,1,2)</f>
        <v>2</v>
      </c>
      <c r="G290" s="4">
        <f>SUMPRODUCT(MOD(INT(E290/2^({0,1,2,3,4,5})),2))</f>
        <v>4</v>
      </c>
      <c r="H290" s="316">
        <f>IF(MOD(INT($E290/2^0),2)=1,0,FACT($G290)*FACT(5-$G290)/FACT(6)*IF($F290=1,1,-1)*($C290-INDEX($C$183:$C$310,$B290+2^0)))</f>
        <v>0</v>
      </c>
      <c r="I290" s="316">
        <f>IF(MOD(INT($E290/2^1),2)=1,0,FACT($G290)*FACT(5-$G290)/FACT(6)*IF($F290=1,1,-1)*($C290-INDEX($C$183:$C$310,$B290+2^1)))</f>
        <v>0</v>
      </c>
      <c r="J290" s="316">
        <f>IF(MOD(INT($E290/2^2),2)=1,0,FACT($G290)*FACT(5-$G290)/FACT(6)*IF($F290=1,1,-1)*($C290-INDEX($C$183:$C$310,$B290+2^2)))</f>
        <v>0.0001961849955084638</v>
      </c>
      <c r="K290" s="316">
        <f>IF(MOD(INT($E290/2^3),2)=1,0,FACT($G290)*FACT(5-$G290)/FACT(6)*IF($F290=1,1,-1)*($C290-INDEX($C$183:$C$310,$B290+2^3)))</f>
        <v>0</v>
      </c>
      <c r="L290" s="316">
        <f>IF(MOD(INT($E290/2^4),2)=1,0,FACT($G290)*FACT(5-$G290)/FACT(6)*IF($F290=1,1,-1)*($C290-INDEX($C$183:$C$310,$B290+2^4)))</f>
        <v>0.0005493681407711781</v>
      </c>
      <c r="M290" s="316">
        <f>IF(MOD(INT($E290/2^5),2)=1,0,FACT($G290)*FACT(5-$G290)/FACT(6)*IF($F290=1,1,-1)*($C290-INDEX($C$183:$C$310,$B290+2^5)))</f>
        <v>0</v>
      </c>
      <c r="N290" s="4"/>
      <c r="O290" s="4"/>
      <c r="P290" s="4"/>
      <c r="Q290" s="4"/>
      <c r="R290" s="4"/>
      <c r="S290" s="4"/>
      <c r="T290" s="4"/>
      <c r="U290" s="4"/>
      <c r="V290" s="4"/>
      <c r="W290" s="4"/>
      <c r="X290" s="4"/>
      <c r="Y290" s="4"/>
      <c r="Z290" s="4"/>
      <c r="AA290" s="4"/>
      <c r="AB290" s="4"/>
      <c r="AC290" s="4"/>
      <c r="AD290" s="4"/>
      <c r="AE290" s="4"/>
      <c r="AF290" s="4"/>
      <c r="AG290" s="4"/>
      <c r="AH290" s="4"/>
    </row>
    <row r="291" ht="12.75" hidden="1" outlineLevel="1">
      <c r="A291" s="4"/>
      <c r="B291" s="4">
        <f>ROW()-ROW($B$182)</f>
        <v>109</v>
      </c>
      <c r="C291" s="187">
        <v>0.23777151434155974</v>
      </c>
      <c r="D291" s="190">
        <v>2.9053764958745076</v>
      </c>
      <c r="E291" s="4">
        <f>MOD(B291-1,64)</f>
        <v>44</v>
      </c>
      <c r="F291" s="4">
        <f>IF(B291&lt;=64,1,2)</f>
        <v>2</v>
      </c>
      <c r="G291" s="4">
        <f>SUMPRODUCT(MOD(INT(E291/2^({0,1,2,3,4,5})),2))</f>
        <v>3</v>
      </c>
      <c r="H291" s="316">
        <f>IF(MOD(INT($E291/2^0),2)=1,0,FACT($G291)*FACT(5-$G291)/FACT(6)*IF($F291=1,1,-1)*($C291-INDEX($C$183:$C$310,$B291+2^0)))</f>
        <v>0.0001487694991273103</v>
      </c>
      <c r="I291" s="316">
        <f>IF(MOD(INT($E291/2^1),2)=1,0,FACT($G291)*FACT(5-$G291)/FACT(6)*IF($F291=1,1,-1)*($C291-INDEX($C$183:$C$310,$B291+2^1)))</f>
        <v>0.00020984292469824843</v>
      </c>
      <c r="J291" s="316">
        <f>IF(MOD(INT($E291/2^2),2)=1,0,FACT($G291)*FACT(5-$G291)/FACT(6)*IF($F291=1,1,-1)*($C291-INDEX($C$183:$C$310,$B291+2^2)))</f>
        <v>0</v>
      </c>
      <c r="K291" s="316">
        <f>IF(MOD(INT($E291/2^3),2)=1,0,FACT($G291)*FACT(5-$G291)/FACT(6)*IF($F291=1,1,-1)*($C291-INDEX($C$183:$C$310,$B291+2^3)))</f>
        <v>0</v>
      </c>
      <c r="L291" s="316">
        <f>IF(MOD(INT($E291/2^4),2)=1,0,FACT($G291)*FACT(5-$G291)/FACT(6)*IF($F291=1,1,-1)*($C291-INDEX($C$183:$C$310,$B291+2^4)))</f>
        <v>0.00027950388408788386</v>
      </c>
      <c r="M291" s="316">
        <f>IF(MOD(INT($E291/2^5),2)=1,0,FACT($G291)*FACT(5-$G291)/FACT(6)*IF($F291=1,1,-1)*($C291-INDEX($C$183:$C$310,$B291+2^5)))</f>
        <v>0</v>
      </c>
      <c r="N291" s="4"/>
      <c r="O291" s="4"/>
      <c r="P291" s="4"/>
      <c r="Q291" s="4"/>
      <c r="R291" s="4"/>
      <c r="S291" s="4"/>
      <c r="T291" s="4"/>
      <c r="U291" s="4"/>
      <c r="V291" s="4"/>
      <c r="W291" s="4"/>
      <c r="X291" s="4"/>
      <c r="Y291" s="4"/>
      <c r="Z291" s="4"/>
      <c r="AA291" s="4"/>
      <c r="AB291" s="4"/>
      <c r="AC291" s="4"/>
      <c r="AD291" s="4"/>
      <c r="AE291" s="4"/>
      <c r="AF291" s="4"/>
      <c r="AG291" s="4"/>
      <c r="AH291" s="4"/>
    </row>
    <row r="292" ht="12.75" hidden="1" outlineLevel="1">
      <c r="A292" s="4"/>
      <c r="B292" s="4">
        <f>ROW()-ROW($B$182)</f>
        <v>110</v>
      </c>
      <c r="C292" s="187">
        <v>0.24669768428919836</v>
      </c>
      <c r="D292" s="190">
        <v>3.0116587733920483</v>
      </c>
      <c r="E292" s="4">
        <f>MOD(B292-1,64)</f>
        <v>45</v>
      </c>
      <c r="F292" s="4">
        <f>IF(B292&lt;=64,1,2)</f>
        <v>2</v>
      </c>
      <c r="G292" s="4">
        <f>SUMPRODUCT(MOD(INT(E292/2^({0,1,2,3,4,5})),2))</f>
        <v>4</v>
      </c>
      <c r="H292" s="316">
        <f>IF(MOD(INT($E292/2^0),2)=1,0,FACT($G292)*FACT(5-$G292)/FACT(6)*IF($F292=1,1,-1)*($C292-INDEX($C$183:$C$310,$B292+2^0)))</f>
        <v>0</v>
      </c>
      <c r="I292" s="316">
        <f>IF(MOD(INT($E292/2^1),2)=1,0,FACT($G292)*FACT(5-$G292)/FACT(6)*IF($F292=1,1,-1)*($C292-INDEX($C$183:$C$310,$B292+2^1)))</f>
        <v>0.0004150489902563429</v>
      </c>
      <c r="J292" s="316">
        <f>IF(MOD(INT($E292/2^2),2)=1,0,FACT($G292)*FACT(5-$G292)/FACT(6)*IF($F292=1,1,-1)*($C292-INDEX($C$183:$C$310,$B292+2^2)))</f>
        <v>0</v>
      </c>
      <c r="K292" s="316">
        <f>IF(MOD(INT($E292/2^3),2)=1,0,FACT($G292)*FACT(5-$G292)/FACT(6)*IF($F292=1,1,-1)*($C292-INDEX($C$183:$C$310,$B292+2^3)))</f>
        <v>0</v>
      </c>
      <c r="L292" s="316">
        <f>IF(MOD(INT($E292/2^4),2)=1,0,FACT($G292)*FACT(5-$G292)/FACT(6)*IF($F292=1,1,-1)*($C292-INDEX($C$183:$C$310,$B292+2^4)))</f>
        <v>0.0005580727572732424</v>
      </c>
      <c r="M292" s="316">
        <f>IF(MOD(INT($E292/2^5),2)=1,0,FACT($G292)*FACT(5-$G292)/FACT(6)*IF($F292=1,1,-1)*($C292-INDEX($C$183:$C$310,$B292+2^5)))</f>
        <v>0</v>
      </c>
      <c r="N292" s="4"/>
      <c r="O292" s="4"/>
      <c r="P292" s="4"/>
      <c r="Q292" s="4"/>
      <c r="R292" s="4"/>
      <c r="S292" s="4"/>
      <c r="T292" s="4"/>
      <c r="U292" s="4"/>
      <c r="V292" s="4"/>
      <c r="W292" s="4"/>
      <c r="X292" s="4"/>
      <c r="Y292" s="4"/>
      <c r="Z292" s="4"/>
      <c r="AA292" s="4"/>
      <c r="AB292" s="4"/>
      <c r="AC292" s="4"/>
      <c r="AD292" s="4"/>
      <c r="AE292" s="4"/>
      <c r="AF292" s="4"/>
      <c r="AG292" s="4"/>
      <c r="AH292" s="4"/>
    </row>
    <row r="293" ht="12.75" hidden="1" outlineLevel="1">
      <c r="A293" s="4"/>
      <c r="B293" s="4">
        <f>ROW()-ROW($B$182)</f>
        <v>111</v>
      </c>
      <c r="C293" s="187">
        <v>0.25036208982345465</v>
      </c>
      <c r="D293" s="190">
        <v>3.0561804157555366</v>
      </c>
      <c r="E293" s="4">
        <f>MOD(B293-1,64)</f>
        <v>46</v>
      </c>
      <c r="F293" s="4">
        <f>IF(B293&lt;=64,1,2)</f>
        <v>2</v>
      </c>
      <c r="G293" s="4">
        <f>SUMPRODUCT(MOD(INT(E293/2^({0,1,2,3,4,5})),2))</f>
        <v>4</v>
      </c>
      <c r="H293" s="316">
        <f>IF(MOD(INT($E293/2^0),2)=1,0,FACT($G293)*FACT(5-$G293)/FACT(6)*IF($F293=1,1,-1)*($C293-INDEX($C$183:$C$310,$B293+2^0)))</f>
        <v>0.0002929021391144667</v>
      </c>
      <c r="I293" s="316">
        <f>IF(MOD(INT($E293/2^1),2)=1,0,FACT($G293)*FACT(5-$G293)/FACT(6)*IF($F293=1,1,-1)*($C293-INDEX($C$183:$C$310,$B293+2^1)))</f>
        <v>0</v>
      </c>
      <c r="J293" s="316">
        <f>IF(MOD(INT($E293/2^2),2)=1,0,FACT($G293)*FACT(5-$G293)/FACT(6)*IF($F293=1,1,-1)*($C293-INDEX($C$183:$C$310,$B293+2^2)))</f>
        <v>0</v>
      </c>
      <c r="K293" s="316">
        <f>IF(MOD(INT($E293/2^3),2)=1,0,FACT($G293)*FACT(5-$G293)/FACT(6)*IF($F293=1,1,-1)*($C293-INDEX($C$183:$C$310,$B293+2^3)))</f>
        <v>0</v>
      </c>
      <c r="L293" s="316">
        <f>IF(MOD(INT($E293/2^4),2)=1,0,FACT($G293)*FACT(5-$G293)/FACT(6)*IF($F293=1,1,-1)*($C293-INDEX($C$183:$C$310,$B293+2^4)))</f>
        <v>0.0005496217398510842</v>
      </c>
      <c r="M293" s="316">
        <f>IF(MOD(INT($E293/2^5),2)=1,0,FACT($G293)*FACT(5-$G293)/FACT(6)*IF($F293=1,1,-1)*($C293-INDEX($C$183:$C$310,$B293+2^5)))</f>
        <v>0</v>
      </c>
      <c r="N293" s="4"/>
      <c r="O293" s="4"/>
      <c r="P293" s="4"/>
      <c r="Q293" s="4"/>
      <c r="R293" s="4"/>
      <c r="S293" s="4"/>
      <c r="T293" s="4"/>
      <c r="U293" s="4"/>
      <c r="V293" s="4"/>
      <c r="W293" s="4"/>
      <c r="X293" s="4"/>
      <c r="Y293" s="4"/>
      <c r="Z293" s="4"/>
      <c r="AA293" s="4"/>
      <c r="AB293" s="4"/>
      <c r="AC293" s="4"/>
      <c r="AD293" s="4"/>
      <c r="AE293" s="4"/>
      <c r="AF293" s="4"/>
      <c r="AG293" s="4"/>
      <c r="AH293" s="4"/>
    </row>
    <row r="294" ht="12.75" hidden="1" outlineLevel="1">
      <c r="A294" s="4"/>
      <c r="B294" s="4">
        <f>ROW()-ROW($B$182)</f>
        <v>112</v>
      </c>
      <c r="C294" s="187">
        <v>0.25914915399688865</v>
      </c>
      <c r="D294" s="190">
        <v>3.1650887342015275</v>
      </c>
      <c r="E294" s="4">
        <f>MOD(B294-1,64)</f>
        <v>47</v>
      </c>
      <c r="F294" s="4">
        <f>IF(B294&lt;=64,1,2)</f>
        <v>2</v>
      </c>
      <c r="G294" s="4">
        <f>SUMPRODUCT(MOD(INT(E294/2^({0,1,2,3,4,5})),2))</f>
        <v>5</v>
      </c>
      <c r="H294" s="316">
        <f>IF(MOD(INT($E294/2^0),2)=1,0,FACT($G294)*FACT(5-$G294)/FACT(6)*IF($F294=1,1,-1)*($C294-INDEX($C$183:$C$310,$B294+2^0)))</f>
        <v>0</v>
      </c>
      <c r="I294" s="316">
        <f>IF(MOD(INT($E294/2^1),2)=1,0,FACT($G294)*FACT(5-$G294)/FACT(6)*IF($F294=1,1,-1)*($C294-INDEX($C$183:$C$310,$B294+2^1)))</f>
        <v>0</v>
      </c>
      <c r="J294" s="316">
        <f>IF(MOD(INT($E294/2^2),2)=1,0,FACT($G294)*FACT(5-$G294)/FACT(6)*IF($F294=1,1,-1)*($C294-INDEX($C$183:$C$310,$B294+2^2)))</f>
        <v>0</v>
      </c>
      <c r="K294" s="316">
        <f>IF(MOD(INT($E294/2^3),2)=1,0,FACT($G294)*FACT(5-$G294)/FACT(6)*IF($F294=1,1,-1)*($C294-INDEX($C$183:$C$310,$B294+2^3)))</f>
        <v>0</v>
      </c>
      <c r="L294" s="316">
        <f>IF(MOD(INT($E294/2^4),2)=1,0,FACT($G294)*FACT(5-$G294)/FACT(6)*IF($F294=1,1,-1)*($C294-INDEX($C$183:$C$310,$B294+2^4)))</f>
        <v>0.0027452873240093227</v>
      </c>
      <c r="M294" s="316">
        <f>IF(MOD(INT($E294/2^5),2)=1,0,FACT($G294)*FACT(5-$G294)/FACT(6)*IF($F294=1,1,-1)*($C294-INDEX($C$183:$C$310,$B294+2^5)))</f>
        <v>0</v>
      </c>
      <c r="N294" s="4"/>
      <c r="O294" s="4"/>
      <c r="P294" s="4"/>
      <c r="Q294" s="4"/>
      <c r="R294" s="4"/>
      <c r="S294" s="4"/>
      <c r="T294" s="4"/>
      <c r="U294" s="4"/>
      <c r="V294" s="4"/>
      <c r="W294" s="4"/>
      <c r="X294" s="4"/>
      <c r="Y294" s="4"/>
      <c r="Z294" s="4"/>
      <c r="AA294" s="4"/>
      <c r="AB294" s="4"/>
      <c r="AC294" s="4"/>
      <c r="AD294" s="4"/>
      <c r="AE294" s="4"/>
      <c r="AF294" s="4"/>
      <c r="AG294" s="4"/>
      <c r="AH294" s="4"/>
    </row>
    <row r="295" ht="12.75" hidden="1" outlineLevel="1">
      <c r="A295" s="4"/>
      <c r="B295" s="4">
        <f>ROW()-ROW($B$182)</f>
        <v>113</v>
      </c>
      <c r="C295" s="187">
        <v>0.23724400597145823</v>
      </c>
      <c r="D295" s="190">
        <v>2.8991907635502088</v>
      </c>
      <c r="E295" s="4">
        <f>MOD(B295-1,64)</f>
        <v>48</v>
      </c>
      <c r="F295" s="4">
        <f>IF(B295&lt;=64,1,2)</f>
        <v>2</v>
      </c>
      <c r="G295" s="4">
        <f>SUMPRODUCT(MOD(INT(E295/2^({0,1,2,3,4,5})),2))</f>
        <v>2</v>
      </c>
      <c r="H295" s="316">
        <f>IF(MOD(INT($E295/2^0),2)=1,0,FACT($G295)*FACT(5-$G295)/FACT(6)*IF($F295=1,1,-1)*($C295-INDEX($C$183:$C$310,$B295+2^0)))</f>
        <v>0.00014694045793068878</v>
      </c>
      <c r="I295" s="316">
        <f>IF(MOD(INT($E295/2^1),2)=1,0,FACT($G295)*FACT(5-$G295)/FACT(6)*IF($F295=1,1,-1)*($C295-INDEX($C$183:$C$310,$B295+2^1)))</f>
        <v>0.00020999584267710942</v>
      </c>
      <c r="J295" s="316">
        <f>IF(MOD(INT($E295/2^2),2)=1,0,FACT($G295)*FACT(5-$G295)/FACT(6)*IF($F295=1,1,-1)*($C295-INDEX($C$183:$C$310,$B295+2^2)))</f>
        <v>0.00010023375862368011</v>
      </c>
      <c r="K295" s="316">
        <f>IF(MOD(INT($E295/2^3),2)=1,0,FACT($G295)*FACT(5-$G295)/FACT(6)*IF($F295=1,1,-1)*($C295-INDEX($C$183:$C$310,$B295+2^3)))</f>
        <v>0.00019166138613844937</v>
      </c>
      <c r="L295" s="316">
        <f>IF(MOD(INT($E295/2^4),2)=1,0,FACT($G295)*FACT(5-$G295)/FACT(6)*IF($F295=1,1,-1)*($C295-INDEX($C$183:$C$310,$B295+2^4)))</f>
        <v>0</v>
      </c>
      <c r="M295" s="316">
        <f>IF(MOD(INT($E295/2^5),2)=1,0,FACT($G295)*FACT(5-$G295)/FACT(6)*IF($F295=1,1,-1)*($C295-INDEX($C$183:$C$310,$B295+2^5)))</f>
        <v>0</v>
      </c>
      <c r="N295" s="4"/>
      <c r="O295" s="4"/>
      <c r="P295" s="4"/>
      <c r="Q295" s="4"/>
      <c r="R295" s="4"/>
      <c r="S295" s="4"/>
      <c r="T295" s="4"/>
      <c r="U295" s="4"/>
      <c r="V295" s="4"/>
      <c r="W295" s="4"/>
      <c r="X295" s="4"/>
      <c r="Y295" s="4"/>
      <c r="Z295" s="4"/>
      <c r="AA295" s="4"/>
      <c r="AB295" s="4"/>
      <c r="AC295" s="4"/>
      <c r="AD295" s="4"/>
      <c r="AE295" s="4"/>
      <c r="AF295" s="4"/>
      <c r="AG295" s="4"/>
      <c r="AH295" s="4"/>
    </row>
    <row r="296" ht="12.75" hidden="1" outlineLevel="1">
      <c r="A296" s="4"/>
      <c r="B296" s="4">
        <f>ROW()-ROW($B$182)</f>
        <v>114</v>
      </c>
      <c r="C296" s="187">
        <v>0.24606043344729955</v>
      </c>
      <c r="D296" s="190">
        <v>3.0039695752339255</v>
      </c>
      <c r="E296" s="4">
        <f>MOD(B296-1,64)</f>
        <v>49</v>
      </c>
      <c r="F296" s="4">
        <f>IF(B296&lt;=64,1,2)</f>
        <v>2</v>
      </c>
      <c r="G296" s="4">
        <f>SUMPRODUCT(MOD(INT(E296/2^({0,1,2,3,4,5})),2))</f>
        <v>3</v>
      </c>
      <c r="H296" s="316">
        <f>IF(MOD(INT($E296/2^0),2)=1,0,FACT($G296)*FACT(5-$G296)/FACT(6)*IF($F296=1,1,-1)*($C296-INDEX($C$183:$C$310,$B296+2^0)))</f>
        <v>0</v>
      </c>
      <c r="I296" s="316">
        <f>IF(MOD(INT($E296/2^1),2)=1,0,FACT($G296)*FACT(5-$G296)/FACT(6)*IF($F296=1,1,-1)*($C296-INDEX($C$183:$C$310,$B296+2^1)))</f>
        <v>0.0002077070482693825</v>
      </c>
      <c r="J296" s="316">
        <f>IF(MOD(INT($E296/2^2),2)=1,0,FACT($G296)*FACT(5-$G296)/FACT(6)*IF($F296=1,1,-1)*($C296-INDEX($C$183:$C$310,$B296+2^2)))</f>
        <v>0.00010340553338386015</v>
      </c>
      <c r="K296" s="316">
        <f>IF(MOD(INT($E296/2^3),2)=1,0,FACT($G296)*FACT(5-$G296)/FACT(6)*IF($F296=1,1,-1)*($C296-INDEX($C$183:$C$310,$B296+2^3)))</f>
        <v>0.00018990528627303992</v>
      </c>
      <c r="L296" s="316">
        <f>IF(MOD(INT($E296/2^4),2)=1,0,FACT($G296)*FACT(5-$G296)/FACT(6)*IF($F296=1,1,-1)*($C296-INDEX($C$183:$C$310,$B296+2^4)))</f>
        <v>0</v>
      </c>
      <c r="M296" s="316">
        <f>IF(MOD(INT($E296/2^5),2)=1,0,FACT($G296)*FACT(5-$G296)/FACT(6)*IF($F296=1,1,-1)*($C296-INDEX($C$183:$C$310,$B296+2^5)))</f>
        <v>0</v>
      </c>
      <c r="N296" s="4"/>
      <c r="O296" s="4"/>
      <c r="P296" s="4"/>
      <c r="Q296" s="4"/>
      <c r="R296" s="4"/>
      <c r="S296" s="4"/>
      <c r="T296" s="4"/>
      <c r="U296" s="4"/>
      <c r="V296" s="4"/>
      <c r="W296" s="4"/>
      <c r="X296" s="4"/>
      <c r="Y296" s="4"/>
      <c r="Z296" s="4"/>
      <c r="AA296" s="4"/>
      <c r="AB296" s="4"/>
      <c r="AC296" s="4"/>
      <c r="AD296" s="4"/>
      <c r="AE296" s="4"/>
      <c r="AF296" s="4"/>
      <c r="AG296" s="4"/>
      <c r="AH296" s="4"/>
    </row>
    <row r="297" ht="12.75" hidden="1" outlineLevel="1">
      <c r="A297" s="4"/>
      <c r="B297" s="4">
        <f>ROW()-ROW($B$182)</f>
        <v>115</v>
      </c>
      <c r="C297" s="187">
        <v>0.2498437565320848</v>
      </c>
      <c r="D297" s="190">
        <v>3.049851020342248</v>
      </c>
      <c r="E297" s="4">
        <f>MOD(B297-1,64)</f>
        <v>50</v>
      </c>
      <c r="F297" s="4">
        <f>IF(B297&lt;=64,1,2)</f>
        <v>2</v>
      </c>
      <c r="G297" s="4">
        <f>SUMPRODUCT(MOD(INT(E297/2^({0,1,2,3,4,5})),2))</f>
        <v>3</v>
      </c>
      <c r="H297" s="316">
        <f>IF(MOD(INT($E297/2^0),2)=1,0,FACT($G297)*FACT(5-$G297)/FACT(6)*IF($F297=1,1,-1)*($C297-INDEX($C$183:$C$310,$B297+2^0)))</f>
        <v>0.00014465166352296184</v>
      </c>
      <c r="I297" s="316">
        <f>IF(MOD(INT($E297/2^1),2)=1,0,FACT($G297)*FACT(5-$G297)/FACT(6)*IF($F297=1,1,-1)*($C297-INDEX($C$183:$C$310,$B297+2^1)))</f>
        <v>0</v>
      </c>
      <c r="J297" s="316">
        <f>IF(MOD(INT($E297/2^2),2)=1,0,FACT($G297)*FACT(5-$G297)/FACT(6)*IF($F297=1,1,-1)*($C297-INDEX($C$183:$C$310,$B297+2^2)))</f>
        <v>0.00009825193569252451</v>
      </c>
      <c r="K297" s="316">
        <f>IF(MOD(INT($E297/2^3),2)=1,0,FACT($G297)*FACT(5-$G297)/FACT(6)*IF($F297=1,1,-1)*($C297-INDEX($C$183:$C$310,$B297+2^3)))</f>
        <v>0.00018863862037791593</v>
      </c>
      <c r="L297" s="316">
        <f>IF(MOD(INT($E297/2^4),2)=1,0,FACT($G297)*FACT(5-$G297)/FACT(6)*IF($F297=1,1,-1)*($C297-INDEX($C$183:$C$310,$B297+2^4)))</f>
        <v>0</v>
      </c>
      <c r="M297" s="316">
        <f>IF(MOD(INT($E297/2^5),2)=1,0,FACT($G297)*FACT(5-$G297)/FACT(6)*IF($F297=1,1,-1)*($C297-INDEX($C$183:$C$310,$B297+2^5)))</f>
        <v>0</v>
      </c>
      <c r="N297" s="4"/>
      <c r="O297" s="4"/>
      <c r="P297" s="4"/>
      <c r="Q297" s="4"/>
      <c r="R297" s="4"/>
      <c r="S297" s="4"/>
      <c r="T297" s="4"/>
      <c r="U297" s="4"/>
      <c r="V297" s="4"/>
      <c r="W297" s="4"/>
      <c r="X297" s="4"/>
      <c r="Y297" s="4"/>
      <c r="Z297" s="4"/>
      <c r="AA297" s="4"/>
      <c r="AB297" s="4"/>
      <c r="AC297" s="4"/>
      <c r="AD297" s="4"/>
      <c r="AE297" s="4"/>
      <c r="AF297" s="4"/>
      <c r="AG297" s="4"/>
      <c r="AH297" s="4"/>
    </row>
    <row r="298" ht="12.75" hidden="1" outlineLevel="1">
      <c r="A298" s="4"/>
      <c r="B298" s="4">
        <f>ROW()-ROW($B$182)</f>
        <v>116</v>
      </c>
      <c r="C298" s="187">
        <v>0.2585228563434625</v>
      </c>
      <c r="D298" s="190">
        <v>3.157225024602229</v>
      </c>
      <c r="E298" s="4">
        <f>MOD(B298-1,64)</f>
        <v>51</v>
      </c>
      <c r="F298" s="4">
        <f>IF(B298&lt;=64,1,2)</f>
        <v>2</v>
      </c>
      <c r="G298" s="4">
        <f>SUMPRODUCT(MOD(INT(E298/2^({0,1,2,3,4,5})),2))</f>
        <v>4</v>
      </c>
      <c r="H298" s="316">
        <f>IF(MOD(INT($E298/2^0),2)=1,0,FACT($G298)*FACT(5-$G298)/FACT(6)*IF($F298=1,1,-1)*($C298-INDEX($C$183:$C$310,$B298+2^0)))</f>
        <v>0</v>
      </c>
      <c r="I298" s="316">
        <f>IF(MOD(INT($E298/2^1),2)=1,0,FACT($G298)*FACT(5-$G298)/FACT(6)*IF($F298=1,1,-1)*($C298-INDEX($C$183:$C$310,$B298+2^1)))</f>
        <v>0</v>
      </c>
      <c r="J298" s="316">
        <f>IF(MOD(INT($E298/2^2),2)=1,0,FACT($G298)*FACT(5-$G298)/FACT(6)*IF($F298=1,1,-1)*($C298-INDEX($C$183:$C$310,$B298+2^2)))</f>
        <v>0.00020287005594757563</v>
      </c>
      <c r="K298" s="316">
        <f>IF(MOD(INT($E298/2^3),2)=1,0,FACT($G298)*FACT(5-$G298)/FACT(6)*IF($F298=1,1,-1)*($C298-INDEX($C$183:$C$310,$B298+2^3)))</f>
        <v>0.0003740597337102525</v>
      </c>
      <c r="L298" s="316">
        <f>IF(MOD(INT($E298/2^4),2)=1,0,FACT($G298)*FACT(5-$G298)/FACT(6)*IF($F298=1,1,-1)*($C298-INDEX($C$183:$C$310,$B298+2^4)))</f>
        <v>0</v>
      </c>
      <c r="M298" s="316">
        <f>IF(MOD(INT($E298/2^5),2)=1,0,FACT($G298)*FACT(5-$G298)/FACT(6)*IF($F298=1,1,-1)*($C298-INDEX($C$183:$C$310,$B298+2^5)))</f>
        <v>0</v>
      </c>
      <c r="N298" s="4"/>
      <c r="O298" s="4"/>
      <c r="P298" s="4"/>
      <c r="Q298" s="4"/>
      <c r="R298" s="4"/>
      <c r="S298" s="4"/>
      <c r="T298" s="4"/>
      <c r="U298" s="4"/>
      <c r="V298" s="4"/>
      <c r="W298" s="4"/>
      <c r="X298" s="4"/>
      <c r="Y298" s="4"/>
      <c r="Z298" s="4"/>
      <c r="AA298" s="4"/>
      <c r="AB298" s="4"/>
      <c r="AC298" s="4"/>
      <c r="AD298" s="4"/>
      <c r="AE298" s="4"/>
      <c r="AF298" s="4"/>
      <c r="AG298" s="4"/>
      <c r="AH298" s="4"/>
    </row>
    <row r="299" ht="12.75" hidden="1" outlineLevel="1">
      <c r="A299" s="4"/>
      <c r="B299" s="4">
        <f>ROW()-ROW($B$182)</f>
        <v>117</v>
      </c>
      <c r="C299" s="187">
        <v>0.24325803148887903</v>
      </c>
      <c r="D299" s="190">
        <v>2.9703413929704126</v>
      </c>
      <c r="E299" s="4">
        <f>MOD(B299-1,64)</f>
        <v>52</v>
      </c>
      <c r="F299" s="4">
        <f>IF(B299&lt;=64,1,2)</f>
        <v>2</v>
      </c>
      <c r="G299" s="4">
        <f>SUMPRODUCT(MOD(INT(E299/2^({0,1,2,3,4,5})),2))</f>
        <v>3</v>
      </c>
      <c r="H299" s="316">
        <f>IF(MOD(INT($E299/2^0),2)=1,0,FACT($G299)*FACT(5-$G299)/FACT(6)*IF($F299=1,1,-1)*($C299-INDEX($C$183:$C$310,$B299+2^0)))</f>
        <v>0.0001501122326908688</v>
      </c>
      <c r="I299" s="316">
        <f>IF(MOD(INT($E299/2^1),2)=1,0,FACT($G299)*FACT(5-$G299)/FACT(6)*IF($F299=1,1,-1)*($C299-INDEX($C$183:$C$310,$B299+2^1)))</f>
        <v>0.00020801401974595383</v>
      </c>
      <c r="J299" s="316">
        <f>IF(MOD(INT($E299/2^2),2)=1,0,FACT($G299)*FACT(5-$G299)/FACT(6)*IF($F299=1,1,-1)*($C299-INDEX($C$183:$C$310,$B299+2^2)))</f>
        <v>0</v>
      </c>
      <c r="K299" s="316">
        <f>IF(MOD(INT($E299/2^3),2)=1,0,FACT($G299)*FACT(5-$G299)/FACT(6)*IF($F299=1,1,-1)*($C299-INDEX($C$183:$C$310,$B299+2^3)))</f>
        <v>0.0001880619316325623</v>
      </c>
      <c r="L299" s="316">
        <f>IF(MOD(INT($E299/2^4),2)=1,0,FACT($G299)*FACT(5-$G299)/FACT(6)*IF($F299=1,1,-1)*($C299-INDEX($C$183:$C$310,$B299+2^4)))</f>
        <v>0</v>
      </c>
      <c r="M299" s="316">
        <f>IF(MOD(INT($E299/2^5),2)=1,0,FACT($G299)*FACT(5-$G299)/FACT(6)*IF($F299=1,1,-1)*($C299-INDEX($C$183:$C$310,$B299+2^5)))</f>
        <v>0</v>
      </c>
      <c r="N299" s="4"/>
      <c r="O299" s="4"/>
      <c r="P299" s="4"/>
      <c r="Q299" s="4"/>
      <c r="R299" s="4"/>
      <c r="S299" s="4"/>
      <c r="T299" s="4"/>
      <c r="U299" s="4"/>
      <c r="V299" s="4"/>
      <c r="W299" s="4"/>
      <c r="X299" s="4"/>
      <c r="Y299" s="4"/>
      <c r="Z299" s="4"/>
      <c r="AA299" s="4"/>
      <c r="AB299" s="4"/>
      <c r="AC299" s="4"/>
      <c r="AD299" s="4"/>
      <c r="AE299" s="4"/>
      <c r="AF299" s="4"/>
      <c r="AG299" s="4"/>
      <c r="AH299" s="4"/>
    </row>
    <row r="300" ht="12.75" hidden="1" outlineLevel="1">
      <c r="A300" s="4"/>
      <c r="B300" s="4">
        <f>ROW()-ROW($B$182)</f>
        <v>118</v>
      </c>
      <c r="C300" s="187">
        <v>0.25226476545033116</v>
      </c>
      <c r="D300" s="190">
        <v>3.0795042357520273</v>
      </c>
      <c r="E300" s="4">
        <f>MOD(B300-1,64)</f>
        <v>53</v>
      </c>
      <c r="F300" s="4">
        <f>IF(B300&lt;=64,1,2)</f>
        <v>2</v>
      </c>
      <c r="G300" s="4">
        <f>SUMPRODUCT(MOD(INT(E300/2^({0,1,2,3,4,5})),2))</f>
        <v>4</v>
      </c>
      <c r="H300" s="316">
        <f>IF(MOD(INT($E300/2^0),2)=1,0,FACT($G300)*FACT(5-$G300)/FACT(6)*IF($F300=1,1,-1)*($C300-INDEX($C$183:$C$310,$B300+2^0)))</f>
        <v>0</v>
      </c>
      <c r="I300" s="316">
        <f>IF(MOD(INT($E300/2^1),2)=1,0,FACT($G300)*FACT(5-$G300)/FACT(6)*IF($F300=1,1,-1)*($C300-INDEX($C$183:$C$310,$B300+2^1)))</f>
        <v>0.00041147308571862033</v>
      </c>
      <c r="J300" s="316">
        <f>IF(MOD(INT($E300/2^2),2)=1,0,FACT($G300)*FACT(5-$G300)/FACT(6)*IF($F300=1,1,-1)*($C300-INDEX($C$183:$C$310,$B300+2^2)))</f>
        <v>0</v>
      </c>
      <c r="K300" s="316">
        <f>IF(MOD(INT($E300/2^3),2)=1,0,FACT($G300)*FACT(5-$G300)/FACT(6)*IF($F300=1,1,-1)*($C300-INDEX($C$183:$C$310,$B300+2^3)))</f>
        <v>0.00037250338523548234</v>
      </c>
      <c r="L300" s="316">
        <f>IF(MOD(INT($E300/2^4),2)=1,0,FACT($G300)*FACT(5-$G300)/FACT(6)*IF($F300=1,1,-1)*($C300-INDEX($C$183:$C$310,$B300+2^4)))</f>
        <v>0</v>
      </c>
      <c r="M300" s="316">
        <f>IF(MOD(INT($E300/2^5),2)=1,0,FACT($G300)*FACT(5-$G300)/FACT(6)*IF($F300=1,1,-1)*($C300-INDEX($C$183:$C$310,$B300+2^5)))</f>
        <v>0</v>
      </c>
      <c r="N300" s="4"/>
      <c r="O300" s="4"/>
      <c r="P300" s="4"/>
      <c r="Q300" s="4"/>
      <c r="R300" s="4"/>
      <c r="S300" s="4"/>
      <c r="T300" s="4"/>
      <c r="U300" s="4"/>
      <c r="V300" s="4"/>
      <c r="W300" s="4"/>
      <c r="X300" s="4"/>
      <c r="Y300" s="4"/>
      <c r="Z300" s="4"/>
      <c r="AA300" s="4"/>
      <c r="AB300" s="4"/>
      <c r="AC300" s="4"/>
      <c r="AD300" s="4"/>
      <c r="AE300" s="4"/>
      <c r="AF300" s="4"/>
      <c r="AG300" s="4"/>
      <c r="AH300" s="4"/>
    </row>
    <row r="301" ht="12.75" hidden="1" outlineLevel="1">
      <c r="A301" s="4"/>
      <c r="B301" s="4">
        <f>ROW()-ROW($B$182)</f>
        <v>119</v>
      </c>
      <c r="C301" s="187">
        <v>0.25573887267363626</v>
      </c>
      <c r="D301" s="190">
        <v>3.122458625669165</v>
      </c>
      <c r="E301" s="4">
        <f>MOD(B301-1,64)</f>
        <v>54</v>
      </c>
      <c r="F301" s="4">
        <f>IF(B301&lt;=64,1,2)</f>
        <v>2</v>
      </c>
      <c r="G301" s="4">
        <f>SUMPRODUCT(MOD(INT(E301/2^({0,1,2,3,4,5})),2))</f>
        <v>4</v>
      </c>
      <c r="H301" s="316">
        <f>IF(MOD(INT($E301/2^0),2)=1,0,FACT($G301)*FACT(5-$G301)/FACT(6)*IF($F301=1,1,-1)*($C301-INDEX($C$183:$C$310,$B301+2^0)))</f>
        <v>0.0002956695116084503</v>
      </c>
      <c r="I301" s="316">
        <f>IF(MOD(INT($E301/2^1),2)=1,0,FACT($G301)*FACT(5-$G301)/FACT(6)*IF($F301=1,1,-1)*($C301-INDEX($C$183:$C$310,$B301+2^1)))</f>
        <v>0</v>
      </c>
      <c r="J301" s="316">
        <f>IF(MOD(INT($E301/2^2),2)=1,0,FACT($G301)*FACT(5-$G301)/FACT(6)*IF($F301=1,1,-1)*($C301-INDEX($C$183:$C$310,$B301+2^2)))</f>
        <v>0</v>
      </c>
      <c r="K301" s="316">
        <f>IF(MOD(INT($E301/2^3),2)=1,0,FACT($G301)*FACT(5-$G301)/FACT(6)*IF($F301=1,1,-1)*($C301-INDEX($C$183:$C$310,$B301+2^3)))</f>
        <v>0.0003703956448450304</v>
      </c>
      <c r="L301" s="316">
        <f>IF(MOD(INT($E301/2^4),2)=1,0,FACT($G301)*FACT(5-$G301)/FACT(6)*IF($F301=1,1,-1)*($C301-INDEX($C$183:$C$310,$B301+2^4)))</f>
        <v>0</v>
      </c>
      <c r="M301" s="316">
        <f>IF(MOD(INT($E301/2^5),2)=1,0,FACT($G301)*FACT(5-$G301)/FACT(6)*IF($F301=1,1,-1)*($C301-INDEX($C$183:$C$310,$B301+2^5)))</f>
        <v>0</v>
      </c>
      <c r="N301" s="4"/>
      <c r="O301" s="4"/>
      <c r="P301" s="4"/>
      <c r="Q301" s="4"/>
      <c r="R301" s="4"/>
      <c r="S301" s="4"/>
      <c r="T301" s="4"/>
      <c r="U301" s="4"/>
      <c r="V301" s="4"/>
      <c r="W301" s="4"/>
      <c r="X301" s="4"/>
      <c r="Y301" s="4"/>
      <c r="Z301" s="4"/>
      <c r="AA301" s="4"/>
      <c r="AB301" s="4"/>
      <c r="AC301" s="4"/>
      <c r="AD301" s="4"/>
      <c r="AE301" s="4"/>
      <c r="AF301" s="4"/>
      <c r="AG301" s="4"/>
      <c r="AH301" s="4"/>
    </row>
    <row r="302" ht="12.75" hidden="1" outlineLevel="1">
      <c r="A302" s="4"/>
      <c r="B302" s="4">
        <f>ROW()-ROW($B$182)</f>
        <v>120</v>
      </c>
      <c r="C302" s="187">
        <v>0.2646089580218898</v>
      </c>
      <c r="D302" s="190">
        <v>3.2343072133251143</v>
      </c>
      <c r="E302" s="4">
        <f>MOD(B302-1,64)</f>
        <v>55</v>
      </c>
      <c r="F302" s="4">
        <f>IF(B302&lt;=64,1,2)</f>
        <v>2</v>
      </c>
      <c r="G302" s="4">
        <f>SUMPRODUCT(MOD(INT(E302/2^({0,1,2,3,4,5})),2))</f>
        <v>5</v>
      </c>
      <c r="H302" s="316">
        <f>IF(MOD(INT($E302/2^0),2)=1,0,FACT($G302)*FACT(5-$G302)/FACT(6)*IF($F302=1,1,-1)*($C302-INDEX($C$183:$C$310,$B302+2^0)))</f>
        <v>0</v>
      </c>
      <c r="I302" s="316">
        <f>IF(MOD(INT($E302/2^1),2)=1,0,FACT($G302)*FACT(5-$G302)/FACT(6)*IF($F302=1,1,-1)*($C302-INDEX($C$183:$C$310,$B302+2^1)))</f>
        <v>0</v>
      </c>
      <c r="J302" s="316">
        <f>IF(MOD(INT($E302/2^2),2)=1,0,FACT($G302)*FACT(5-$G302)/FACT(6)*IF($F302=1,1,-1)*($C302-INDEX($C$183:$C$310,$B302+2^2)))</f>
        <v>0</v>
      </c>
      <c r="K302" s="316">
        <f>IF(MOD(INT($E302/2^3),2)=1,0,FACT($G302)*FACT(5-$G302)/FACT(6)*IF($F302=1,1,-1)*($C302-INDEX($C$183:$C$310,$B302+2^3)))</f>
        <v>0.0018353199865091354</v>
      </c>
      <c r="L302" s="316">
        <f>IF(MOD(INT($E302/2^4),2)=1,0,FACT($G302)*FACT(5-$G302)/FACT(6)*IF($F302=1,1,-1)*($C302-INDEX($C$183:$C$310,$B302+2^4)))</f>
        <v>0</v>
      </c>
      <c r="M302" s="316">
        <f>IF(MOD(INT($E302/2^5),2)=1,0,FACT($G302)*FACT(5-$G302)/FACT(6)*IF($F302=1,1,-1)*($C302-INDEX($C$183:$C$310,$B302+2^5)))</f>
        <v>0</v>
      </c>
      <c r="N302" s="4"/>
      <c r="O302" s="4"/>
      <c r="P302" s="4"/>
      <c r="Q302" s="4"/>
      <c r="R302" s="4"/>
      <c r="S302" s="4"/>
      <c r="T302" s="4"/>
      <c r="U302" s="4"/>
      <c r="V302" s="4"/>
      <c r="W302" s="4"/>
      <c r="X302" s="4"/>
      <c r="Y302" s="4"/>
      <c r="Z302" s="4"/>
      <c r="AA302" s="4"/>
      <c r="AB302" s="4"/>
      <c r="AC302" s="4"/>
      <c r="AD302" s="4"/>
      <c r="AE302" s="4"/>
      <c r="AF302" s="4"/>
      <c r="AG302" s="4"/>
      <c r="AH302" s="4"/>
    </row>
    <row r="303" ht="12.75" hidden="1" outlineLevel="1">
      <c r="A303" s="4"/>
      <c r="B303" s="4">
        <f>ROW()-ROW($B$182)</f>
        <v>121</v>
      </c>
      <c r="C303" s="187">
        <v>0.2487436891397652</v>
      </c>
      <c r="D303" s="190">
        <v>3.036452782106296</v>
      </c>
      <c r="E303" s="4">
        <f>MOD(B303-1,64)</f>
        <v>56</v>
      </c>
      <c r="F303" s="4">
        <f>IF(B303&lt;=64,1,2)</f>
        <v>2</v>
      </c>
      <c r="G303" s="4">
        <f>SUMPRODUCT(MOD(INT(E303/2^({0,1,2,3,4,5})),2))</f>
        <v>3</v>
      </c>
      <c r="H303" s="316">
        <f>IF(MOD(INT($E303/2^0),2)=1,0,FACT($G303)*FACT(5-$G303)/FACT(6)*IF($F303=1,1,-1)*($C303-INDEX($C$183:$C$310,$B303+2^0)))</f>
        <v>0.00014518435806527933</v>
      </c>
      <c r="I303" s="316">
        <f>IF(MOD(INT($E303/2^1),2)=1,0,FACT($G303)*FACT(5-$G303)/FACT(6)*IF($F303=1,1,-1)*($C303-INDEX($C$183:$C$310,$B303+2^1)))</f>
        <v>0.000206973076916576</v>
      </c>
      <c r="J303" s="316">
        <f>IF(MOD(INT($E303/2^2),2)=1,0,FACT($G303)*FACT(5-$G303)/FACT(6)*IF($F303=1,1,-1)*($C303-INDEX($C$183:$C$310,$B303+2^2)))</f>
        <v>0.00009663430411779305</v>
      </c>
      <c r="K303" s="316">
        <f>IF(MOD(INT($E303/2^3),2)=1,0,FACT($G303)*FACT(5-$G303)/FACT(6)*IF($F303=1,1,-1)*($C303-INDEX($C$183:$C$310,$B303+2^3)))</f>
        <v>0</v>
      </c>
      <c r="L303" s="316">
        <f>IF(MOD(INT($E303/2^4),2)=1,0,FACT($G303)*FACT(5-$G303)/FACT(6)*IF($F303=1,1,-1)*($C303-INDEX($C$183:$C$310,$B303+2^4)))</f>
        <v>0</v>
      </c>
      <c r="M303" s="316">
        <f>IF(MOD(INT($E303/2^5),2)=1,0,FACT($G303)*FACT(5-$G303)/FACT(6)*IF($F303=1,1,-1)*($C303-INDEX($C$183:$C$310,$B303+2^5)))</f>
        <v>0</v>
      </c>
      <c r="N303" s="4"/>
      <c r="O303" s="4"/>
      <c r="P303" s="4"/>
      <c r="Q303" s="4"/>
      <c r="R303" s="4"/>
      <c r="S303" s="4"/>
      <c r="T303" s="4"/>
      <c r="U303" s="4"/>
      <c r="V303" s="4"/>
      <c r="W303" s="4"/>
      <c r="X303" s="4"/>
      <c r="Y303" s="4"/>
      <c r="Z303" s="4"/>
      <c r="AA303" s="4"/>
      <c r="AB303" s="4"/>
      <c r="AC303" s="4"/>
      <c r="AD303" s="4"/>
      <c r="AE303" s="4"/>
      <c r="AF303" s="4"/>
      <c r="AG303" s="4"/>
      <c r="AH303" s="4"/>
    </row>
    <row r="304" ht="12.75" hidden="1" outlineLevel="1">
      <c r="A304" s="4"/>
      <c r="B304" s="4">
        <f>ROW()-ROW($B$182)</f>
        <v>122</v>
      </c>
      <c r="C304" s="187">
        <v>0.25745475062368195</v>
      </c>
      <c r="D304" s="190">
        <v>3.143850095004728</v>
      </c>
      <c r="E304" s="4">
        <f>MOD(B304-1,64)</f>
        <v>57</v>
      </c>
      <c r="F304" s="4">
        <f>IF(B304&lt;=64,1,2)</f>
        <v>2</v>
      </c>
      <c r="G304" s="4">
        <f>SUMPRODUCT(MOD(INT(E304/2^({0,1,2,3,4,5})),2))</f>
        <v>4</v>
      </c>
      <c r="H304" s="316">
        <f>IF(MOD(INT($E304/2^0),2)=1,0,FACT($G304)*FACT(5-$G304)/FACT(6)*IF($F304=1,1,-1)*($C304-INDEX($C$183:$C$310,$B304+2^0)))</f>
        <v>0</v>
      </c>
      <c r="I304" s="316">
        <f>IF(MOD(INT($E304/2^1),2)=1,0,FACT($G304)*FACT(5-$G304)/FACT(6)*IF($F304=1,1,-1)*($C304-INDEX($C$183:$C$310,$B304+2^1)))</f>
        <v>0.0004096632577029376</v>
      </c>
      <c r="J304" s="316">
        <f>IF(MOD(INT($E304/2^2),2)=1,0,FACT($G304)*FACT(5-$G304)/FACT(6)*IF($F304=1,1,-1)*($C304-INDEX($C$183:$C$310,$B304+2^2)))</f>
        <v>0.0001995038794571228</v>
      </c>
      <c r="K304" s="316">
        <f>IF(MOD(INT($E304/2^3),2)=1,0,FACT($G304)*FACT(5-$G304)/FACT(6)*IF($F304=1,1,-1)*($C304-INDEX($C$183:$C$310,$B304+2^3)))</f>
        <v>0</v>
      </c>
      <c r="L304" s="316">
        <f>IF(MOD(INT($E304/2^4),2)=1,0,FACT($G304)*FACT(5-$G304)/FACT(6)*IF($F304=1,1,-1)*($C304-INDEX($C$183:$C$310,$B304+2^4)))</f>
        <v>0</v>
      </c>
      <c r="M304" s="316">
        <f>IF(MOD(INT($E304/2^5),2)=1,0,FACT($G304)*FACT(5-$G304)/FACT(6)*IF($F304=1,1,-1)*($C304-INDEX($C$183:$C$310,$B304+2^5)))</f>
        <v>0</v>
      </c>
      <c r="N304" s="4"/>
      <c r="O304" s="4"/>
      <c r="P304" s="4"/>
      <c r="Q304" s="4"/>
      <c r="R304" s="4"/>
      <c r="S304" s="4"/>
      <c r="T304" s="4"/>
      <c r="U304" s="4"/>
      <c r="V304" s="4"/>
      <c r="W304" s="4"/>
      <c r="X304" s="4"/>
      <c r="Y304" s="4"/>
      <c r="Z304" s="4"/>
      <c r="AA304" s="4"/>
      <c r="AB304" s="4"/>
      <c r="AC304" s="4"/>
      <c r="AD304" s="4"/>
      <c r="AE304" s="4"/>
      <c r="AF304" s="4"/>
      <c r="AG304" s="4"/>
      <c r="AH304" s="4"/>
    </row>
    <row r="305" ht="12.75" hidden="1" outlineLevel="1">
      <c r="A305" s="4"/>
      <c r="B305" s="4">
        <f>ROW()-ROW($B$182)</f>
        <v>123</v>
      </c>
      <c r="C305" s="187">
        <v>0.26116207375475975</v>
      </c>
      <c r="D305" s="190">
        <v>3.1904688579414913</v>
      </c>
      <c r="E305" s="4">
        <f>MOD(B305-1,64)</f>
        <v>58</v>
      </c>
      <c r="F305" s="4">
        <f>IF(B305&lt;=64,1,2)</f>
        <v>2</v>
      </c>
      <c r="G305" s="4">
        <f>SUMPRODUCT(MOD(INT(E305/2^({0,1,2,3,4,5})),2))</f>
        <v>4</v>
      </c>
      <c r="H305" s="316">
        <f>IF(MOD(INT($E305/2^0),2)=1,0,FACT($G305)*FACT(5-$G305)/FACT(6)*IF($F305=1,1,-1)*($C305-INDEX($C$183:$C$310,$B305+2^0)))</f>
        <v>0.00028608582000034426</v>
      </c>
      <c r="I305" s="316">
        <f>IF(MOD(INT($E305/2^1),2)=1,0,FACT($G305)*FACT(5-$G305)/FACT(6)*IF($F305=1,1,-1)*($C305-INDEX($C$183:$C$310,$B305+2^1)))</f>
        <v>0</v>
      </c>
      <c r="J305" s="316">
        <f>IF(MOD(INT($E305/2^2),2)=1,0,FACT($G305)*FACT(5-$G305)/FACT(6)*IF($F305=1,1,-1)*($C305-INDEX($C$183:$C$310,$B305+2^2)))</f>
        <v>0.00018962227547424752</v>
      </c>
      <c r="K305" s="316">
        <f>IF(MOD(INT($E305/2^3),2)=1,0,FACT($G305)*FACT(5-$G305)/FACT(6)*IF($F305=1,1,-1)*($C305-INDEX($C$183:$C$310,$B305+2^3)))</f>
        <v>0</v>
      </c>
      <c r="L305" s="316">
        <f>IF(MOD(INT($E305/2^4),2)=1,0,FACT($G305)*FACT(5-$G305)/FACT(6)*IF($F305=1,1,-1)*($C305-INDEX($C$183:$C$310,$B305+2^4)))</f>
        <v>0</v>
      </c>
      <c r="M305" s="316">
        <f>IF(MOD(INT($E305/2^5),2)=1,0,FACT($G305)*FACT(5-$G305)/FACT(6)*IF($F305=1,1,-1)*($C305-INDEX($C$183:$C$310,$B305+2^5)))</f>
        <v>0</v>
      </c>
      <c r="N305" s="4"/>
      <c r="O305" s="4"/>
      <c r="P305" s="4"/>
      <c r="Q305" s="4"/>
      <c r="R305" s="4"/>
      <c r="S305" s="4"/>
      <c r="T305" s="4"/>
      <c r="U305" s="4"/>
      <c r="V305" s="4"/>
      <c r="W305" s="4"/>
      <c r="X305" s="4"/>
      <c r="Y305" s="4"/>
      <c r="Z305" s="4"/>
      <c r="AA305" s="4"/>
      <c r="AB305" s="4"/>
      <c r="AC305" s="4"/>
      <c r="AD305" s="4"/>
      <c r="AE305" s="4"/>
      <c r="AF305" s="4"/>
      <c r="AG305" s="4"/>
      <c r="AH305" s="4"/>
    </row>
    <row r="306" ht="12.75" hidden="1" outlineLevel="1">
      <c r="A306" s="4"/>
      <c r="B306" s="4">
        <f>ROW()-ROW($B$182)</f>
        <v>124</v>
      </c>
      <c r="C306" s="187">
        <v>0.2697446483547701</v>
      </c>
      <c r="D306" s="190">
        <v>3.3005168579647512</v>
      </c>
      <c r="E306" s="4">
        <f>MOD(B306-1,64)</f>
        <v>59</v>
      </c>
      <c r="F306" s="4">
        <f>IF(B306&lt;=64,1,2)</f>
        <v>2</v>
      </c>
      <c r="G306" s="4">
        <f>SUMPRODUCT(MOD(INT(E306/2^({0,1,2,3,4,5})),2))</f>
        <v>5</v>
      </c>
      <c r="H306" s="316">
        <f>IF(MOD(INT($E306/2^0),2)=1,0,FACT($G306)*FACT(5-$G306)/FACT(6)*IF($F306=1,1,-1)*($C306-INDEX($C$183:$C$310,$B306+2^0)))</f>
        <v>0</v>
      </c>
      <c r="I306" s="316">
        <f>IF(MOD(INT($E306/2^1),2)=1,0,FACT($G306)*FACT(5-$G306)/FACT(6)*IF($F306=1,1,-1)*($C306-INDEX($C$183:$C$310,$B306+2^1)))</f>
        <v>0</v>
      </c>
      <c r="J306" s="316">
        <f>IF(MOD(INT($E306/2^2),2)=1,0,FACT($G306)*FACT(5-$G306)/FACT(6)*IF($F306=1,1,-1)*($C306-INDEX($C$183:$C$310,$B306+2^2)))</f>
        <v>0.0009793715976957513</v>
      </c>
      <c r="K306" s="316">
        <f>IF(MOD(INT($E306/2^3),2)=1,0,FACT($G306)*FACT(5-$G306)/FACT(6)*IF($F306=1,1,-1)*($C306-INDEX($C$183:$C$310,$B306+2^3)))</f>
        <v>0</v>
      </c>
      <c r="L306" s="316">
        <f>IF(MOD(INT($E306/2^4),2)=1,0,FACT($G306)*FACT(5-$G306)/FACT(6)*IF($F306=1,1,-1)*($C306-INDEX($C$183:$C$310,$B306+2^4)))</f>
        <v>0</v>
      </c>
      <c r="M306" s="316">
        <f>IF(MOD(INT($E306/2^5),2)=1,0,FACT($G306)*FACT(5-$G306)/FACT(6)*IF($F306=1,1,-1)*($C306-INDEX($C$183:$C$310,$B306+2^5)))</f>
        <v>0</v>
      </c>
      <c r="N306" s="4"/>
      <c r="O306" s="4"/>
      <c r="P306" s="4"/>
      <c r="Q306" s="4"/>
      <c r="R306" s="4"/>
      <c r="S306" s="4"/>
      <c r="T306" s="4"/>
      <c r="U306" s="4"/>
      <c r="V306" s="4"/>
      <c r="W306" s="4"/>
      <c r="X306" s="4"/>
      <c r="Y306" s="4"/>
      <c r="Z306" s="4"/>
      <c r="AA306" s="4"/>
      <c r="AB306" s="4"/>
      <c r="AC306" s="4"/>
      <c r="AD306" s="4"/>
      <c r="AE306" s="4"/>
      <c r="AF306" s="4"/>
      <c r="AG306" s="4"/>
      <c r="AH306" s="4"/>
    </row>
    <row r="307" ht="12.75" hidden="1" outlineLevel="1">
      <c r="A307" s="4"/>
      <c r="B307" s="4">
        <f>ROW()-ROW($B$182)</f>
        <v>125</v>
      </c>
      <c r="C307" s="187">
        <v>0.2545417473868328</v>
      </c>
      <c r="D307" s="190">
        <v>3.1076034115265</v>
      </c>
      <c r="E307" s="4">
        <f>MOD(B307-1,64)</f>
        <v>60</v>
      </c>
      <c r="F307" s="4">
        <f>IF(B307&lt;=64,1,2)</f>
        <v>2</v>
      </c>
      <c r="G307" s="4">
        <f>SUMPRODUCT(MOD(INT(E307/2^({0,1,2,3,4,5})),2))</f>
        <v>4</v>
      </c>
      <c r="H307" s="316">
        <f>IF(MOD(INT($E307/2^0),2)=1,0,FACT($G307)*FACT(5-$G307)/FACT(6)*IF($F307=1,1,-1)*($C307-INDEX($C$183:$C$310,$B307+2^0)))</f>
        <v>0.00029660398735209537</v>
      </c>
      <c r="I307" s="316">
        <f>IF(MOD(INT($E307/2^1),2)=1,0,FACT($G307)*FACT(5-$G307)/FACT(6)*IF($F307=1,1,-1)*($C307-INDEX($C$183:$C$310,$B307+2^1)))</f>
        <v>0.0004102998210718134</v>
      </c>
      <c r="J307" s="316">
        <f>IF(MOD(INT($E307/2^2),2)=1,0,FACT($G307)*FACT(5-$G307)/FACT(6)*IF($F307=1,1,-1)*($C307-INDEX($C$183:$C$310,$B307+2^2)))</f>
        <v>0</v>
      </c>
      <c r="K307" s="316">
        <f>IF(MOD(INT($E307/2^3),2)=1,0,FACT($G307)*FACT(5-$G307)/FACT(6)*IF($F307=1,1,-1)*($C307-INDEX($C$183:$C$310,$B307+2^3)))</f>
        <v>0</v>
      </c>
      <c r="L307" s="316">
        <f>IF(MOD(INT($E307/2^4),2)=1,0,FACT($G307)*FACT(5-$G307)/FACT(6)*IF($F307=1,1,-1)*($C307-INDEX($C$183:$C$310,$B307+2^4)))</f>
        <v>0</v>
      </c>
      <c r="M307" s="316">
        <f>IF(MOD(INT($E307/2^5),2)=1,0,FACT($G307)*FACT(5-$G307)/FACT(6)*IF($F307=1,1,-1)*($C307-INDEX($C$183:$C$310,$B307+2^5)))</f>
        <v>0</v>
      </c>
      <c r="N307" s="4"/>
      <c r="O307" s="4"/>
      <c r="P307" s="4"/>
      <c r="Q307" s="4"/>
      <c r="R307" s="4"/>
      <c r="S307" s="4"/>
      <c r="T307" s="4"/>
      <c r="U307" s="4"/>
      <c r="V307" s="4"/>
      <c r="W307" s="4"/>
      <c r="X307" s="4"/>
      <c r="Y307" s="4"/>
      <c r="Z307" s="4"/>
      <c r="AA307" s="4"/>
      <c r="AB307" s="4"/>
      <c r="AC307" s="4"/>
      <c r="AD307" s="4"/>
      <c r="AE307" s="4"/>
      <c r="AF307" s="4"/>
      <c r="AG307" s="4"/>
      <c r="AH307" s="4"/>
    </row>
    <row r="308" ht="12.75" hidden="1" outlineLevel="1">
      <c r="A308" s="4"/>
      <c r="B308" s="4">
        <f>ROW()-ROW($B$182)</f>
        <v>126</v>
      </c>
      <c r="C308" s="187">
        <v>0.26343986700739563</v>
      </c>
      <c r="D308" s="190">
        <v>3.219384755522829</v>
      </c>
      <c r="E308" s="4">
        <f>MOD(B308-1,64)</f>
        <v>61</v>
      </c>
      <c r="F308" s="4">
        <f>IF(B308&lt;=64,1,2)</f>
        <v>2</v>
      </c>
      <c r="G308" s="4">
        <f>SUMPRODUCT(MOD(INT(E308/2^({0,1,2,3,4,5})),2))</f>
        <v>5</v>
      </c>
      <c r="H308" s="316">
        <f>IF(MOD(INT($E308/2^0),2)=1,0,FACT($G308)*FACT(5-$G308)/FACT(6)*IF($F308=1,1,-1)*($C308-INDEX($C$183:$C$310,$B308+2^0)))</f>
        <v>0</v>
      </c>
      <c r="I308" s="316">
        <f>IF(MOD(INT($E308/2^1),2)=1,0,FACT($G308)*FACT(5-$G308)/FACT(6)*IF($F308=1,1,-1)*($C308-INDEX($C$183:$C$310,$B308+2^1)))</f>
        <v>0.0020301684889248253</v>
      </c>
      <c r="J308" s="316">
        <f>IF(MOD(INT($E308/2^2),2)=1,0,FACT($G308)*FACT(5-$G308)/FACT(6)*IF($F308=1,1,-1)*($C308-INDEX($C$183:$C$310,$B308+2^2)))</f>
        <v>0</v>
      </c>
      <c r="K308" s="316">
        <f>IF(MOD(INT($E308/2^3),2)=1,0,FACT($G308)*FACT(5-$G308)/FACT(6)*IF($F308=1,1,-1)*($C308-INDEX($C$183:$C$310,$B308+2^3)))</f>
        <v>0</v>
      </c>
      <c r="L308" s="316">
        <f>IF(MOD(INT($E308/2^4),2)=1,0,FACT($G308)*FACT(5-$G308)/FACT(6)*IF($F308=1,1,-1)*($C308-INDEX($C$183:$C$310,$B308+2^4)))</f>
        <v>0</v>
      </c>
      <c r="M308" s="316">
        <f>IF(MOD(INT($E308/2^5),2)=1,0,FACT($G308)*FACT(5-$G308)/FACT(6)*IF($F308=1,1,-1)*($C308-INDEX($C$183:$C$310,$B308+2^5)))</f>
        <v>0</v>
      </c>
      <c r="N308" s="4"/>
      <c r="O308" s="4"/>
      <c r="P308" s="4"/>
      <c r="Q308" s="4"/>
      <c r="R308" s="4"/>
      <c r="S308" s="4"/>
      <c r="T308" s="4"/>
      <c r="U308" s="4"/>
      <c r="V308" s="4"/>
      <c r="W308" s="4"/>
      <c r="X308" s="4"/>
      <c r="Y308" s="4"/>
      <c r="Z308" s="4"/>
      <c r="AA308" s="4"/>
      <c r="AB308" s="4"/>
      <c r="AC308" s="4"/>
      <c r="AD308" s="4"/>
      <c r="AE308" s="4"/>
      <c r="AF308" s="4"/>
      <c r="AG308" s="4"/>
      <c r="AH308" s="4"/>
    </row>
    <row r="309" ht="12.75" hidden="1" outlineLevel="1">
      <c r="A309" s="4"/>
      <c r="B309" s="4">
        <f>ROW()-ROW($B$182)</f>
        <v>127</v>
      </c>
      <c r="C309" s="187">
        <v>0.2668507420189872</v>
      </c>
      <c r="D309" s="190">
        <v>3.263076463268407</v>
      </c>
      <c r="E309" s="4">
        <f>MOD(B309-1,64)</f>
        <v>62</v>
      </c>
      <c r="F309" s="4">
        <f>IF(B309&lt;=64,1,2)</f>
        <v>2</v>
      </c>
      <c r="G309" s="4">
        <f>SUMPRODUCT(MOD(INT(E309/2^({0,1,2,3,4,5})),2))</f>
        <v>5</v>
      </c>
      <c r="H309" s="316">
        <f>IF(MOD(INT($E309/2^0),2)=1,0,FACT($G309)*FACT(5-$G309)/FACT(6)*IF($F309=1,1,-1)*($C309-INDEX($C$183:$C$310,$B309+2^0)))</f>
        <v>0.0014616893203262351</v>
      </c>
      <c r="I309" s="316">
        <f>IF(MOD(INT($E309/2^1),2)=1,0,FACT($G309)*FACT(5-$G309)/FACT(6)*IF($F309=1,1,-1)*($C309-INDEX($C$183:$C$310,$B309+2^1)))</f>
        <v>0</v>
      </c>
      <c r="J309" s="316">
        <f>IF(MOD(INT($E309/2^2),2)=1,0,FACT($G309)*FACT(5-$G309)/FACT(6)*IF($F309=1,1,-1)*($C309-INDEX($C$183:$C$310,$B309+2^2)))</f>
        <v>0</v>
      </c>
      <c r="K309" s="316">
        <f>IF(MOD(INT($E309/2^3),2)=1,0,FACT($G309)*FACT(5-$G309)/FACT(6)*IF($F309=1,1,-1)*($C309-INDEX($C$183:$C$310,$B309+2^3)))</f>
        <v>0</v>
      </c>
      <c r="L309" s="316">
        <f>IF(MOD(INT($E309/2^4),2)=1,0,FACT($G309)*FACT(5-$G309)/FACT(6)*IF($F309=1,1,-1)*($C309-INDEX($C$183:$C$310,$B309+2^4)))</f>
        <v>0</v>
      </c>
      <c r="M309" s="316">
        <f>IF(MOD(INT($E309/2^5),2)=1,0,FACT($G309)*FACT(5-$G309)/FACT(6)*IF($F309=1,1,-1)*($C309-INDEX($C$183:$C$310,$B309+2^5)))</f>
        <v>0</v>
      </c>
      <c r="N309" s="4"/>
      <c r="O309" s="4"/>
      <c r="P309" s="4"/>
      <c r="Q309" s="4"/>
      <c r="R309" s="4"/>
      <c r="S309" s="4"/>
      <c r="T309" s="4"/>
      <c r="U309" s="4"/>
      <c r="V309" s="4"/>
      <c r="W309" s="4"/>
      <c r="X309" s="4"/>
      <c r="Y309" s="4"/>
      <c r="Z309" s="4"/>
      <c r="AA309" s="4"/>
      <c r="AB309" s="4"/>
      <c r="AC309" s="4"/>
      <c r="AD309" s="4"/>
      <c r="AE309" s="4"/>
      <c r="AF309" s="4"/>
      <c r="AG309" s="4"/>
      <c r="AH309" s="4"/>
    </row>
    <row r="310" ht="12.75" hidden="1" outlineLevel="1">
      <c r="A310" s="4"/>
      <c r="B310" s="4">
        <f>ROW()-ROW($B$182)</f>
        <v>128</v>
      </c>
      <c r="C310" s="187">
        <v>0.2756208779409446</v>
      </c>
      <c r="D310" s="190">
        <v>3.3775990466876364</v>
      </c>
      <c r="E310" s="4">
        <f>MOD(B310-1,64)</f>
        <v>63</v>
      </c>
      <c r="F310" s="4">
        <f>IF(B310&lt;=64,1,2)</f>
        <v>2</v>
      </c>
      <c r="G310" s="4">
        <f>SUMPRODUCT(MOD(INT(E310/2^({0,1,2,3,4,5})),2))</f>
        <v>6</v>
      </c>
      <c r="H310" s="316">
        <f>IF(MOD(INT($E310/2^0),2)=1,0,FACT($G310)*FACT(5-$G310)/FACT(6)*IF($F310=1,1,-1)*($C310-INDEX($C$183:$C$310,$B310+2^0)))</f>
        <v>0</v>
      </c>
      <c r="I310" s="316">
        <f>IF(MOD(INT($E310/2^1),2)=1,0,FACT($G310)*FACT(5-$G310)/FACT(6)*IF($F310=1,1,-1)*($C310-INDEX($C$183:$C$310,$B310+2^1)))</f>
        <v>0</v>
      </c>
      <c r="J310" s="316">
        <f>IF(MOD(INT($E310/2^2),2)=1,0,FACT($G310)*FACT(5-$G310)/FACT(6)*IF($F310=1,1,-1)*($C310-INDEX($C$183:$C$310,$B310+2^2)))</f>
        <v>0</v>
      </c>
      <c r="K310" s="316">
        <f>IF(MOD(INT($E310/2^3),2)=1,0,FACT($G310)*FACT(5-$G310)/FACT(6)*IF($F310=1,1,-1)*($C310-INDEX($C$183:$C$310,$B310+2^3)))</f>
        <v>0</v>
      </c>
      <c r="L310" s="316">
        <f>IF(MOD(INT($E310/2^4),2)=1,0,FACT($G310)*FACT(5-$G310)/FACT(6)*IF($F310=1,1,-1)*($C310-INDEX($C$183:$C$310,$B310+2^4)))</f>
        <v>0</v>
      </c>
      <c r="M310" s="316">
        <f>IF(MOD(INT($E310/2^5),2)=1,0,FACT($G310)*FACT(5-$G310)/FACT(6)*IF($F310=1,1,-1)*($C310-INDEX($C$183:$C$310,$B310+2^5)))</f>
        <v>0</v>
      </c>
      <c r="N310" s="4"/>
      <c r="O310" s="4"/>
      <c r="P310" s="4"/>
      <c r="Q310" s="4"/>
      <c r="R310" s="4"/>
      <c r="S310" s="4"/>
      <c r="T310" s="4"/>
      <c r="U310" s="4"/>
      <c r="V310" s="4"/>
      <c r="W310" s="4"/>
      <c r="X310" s="4"/>
      <c r="Y310" s="4"/>
      <c r="Z310" s="4"/>
      <c r="AA310" s="4"/>
      <c r="AB310" s="4"/>
      <c r="AC310" s="4"/>
      <c r="AD310" s="4"/>
      <c r="AE310" s="4"/>
      <c r="AF310" s="4"/>
      <c r="AG310" s="4"/>
      <c r="AH310" s="4"/>
    </row>
    <row r="311" ht="12.75" hidden="1" outlineLevel="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row>
    <row r="312" ht="12.75" hidden="1" outlineLevel="1">
      <c r="A312" s="4"/>
      <c r="B312" t="s" s="16">
        <v>490</v>
      </c>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row>
    <row r="313" ht="12.75" hidden="1" outlineLevel="1">
      <c r="A313" s="4"/>
      <c r="B313" t="s" s="4">
        <v>461</v>
      </c>
      <c r="C313" t="s" s="4">
        <v>491</v>
      </c>
      <c r="D313" t="s" s="4">
        <v>492</v>
      </c>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row>
    <row r="314" ht="12.75" hidden="1" outlineLevel="1">
      <c r="A314" s="4"/>
      <c r="B314" t="s" s="4">
        <v>467</v>
      </c>
      <c r="C314" s="313">
        <f>SUMIF($F$183:$F$310,1,H$183:H$310)</f>
        <v>0.020239959139801433</v>
      </c>
      <c r="D314" s="313">
        <f>SUMIF($F$183:$F$310,2,H$183:H$310)</f>
        <v>0.00873768078889649</v>
      </c>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row>
    <row r="315" ht="12.75" hidden="1" outlineLevel="1">
      <c r="A315" s="4"/>
      <c r="B315" t="s" s="4">
        <v>418</v>
      </c>
      <c r="C315" s="313">
        <f>SUMIF($F$183:$F$310,1,I$183:I$310)</f>
        <v>0.039064937148002</v>
      </c>
      <c r="D315" s="313">
        <f>SUMIF($F$183:$F$310,2,I$183:I$310)</f>
        <v>0.012647366655320624</v>
      </c>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row>
    <row r="316" ht="12.75" hidden="1" outlineLevel="1">
      <c r="A316" s="4"/>
      <c r="B316" t="s" s="4">
        <v>468</v>
      </c>
      <c r="C316" s="313">
        <f>SUMIF($F$183:$F$310,1,J$183:J$310)</f>
        <v>0.011692464262667818</v>
      </c>
      <c r="D316" s="313">
        <f>SUMIF($F$183:$F$310,2,J$183:J$310)</f>
        <v>0.006033617815730217</v>
      </c>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row>
    <row r="317" ht="12.75" hidden="1" outlineLevel="1">
      <c r="A317" s="4"/>
      <c r="B317" t="s" s="4">
        <v>420</v>
      </c>
      <c r="C317" s="313">
        <f>SUMIF($F$183:$F$310,1,K$183:K$310)</f>
        <v>0.027208130277723452</v>
      </c>
      <c r="D317" s="313">
        <f>SUMIF($F$183:$F$310,2,K$183:K$310)</f>
        <v>0.0117202087732796</v>
      </c>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row>
    <row r="318" ht="12.75" hidden="1" outlineLevel="1">
      <c r="A318" s="4"/>
      <c r="B318" t="s" s="4">
        <v>419</v>
      </c>
      <c r="C318" s="313">
        <f>SUMIF($F$183:$F$310,1,L$183:L$310)</f>
        <v>0.05912905378778792</v>
      </c>
      <c r="D318" s="313">
        <f>SUMIF($F$183:$F$310,2,L$183:L$310)</f>
        <v>0.017160831410214798</v>
      </c>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row>
    <row r="319" ht="12.75" hidden="1" outlineLevel="1">
      <c r="A319" s="4"/>
      <c r="B319" t="s" s="4">
        <v>469</v>
      </c>
      <c r="C319" s="313">
        <f>SUMIF($F$183:$F$310,1,M$183:M$310)</f>
        <v>0.022030791239403314</v>
      </c>
      <c r="D319" s="313">
        <f>SUMIF($F$183:$F$310,2,M$183:M$310)</f>
        <v>0.007585681542377853</v>
      </c>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row>
    <row r="320" ht="12.75" hidden="1" outlineLevel="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row>
    <row r="321" ht="12.75" hidden="1" outlineLevel="1">
      <c r="A321" s="4"/>
      <c r="B321" t="s" s="16">
        <v>493</v>
      </c>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row>
    <row r="322" ht="12.75" hidden="1" outlineLevel="1">
      <c r="A322" s="4"/>
      <c r="B322" t="s" s="4">
        <v>404</v>
      </c>
      <c r="C322" t="s" s="4">
        <v>494</v>
      </c>
      <c r="D322" t="s" s="4">
        <v>495</v>
      </c>
      <c r="E322" t="s" s="4">
        <v>496</v>
      </c>
      <c r="F322" t="s" s="4">
        <v>497</v>
      </c>
      <c r="G322" t="s" s="4">
        <v>498</v>
      </c>
      <c r="H322" t="s" s="4">
        <v>499</v>
      </c>
      <c r="I322" t="s" s="4">
        <v>500</v>
      </c>
      <c r="J322" t="s" s="4">
        <v>436</v>
      </c>
      <c r="K322" t="s" s="4">
        <v>501</v>
      </c>
      <c r="L322" t="s" s="4">
        <v>125</v>
      </c>
      <c r="M322" t="s" s="4">
        <v>502</v>
      </c>
      <c r="N322" s="4"/>
      <c r="O322" s="4"/>
      <c r="P322" s="4"/>
      <c r="Q322" s="4"/>
      <c r="R322" s="4"/>
      <c r="S322" s="4"/>
      <c r="T322" s="4"/>
      <c r="U322" s="4"/>
      <c r="V322" s="4"/>
      <c r="W322" s="4"/>
      <c r="X322" s="4"/>
      <c r="Y322" s="4"/>
      <c r="Z322" s="4"/>
      <c r="AA322" s="4"/>
      <c r="AB322" s="4"/>
      <c r="AC322" s="4"/>
      <c r="AD322" s="4"/>
      <c r="AE322" s="4"/>
      <c r="AF322" s="4"/>
      <c r="AG322" s="4"/>
      <c r="AH322" s="4"/>
    </row>
    <row r="323" ht="12.75" hidden="1" outlineLevel="1">
      <c r="A323" s="4"/>
      <c r="B323" t="s" s="4">
        <v>467</v>
      </c>
      <c r="C323" s="4">
        <f>IFERROR(MATCH(TRUE,INDEX(C$339:C$639&lt;$E$6,0),0),0)</f>
        <v>31</v>
      </c>
      <c r="D323" s="4">
        <f>IF(C323&lt;2,"",INDEX(B$339:B$639,C323-1)+(INDEX(C$339:C$639,C323-1)-$E$6)/(INDEX(C$339:C$639,C323-1)-INDEX(C$339:C$639,C323))*(INDEX(B$339:B$639,C323)-INDEX(B$339:B$639,C323-1)))</f>
        <v>0.5883152872794123</v>
      </c>
      <c r="E323" s="4">
        <f>IF(D323="","",$J$11+D323*($E$11-$J$11))</f>
        <v>0.13045787961010294</v>
      </c>
      <c r="F323" s="4">
        <f>IFERROR(MATCH(TRUE,INDEX(D$339:D$639&lt;1,0),0),0)</f>
        <v>0</v>
      </c>
      <c r="G323" t="str" s="4">
        <f>IF(F323&lt;2,"",INDEX(B$339:B$639,F323-1)+(INDEX(D$339:D$639,F323-1)-1)/(INDEX(D$339:D$639,F323-1)-INDEX(D$339:D$639,F323))*(INDEX(B$339:B$639,F323)-INDEX(B$339:B$639,F323-1)))</f>
        <v/>
      </c>
      <c r="H323" t="str" s="4">
        <f>IF(G323="","",$J$11+G323*($E$11-$J$11))</f>
        <v/>
      </c>
      <c r="I323" s="4">
        <f>IF(D323="",999,D323)+ROW()/1000000</f>
        <v>0.5886382872794123</v>
      </c>
      <c r="J323" t="s" s="299">
        <v>438</v>
      </c>
      <c r="K323" t="s" s="299">
        <v>503</v>
      </c>
      <c r="L323" s="286">
        <f>$J$11</f>
        <v>0.13740000000000002</v>
      </c>
      <c r="M323" s="286">
        <f>$E$11</f>
        <v>0.1256</v>
      </c>
      <c r="N323" s="4"/>
      <c r="O323" s="4"/>
      <c r="P323" s="4"/>
      <c r="Q323" s="4"/>
      <c r="R323" s="4"/>
      <c r="S323" s="4"/>
      <c r="T323" s="4"/>
      <c r="U323" s="4"/>
      <c r="V323" s="4"/>
      <c r="W323" s="4"/>
      <c r="X323" s="4"/>
      <c r="Y323" s="4"/>
      <c r="Z323" s="4"/>
      <c r="AA323" s="4"/>
      <c r="AB323" s="4"/>
      <c r="AC323" s="4"/>
      <c r="AD323" s="4"/>
      <c r="AE323" s="4"/>
      <c r="AF323" s="4"/>
      <c r="AG323" s="4"/>
      <c r="AH323" s="4"/>
    </row>
    <row r="324" ht="12.75" hidden="1" outlineLevel="1">
      <c r="A324" s="4"/>
      <c r="B324" t="s" s="4">
        <v>418</v>
      </c>
      <c r="C324" s="4">
        <f>IFERROR(MATCH(TRUE,INDEX(G$339:G$639&lt;$E$6,0),0),0)</f>
        <v>19</v>
      </c>
      <c r="D324" s="4">
        <f>IF(C324&lt;2,"",INDEX(F$339:F$639,C324-1)+(INDEX(G$339:G$639,C324-1)-$E$6)/(INDEX(G$339:G$639,C324-1)-INDEX(G$339:G$639,C324))*(INDEX(F$339:F$639,C324)-INDEX(F$339:F$639,C324-1)))</f>
        <v>0.3527882264668119</v>
      </c>
      <c r="E324" s="4">
        <f>IF(D324="","",$J$12+D324*($E$12-$J$12))</f>
        <v>0.12672684220464242</v>
      </c>
      <c r="F324" s="4">
        <f>IFERROR(MATCH(TRUE,INDEX(H$339:H$639&lt;1,0),0),0)</f>
        <v>261</v>
      </c>
      <c r="G324" s="4">
        <f>IF(F324&lt;2,"",INDEX(F$339:F$639,F324-1)+(INDEX(H$339:H$639,F324-1)-1)/(INDEX(H$339:H$639,F324-1)-INDEX(H$339:H$639,F324))*(INDEX(F$339:F$639,F324)-INDEX(F$339:F$639,F324-1)))</f>
        <v>5.1994489939543875</v>
      </c>
      <c r="H324" s="4">
        <f>IF(G324="","",$J$12+G324*($E$12-$J$12))</f>
        <v>0.20815074309843373</v>
      </c>
      <c r="I324" s="4">
        <f>IF(D324="",999,D324)+ROW()/1000000</f>
        <v>0.3531122264668119</v>
      </c>
      <c r="J324" t="s" s="299">
        <v>438</v>
      </c>
      <c r="K324" t="s" s="299">
        <v>503</v>
      </c>
      <c r="L324" s="286">
        <f>$J$12</f>
        <v>0.12079999999999999</v>
      </c>
      <c r="M324" s="286">
        <f>$E$12</f>
        <v>0.1376</v>
      </c>
      <c r="N324" s="4"/>
      <c r="O324" s="4"/>
      <c r="P324" s="4"/>
      <c r="Q324" s="4"/>
      <c r="R324" s="4"/>
      <c r="S324" s="4"/>
      <c r="T324" s="4"/>
      <c r="U324" s="4"/>
      <c r="V324" s="4"/>
      <c r="W324" s="4"/>
      <c r="X324" s="4"/>
      <c r="Y324" s="4"/>
      <c r="Z324" s="4"/>
      <c r="AA324" s="4"/>
      <c r="AB324" s="4"/>
      <c r="AC324" s="4"/>
      <c r="AD324" s="4"/>
      <c r="AE324" s="4"/>
      <c r="AF324" s="4"/>
      <c r="AG324" s="4"/>
      <c r="AH324" s="4"/>
    </row>
    <row r="325" ht="12.75" hidden="1" outlineLevel="1">
      <c r="A325" s="4"/>
      <c r="B325" t="s" s="4">
        <v>468</v>
      </c>
      <c r="C325" s="4">
        <f>IFERROR(MATCH(TRUE,INDEX(K$339:K$639&lt;$E$6,0),0),0)</f>
        <v>57</v>
      </c>
      <c r="D325" s="4">
        <f>IF(C325&lt;2,"",INDEX(J$339:J$639,C325-1)+(INDEX(K$339:K$639,C325-1)-$E$6)/(INDEX(K$339:K$639,C325-1)-INDEX(K$339:K$639,C325))*(INDEX(J$339:J$639,C325)-INDEX(J$339:J$639,C325-1)))</f>
        <v>1.1176027050597572</v>
      </c>
      <c r="E325" s="4">
        <f>IF(D325="","",$J$13+D325*($E$13-$J$13))</f>
        <v>16.705993237350608</v>
      </c>
      <c r="F325" s="4">
        <f>IFERROR(MATCH(TRUE,INDEX(L$339:L$639&lt;1,0),0),0)</f>
        <v>0</v>
      </c>
      <c r="G325" t="str" s="4">
        <f>IF(F325&lt;2,"",INDEX(J$339:J$639,F325-1)+(INDEX(L$339:L$639,F325-1)-1)/(INDEX(L$339:L$639,F325-1)-INDEX(L$339:L$639,F325))*(INDEX(J$339:J$639,F325)-INDEX(J$339:J$639,F325-1)))</f>
        <v/>
      </c>
      <c r="H325" t="str" s="4">
        <f>IF(G325="","",$J$13+G325*($E$13-$J$13))</f>
        <v/>
      </c>
      <c r="I325" s="4">
        <f>IF(D325="",999,D325)+ROW()/1000000</f>
        <v>1.1179277050597571</v>
      </c>
      <c r="J325" t="s" s="299">
        <v>437</v>
      </c>
      <c r="K325" t="s" s="299">
        <v>504</v>
      </c>
      <c r="L325" s="307">
        <f>$J$13</f>
        <v>19.5</v>
      </c>
      <c r="M325" s="307">
        <f>$E$13</f>
        <v>17</v>
      </c>
      <c r="N325" s="4"/>
      <c r="O325" s="4"/>
      <c r="P325" s="4"/>
      <c r="Q325" s="4"/>
      <c r="R325" s="4"/>
      <c r="S325" s="4"/>
      <c r="T325" s="4"/>
      <c r="U325" s="4"/>
      <c r="V325" s="4"/>
      <c r="W325" s="4"/>
      <c r="X325" s="4"/>
      <c r="Y325" s="4"/>
      <c r="Z325" s="4"/>
      <c r="AA325" s="4"/>
      <c r="AB325" s="4"/>
      <c r="AC325" s="4"/>
      <c r="AD325" s="4"/>
      <c r="AE325" s="4"/>
      <c r="AF325" s="4"/>
      <c r="AG325" s="4"/>
      <c r="AH325" s="4"/>
    </row>
    <row r="326" ht="12.75" hidden="1" outlineLevel="1">
      <c r="A326" s="4"/>
      <c r="B326" t="s" s="4">
        <v>420</v>
      </c>
      <c r="C326" s="4">
        <f>IFERROR(MATCH(TRUE,INDEX(O$339:O$639&lt;$E$6,0),0),0)</f>
        <v>29</v>
      </c>
      <c r="D326" s="4">
        <f>IF(C326&lt;2,"",INDEX(N$339:N$639,C326-1)+(INDEX(O$339:O$639,C326-1)-$E$6)/(INDEX(O$339:O$639,C326-1)-INDEX(O$339:O$639,C326))*(INDEX(N$339:N$639,C326)-INDEX(N$339:N$639,C326-1)))</f>
        <v>0.5441536504895848</v>
      </c>
      <c r="E326" s="4">
        <f>IF(D326="","",$J$14+D326*($E$14-$J$14))</f>
        <v>0.13925061205832293</v>
      </c>
      <c r="F326" s="4">
        <f>IFERROR(MATCH(TRUE,INDEX(P$339:P$639&lt;1,0),0),0)</f>
        <v>0</v>
      </c>
      <c r="G326" t="str" s="4">
        <f>IF(F326&lt;2,"",INDEX(N$339:N$639,F326-1)+(INDEX(P$339:P$639,F326-1)-1)/(INDEX(P$339:P$639,F326-1)-INDEX(P$339:P$639,F326))*(INDEX(N$339:N$639,F326)-INDEX(N$339:N$639,F326-1)))</f>
        <v/>
      </c>
      <c r="H326" t="str" s="4">
        <f>IF(G326="","",$J$14+G326*($E$14-$J$14))</f>
        <v/>
      </c>
      <c r="I326" s="4">
        <f>IF(D326="",999,D326)+ROW()/1000000</f>
        <v>0.5444796504895848</v>
      </c>
      <c r="J326" t="s" s="299">
        <v>438</v>
      </c>
      <c r="K326" t="s" s="299">
        <v>503</v>
      </c>
      <c r="L326" s="286">
        <f>$J$14</f>
        <v>0.13</v>
      </c>
      <c r="M326" s="286">
        <f>$E$14</f>
        <v>0.147</v>
      </c>
      <c r="N326" s="4"/>
      <c r="O326" s="4"/>
      <c r="P326" s="4"/>
      <c r="Q326" s="4"/>
      <c r="R326" s="4"/>
      <c r="S326" s="4"/>
      <c r="T326" s="4"/>
      <c r="U326" s="4"/>
      <c r="V326" s="4"/>
      <c r="W326" s="4"/>
      <c r="X326" s="4"/>
      <c r="Y326" s="4"/>
      <c r="Z326" s="4"/>
      <c r="AA326" s="4"/>
      <c r="AB326" s="4"/>
      <c r="AC326" s="4"/>
      <c r="AD326" s="4"/>
      <c r="AE326" s="4"/>
      <c r="AF326" s="4"/>
      <c r="AG326" s="4"/>
      <c r="AH326" s="4"/>
    </row>
    <row r="327" ht="12.75" hidden="1" outlineLevel="1">
      <c r="A327" s="4"/>
      <c r="B327" t="s" s="4">
        <v>419</v>
      </c>
      <c r="C327" s="4">
        <f>IFERROR(MATCH(TRUE,INDEX(S$339:S$639&lt;$E$6,0),0),0)</f>
        <v>14</v>
      </c>
      <c r="D327" s="4">
        <f>IF(C327&lt;2,"",INDEX(R$339:R$639,C327-1)+(INDEX(S$339:S$639,C327-1)-$E$6)/(INDEX(S$339:S$639,C327-1)-INDEX(S$339:S$639,C327))*(INDEX(R$339:R$639,C327)-INDEX(R$339:R$639,C327-1)))</f>
        <v>0.24189031006270337</v>
      </c>
      <c r="E327" s="4">
        <f>IF(D327="","",$J$15+D327*($E$15-$J$15))</f>
        <v>0.2649823802320692</v>
      </c>
      <c r="F327" s="4">
        <f>IFERROR(MATCH(TRUE,INDEX(T$339:T$639&lt;1,0),0),0)</f>
        <v>159</v>
      </c>
      <c r="G327" s="4">
        <f>IF(F327&lt;2,"",INDEX(R$339:R$639,F327-1)+(INDEX(T$339:T$639,F327-1)-1)/(INDEX(T$339:T$639,F327-1)-INDEX(T$339:T$639,F327))*(INDEX(R$339:R$639,F327)-INDEX(R$339:R$639,F327-1)))</f>
        <v>3.143294601834628</v>
      </c>
      <c r="H327" s="4">
        <f>IF(G327="","",$J$15+G327*($E$15-$J$15))</f>
        <v>0.3607287218605426</v>
      </c>
      <c r="I327" s="4">
        <f>IF(D327="",999,D327)+ROW()/1000000</f>
        <v>0.24221731006270336</v>
      </c>
      <c r="J327" t="s" s="299">
        <v>438</v>
      </c>
      <c r="K327" t="s" s="299">
        <v>503</v>
      </c>
      <c r="L327" s="286">
        <f>$J$15</f>
        <v>0.257</v>
      </c>
      <c r="M327" s="286">
        <f>$E$15</f>
        <v>0.29</v>
      </c>
      <c r="N327" s="4"/>
      <c r="O327" s="4"/>
      <c r="P327" s="4"/>
      <c r="Q327" s="4"/>
      <c r="R327" s="4"/>
      <c r="S327" s="4"/>
      <c r="T327" s="4"/>
      <c r="U327" s="4"/>
      <c r="V327" s="4"/>
      <c r="W327" s="4"/>
      <c r="X327" s="4"/>
      <c r="Y327" s="4"/>
      <c r="Z327" s="4"/>
      <c r="AA327" s="4"/>
      <c r="AB327" s="4"/>
      <c r="AC327" s="4"/>
      <c r="AD327" s="4"/>
      <c r="AE327" s="4"/>
      <c r="AF327" s="4"/>
      <c r="AG327" s="4"/>
      <c r="AH327" s="4"/>
    </row>
    <row r="328" ht="12.75" hidden="1" outlineLevel="1">
      <c r="A328" s="4"/>
      <c r="B328" t="s" s="4">
        <v>469</v>
      </c>
      <c r="C328" s="4">
        <f>IFERROR(MATCH(TRUE,INDEX(W$339:W$639&lt;$E$6,0),0),0)</f>
        <v>34</v>
      </c>
      <c r="D328" s="4">
        <f>IF(C328&lt;2,"",INDEX(V$339:V$639,C328-1)+(INDEX(W$339:W$639,C328-1)-$E$6)/(INDEX(W$339:W$639,C328-1)-INDEX(W$339:W$639,C328))*(INDEX(V$339:V$639,C328)-INDEX(V$339:V$639,C328-1)))</f>
        <v>0.6587074851801741</v>
      </c>
      <c r="E328" s="4">
        <f>IF(D328="","",$J$16+D328*($E$16-$J$16))</f>
        <v>24.84199320405854</v>
      </c>
      <c r="F328" s="4">
        <f>IFERROR(MATCH(TRUE,INDEX(X$339:X$639&lt;1,0),0),0)</f>
        <v>0</v>
      </c>
      <c r="G328" t="str" s="4">
        <f>IF(F328&lt;2,"",INDEX(V$339:V$639,F328-1)+(INDEX(X$339:X$639,F328-1)-1)/(INDEX(X$339:X$639,F328-1)-INDEX(X$339:X$639,F328))*(INDEX(V$339:V$639,F328)-INDEX(V$339:V$639,F328-1)))</f>
        <v/>
      </c>
      <c r="H328" t="str" s="4">
        <f>IF(G328="","",$J$16+G328*($E$16-$J$16))</f>
        <v/>
      </c>
      <c r="I328" s="4">
        <f>IF(D328="",999,D328)+ROW()/1000000</f>
        <v>0.6590354851801741</v>
      </c>
      <c r="J328" t="s" s="299">
        <v>437</v>
      </c>
      <c r="K328" t="s" s="299">
        <v>504</v>
      </c>
      <c r="L328" s="307">
        <f>$J$16</f>
        <v>22.8</v>
      </c>
      <c r="M328" s="307">
        <f>$E$16</f>
        <v>25.9</v>
      </c>
      <c r="N328" s="4"/>
      <c r="O328" s="4"/>
      <c r="P328" s="4"/>
      <c r="Q328" s="4"/>
      <c r="R328" s="4"/>
      <c r="S328" s="4"/>
      <c r="T328" s="4"/>
      <c r="U328" s="4"/>
      <c r="V328" s="4"/>
      <c r="W328" s="4"/>
      <c r="X328" s="4"/>
      <c r="Y328" s="4"/>
      <c r="Z328" s="4"/>
      <c r="AA328" s="4"/>
      <c r="AB328" s="4"/>
      <c r="AC328" s="4"/>
      <c r="AD328" s="4"/>
      <c r="AE328" s="4"/>
      <c r="AF328" s="4"/>
      <c r="AG328" s="4"/>
      <c r="AH328" s="4"/>
    </row>
    <row r="329" ht="12.75" hidden="1" outlineLevel="1">
      <c r="A329" s="4"/>
      <c r="B329" t="s" s="4">
        <v>421</v>
      </c>
      <c r="C329" s="4">
        <f>IFERROR(MATCH(TRUE,INDEX(AA$339:AA$639&lt;$E$6,0),0),0)</f>
        <v>9</v>
      </c>
      <c r="D329" s="4">
        <f>IF(C329&lt;2,"",INDEX(Z$339:Z$639,C329-1)+(INDEX(AA$339:AA$639,C329-1)-$E$6)/(INDEX(AA$339:AA$639,C329-1)-INDEX(AA$339:AA$639,C329))*(INDEX(Z$339:Z$639,C329)-INDEX(Z$339:Z$639,C329-1)))</f>
        <v>0.15444184177258935</v>
      </c>
      <c r="E329" s="4">
        <f>IF(D329="","",$J$18+D329*($E$18-$J$18))</f>
        <v>5.82268834159061</v>
      </c>
      <c r="F329" s="4">
        <f>IFERROR(MATCH(TRUE,INDEX(AB$339:AB$639&lt;1,0),0),0)</f>
        <v>102</v>
      </c>
      <c r="G329" s="4">
        <f>IF(F329&lt;2,"",INDEX(Z$339:Z$639,F329-1)+(INDEX(AB$339:AB$639,F329-1)-1)/(INDEX(AB$339:AB$639,F329-1)-INDEX(AB$339:AB$639,F329))*(INDEX(Z$339:Z$639,F329)-INDEX(Z$339:Z$639,F329-1)))</f>
        <v>2.0068961738227564</v>
      </c>
      <c r="H329" s="4">
        <f>IF(G329="","",$J$18+G329*($E$18-$J$18))</f>
        <v>3.695921747942217</v>
      </c>
      <c r="I329" s="4">
        <f>IF(D329="",999,D329)+ROW()/1000000</f>
        <v>0.15477084177258935</v>
      </c>
      <c r="J329" t="s" s="299">
        <v>437</v>
      </c>
      <c r="K329" t="s" s="299">
        <v>504</v>
      </c>
      <c r="L329" s="287">
        <f>$J$18</f>
        <v>6</v>
      </c>
      <c r="M329" s="4">
        <f>$E$18</f>
        <v>4.851919555126287</v>
      </c>
      <c r="N329" s="4"/>
      <c r="O329" s="4"/>
      <c r="P329" s="4"/>
      <c r="Q329" s="4"/>
      <c r="R329" s="4"/>
      <c r="S329" s="4"/>
      <c r="T329" s="4"/>
      <c r="U329" s="4"/>
      <c r="V329" s="4"/>
      <c r="W329" s="4"/>
      <c r="X329" s="4"/>
      <c r="Y329" s="4"/>
      <c r="Z329" s="4"/>
      <c r="AA329" s="4"/>
      <c r="AB329" s="4"/>
      <c r="AC329" s="4"/>
      <c r="AD329" s="4"/>
      <c r="AE329" s="4"/>
      <c r="AF329" s="4"/>
      <c r="AG329" s="4"/>
      <c r="AH329" s="4"/>
    </row>
    <row r="330" ht="12.75" hidden="1" outlineLevel="1">
      <c r="A330" s="4"/>
      <c r="B330" t="s" s="4">
        <v>422</v>
      </c>
      <c r="C330" s="4">
        <f>IFERROR(MATCH(TRUE,INDEX(AE$339:AE$639&lt;$E$6,0),0),0)</f>
        <v>32</v>
      </c>
      <c r="D330" s="4">
        <f>IF(C330&lt;2,"",INDEX(AD$339:AD$639,C330-1)+(INDEX(AE$339:AE$639,C330-1)-$E$6)/(INDEX(AE$339:AE$639,C330-1)-INDEX(AE$339:AE$639,C330))*(INDEX(AD$339:AD$639,C330)-INDEX(AD$339:AD$639,C330-1)))</f>
        <v>0.603339399316747</v>
      </c>
      <c r="E330" s="4">
        <f>IF(D330="","",$J$20+D330*($E$20-$J$20))</f>
        <v>10.301669699658374</v>
      </c>
      <c r="F330" s="4">
        <f>IFERROR(MATCH(TRUE,INDEX(AF$339:AF$639&lt;1,0),0),0)</f>
        <v>0</v>
      </c>
      <c r="G330" t="str" s="4">
        <f>IF(F330&lt;2,"",INDEX(AD$339:AD$639,F330-1)+(INDEX(AF$339:AF$639,F330-1)-1)/(INDEX(AF$339:AF$639,F330-1)-INDEX(AF$339:AF$639,F330))*(INDEX(AD$339:AD$639,F330)-INDEX(AD$339:AD$639,F330-1)))</f>
        <v/>
      </c>
      <c r="H330" t="str" s="4">
        <f>IF(G330="","",$J$20+G330*($E$20-$J$20))</f>
        <v/>
      </c>
      <c r="I330" s="4">
        <f>IF(D330="",999,D330)+ROW()/1000000</f>
        <v>0.603669399316747</v>
      </c>
      <c r="J330" t="s" s="299">
        <v>505</v>
      </c>
      <c r="K330" t="s" s="299">
        <v>506</v>
      </c>
      <c r="L330" s="298">
        <f>$J$20</f>
        <v>10</v>
      </c>
      <c r="M330" s="4">
        <f>$E$20</f>
        <v>10.5</v>
      </c>
      <c r="N330" s="4"/>
      <c r="O330" s="4"/>
      <c r="P330" s="4"/>
      <c r="Q330" s="4"/>
      <c r="R330" s="4"/>
      <c r="S330" s="4"/>
      <c r="T330" s="4"/>
      <c r="U330" s="4"/>
      <c r="V330" s="4"/>
      <c r="W330" s="4"/>
      <c r="X330" s="4"/>
      <c r="Y330" s="4"/>
      <c r="Z330" s="4"/>
      <c r="AA330" s="4"/>
      <c r="AB330" s="4"/>
      <c r="AC330" s="4"/>
      <c r="AD330" s="4"/>
      <c r="AE330" s="4"/>
      <c r="AF330" s="4"/>
      <c r="AG330" s="4"/>
      <c r="AH330" s="4"/>
    </row>
    <row r="331" ht="12.75" hidden="1" outlineLevel="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row>
    <row r="332" ht="12.75" hidden="1" outlineLevel="1">
      <c r="A332" s="4"/>
      <c r="B332" t="s" s="16">
        <v>507</v>
      </c>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row>
    <row r="333" ht="12.75" hidden="1" outlineLevel="1">
      <c r="A333" s="4"/>
      <c r="B333" s="4"/>
      <c r="C333" s="187">
        <f>$C$166</f>
        <v>0.211735490955125</v>
      </c>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row>
    <row r="334" ht="12.75" hidden="1" outlineLevel="1">
      <c r="A334" s="4"/>
      <c r="B334" s="221">
        <f>Model!Y15</f>
        <v>5.736283766853221</v>
      </c>
      <c r="C334" s="187">
        <f t="dataTable" ref="C334" r1="D161"/>
        <v>0.19411199661448286</v>
      </c>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row>
    <row r="335" ht="12.75" hidden="1" outlineLevel="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row>
    <row r="336" ht="12.75" hidden="1" outlineLevel="1">
      <c r="A336" s="4"/>
      <c r="B336" t="s" s="16">
        <v>508</v>
      </c>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row>
    <row r="337" ht="12.75" hidden="1" outlineLevel="1">
      <c r="A337" s="4"/>
      <c r="B337" t="s" s="4">
        <v>509</v>
      </c>
      <c r="C337" t="s" s="4">
        <v>71</v>
      </c>
      <c r="D337" t="s" s="4">
        <v>72</v>
      </c>
      <c r="E337" s="4"/>
      <c r="F337" t="s" s="4">
        <v>510</v>
      </c>
      <c r="G337" t="s" s="4">
        <v>71</v>
      </c>
      <c r="H337" t="s" s="4">
        <v>72</v>
      </c>
      <c r="I337" s="4"/>
      <c r="J337" t="s" s="4">
        <v>511</v>
      </c>
      <c r="K337" t="s" s="4">
        <v>71</v>
      </c>
      <c r="L337" t="s" s="4">
        <v>72</v>
      </c>
      <c r="M337" s="4"/>
      <c r="N337" t="s" s="4">
        <v>512</v>
      </c>
      <c r="O337" t="s" s="4">
        <v>71</v>
      </c>
      <c r="P337" t="s" s="4">
        <v>72</v>
      </c>
      <c r="Q337" s="4"/>
      <c r="R337" t="s" s="4">
        <v>513</v>
      </c>
      <c r="S337" t="s" s="4">
        <v>71</v>
      </c>
      <c r="T337" t="s" s="4">
        <v>72</v>
      </c>
      <c r="U337" s="4"/>
      <c r="V337" t="s" s="4">
        <v>514</v>
      </c>
      <c r="W337" t="s" s="4">
        <v>71</v>
      </c>
      <c r="X337" t="s" s="4">
        <v>72</v>
      </c>
      <c r="Y337" s="4"/>
      <c r="Z337" t="s" s="4">
        <v>515</v>
      </c>
      <c r="AA337" t="s" s="4">
        <v>71</v>
      </c>
      <c r="AB337" t="s" s="4">
        <v>72</v>
      </c>
      <c r="AC337" s="4"/>
      <c r="AD337" t="s" s="4">
        <v>516</v>
      </c>
      <c r="AE337" t="s" s="4">
        <v>71</v>
      </c>
      <c r="AF337" t="s" s="4">
        <v>72</v>
      </c>
      <c r="AG337" s="4"/>
      <c r="AH337" s="4"/>
    </row>
    <row r="338" ht="12.75" hidden="1" outlineLevel="1">
      <c r="A338" s="4"/>
      <c r="B338" s="4"/>
      <c r="C338" s="187">
        <f>$C$166</f>
        <v>0.211735490955125</v>
      </c>
      <c r="D338" s="190">
        <f>$C$167</f>
        <v>2.6123967897992326</v>
      </c>
      <c r="E338" s="4"/>
      <c r="F338" s="4"/>
      <c r="G338" s="187">
        <f>$C$166</f>
        <v>0.211735490955125</v>
      </c>
      <c r="H338" s="190">
        <f>$C$167</f>
        <v>2.6123967897992326</v>
      </c>
      <c r="I338" s="4"/>
      <c r="J338" s="4"/>
      <c r="K338" s="187">
        <f>$C$166</f>
        <v>0.211735490955125</v>
      </c>
      <c r="L338" s="190">
        <f>$C$167</f>
        <v>2.6123967897992326</v>
      </c>
      <c r="M338" s="4"/>
      <c r="N338" s="4"/>
      <c r="O338" s="187">
        <f>$C$166</f>
        <v>0.211735490955125</v>
      </c>
      <c r="P338" s="190">
        <f>$C$167</f>
        <v>2.6123967897992326</v>
      </c>
      <c r="Q338" s="4"/>
      <c r="R338" s="4"/>
      <c r="S338" s="187">
        <f>$C$166</f>
        <v>0.211735490955125</v>
      </c>
      <c r="T338" s="190">
        <f>$C$167</f>
        <v>2.6123967897992326</v>
      </c>
      <c r="U338" s="4"/>
      <c r="V338" s="4"/>
      <c r="W338" s="187">
        <f>$C$166</f>
        <v>0.211735490955125</v>
      </c>
      <c r="X338" s="190">
        <f>$C$167</f>
        <v>2.6123967897992326</v>
      </c>
      <c r="Y338" s="4"/>
      <c r="Z338" s="4"/>
      <c r="AA338" s="187">
        <f>$C$166</f>
        <v>0.211735490955125</v>
      </c>
      <c r="AB338" s="190">
        <f>$C$167</f>
        <v>2.6123967897992326</v>
      </c>
      <c r="AC338" s="4"/>
      <c r="AD338" s="4"/>
      <c r="AE338" s="187">
        <f>$C$166</f>
        <v>0.211735490955125</v>
      </c>
      <c r="AF338" s="190">
        <f>$C$167</f>
        <v>2.6123967897992326</v>
      </c>
      <c r="AG338" s="4"/>
      <c r="AH338" s="4"/>
    </row>
    <row r="339" ht="12.75" hidden="1" outlineLevel="1">
      <c r="A339" s="4"/>
      <c r="B339" s="4">
        <v>0</v>
      </c>
      <c r="C339" s="187">
        <f t="dataTable" ref="C339:D639" r1="C155"/>
        <v>0.211735490955125</v>
      </c>
      <c r="D339" s="190">
        <v>2.6123967897992326</v>
      </c>
      <c r="E339" s="4"/>
      <c r="F339" s="4">
        <v>0</v>
      </c>
      <c r="G339" s="187">
        <f t="dataTable" ref="G339:H639" r1="C156"/>
        <v>0.211735490955125</v>
      </c>
      <c r="H339" s="190">
        <v>2.6123967897992326</v>
      </c>
      <c r="I339" s="4"/>
      <c r="J339" s="4">
        <v>0</v>
      </c>
      <c r="K339" s="187">
        <f t="dataTable" ref="K339:L639" r1="C157"/>
        <v>0.211735490955125</v>
      </c>
      <c r="L339" s="190">
        <v>2.6123967897992326</v>
      </c>
      <c r="M339" s="4"/>
      <c r="N339" s="4">
        <v>0</v>
      </c>
      <c r="O339" s="187">
        <f t="dataTable" ref="O339:P639" r1="C158"/>
        <v>0.211735490955125</v>
      </c>
      <c r="P339" s="190">
        <v>2.6123967897992326</v>
      </c>
      <c r="Q339" s="4"/>
      <c r="R339" s="4">
        <v>0</v>
      </c>
      <c r="S339" s="187">
        <f t="dataTable" ref="S339:T639" r1="C159"/>
        <v>0.211735490955125</v>
      </c>
      <c r="T339" s="190">
        <v>2.6123967897992326</v>
      </c>
      <c r="U339" s="4"/>
      <c r="V339" s="4">
        <v>0</v>
      </c>
      <c r="W339" s="187">
        <f t="dataTable" ref="W339:X639" r1="C160"/>
        <v>0.211735490955125</v>
      </c>
      <c r="X339" s="190">
        <v>2.6123967897992326</v>
      </c>
      <c r="Y339" s="4"/>
      <c r="Z339" s="4">
        <v>0</v>
      </c>
      <c r="AA339" s="187">
        <f t="dataTable" ref="AA339:AB639" r1="C161"/>
        <v>0.211735490955125</v>
      </c>
      <c r="AB339" s="190">
        <v>2.6123967897992326</v>
      </c>
      <c r="AC339" s="4"/>
      <c r="AD339" s="4">
        <v>0</v>
      </c>
      <c r="AE339" s="187">
        <f t="dataTable" ref="AE339:AF639" r1="C162"/>
        <v>0.211735490955125</v>
      </c>
      <c r="AF339" s="190">
        <v>2.6123967897992326</v>
      </c>
      <c r="AG339" s="4"/>
      <c r="AH339" s="4"/>
    </row>
    <row r="340" ht="12.75" hidden="1" outlineLevel="1">
      <c r="A340" s="4"/>
      <c r="B340" s="4">
        <v>0.02</v>
      </c>
      <c r="C340" s="187">
        <v>0.21133880911529812</v>
      </c>
      <c r="D340" s="190">
        <v>2.6081235300785797</v>
      </c>
      <c r="E340" s="4"/>
      <c r="F340" s="4">
        <v>0.02</v>
      </c>
      <c r="G340" s="187">
        <v>0.21107657592497975</v>
      </c>
      <c r="H340" s="190">
        <v>2.605301691576734</v>
      </c>
      <c r="I340" s="4"/>
      <c r="J340" s="4">
        <v>0.02</v>
      </c>
      <c r="K340" s="187">
        <v>0.21152943783662104</v>
      </c>
      <c r="L340" s="190">
        <v>2.6101763816763617</v>
      </c>
      <c r="M340" s="4"/>
      <c r="N340" s="4">
        <v>0.02</v>
      </c>
      <c r="O340" s="187">
        <v>0.21131214129446407</v>
      </c>
      <c r="P340" s="190">
        <v>2.6078364514011794</v>
      </c>
      <c r="Q340" s="4"/>
      <c r="R340" s="4">
        <v>0.02</v>
      </c>
      <c r="S340" s="187">
        <v>0.21078230214247706</v>
      </c>
      <c r="T340" s="190">
        <v>2.602137979598982</v>
      </c>
      <c r="U340" s="4"/>
      <c r="V340" s="4">
        <v>0.02</v>
      </c>
      <c r="W340" s="187">
        <v>0.21138580611490476</v>
      </c>
      <c r="X340" s="190">
        <v>2.608629513586696</v>
      </c>
      <c r="Y340" s="4"/>
      <c r="Z340" s="4">
        <v>0.02</v>
      </c>
      <c r="AA340" s="187">
        <v>0.21024133410900148</v>
      </c>
      <c r="AB340" s="190">
        <v>2.5963300975786994</v>
      </c>
      <c r="AC340" s="4"/>
      <c r="AD340" s="4">
        <v>0.02</v>
      </c>
      <c r="AE340" s="187">
        <v>0.21133492840734558</v>
      </c>
      <c r="AF340" s="190">
        <v>2.6080817527459366</v>
      </c>
      <c r="AG340" s="4"/>
      <c r="AH340" s="4"/>
    </row>
    <row r="341" ht="12.75" hidden="1" outlineLevel="1">
      <c r="A341" s="4"/>
      <c r="B341" s="4">
        <v>0.04</v>
      </c>
      <c r="C341" s="187">
        <v>0.21094197082727684</v>
      </c>
      <c r="D341" s="190">
        <v>2.60385418218637</v>
      </c>
      <c r="E341" s="4"/>
      <c r="F341" s="4">
        <v>0.04</v>
      </c>
      <c r="G341" s="187">
        <v>0.21041691065876655</v>
      </c>
      <c r="H341" s="190">
        <v>2.598213965505502</v>
      </c>
      <c r="I341" s="4"/>
      <c r="J341" s="4">
        <v>0.04</v>
      </c>
      <c r="K341" s="187">
        <v>0.21132324444321027</v>
      </c>
      <c r="L341" s="190">
        <v>2.6079559735534916</v>
      </c>
      <c r="M341" s="4"/>
      <c r="N341" s="4">
        <v>0.04</v>
      </c>
      <c r="O341" s="187">
        <v>0.21088819896775446</v>
      </c>
      <c r="P341" s="190">
        <v>2.603276113003123</v>
      </c>
      <c r="Q341" s="4"/>
      <c r="R341" s="4">
        <v>0.04</v>
      </c>
      <c r="S341" s="187">
        <v>0.20982610225028187</v>
      </c>
      <c r="T341" s="190">
        <v>2.59187916939873</v>
      </c>
      <c r="U341" s="4"/>
      <c r="V341" s="4">
        <v>0.04</v>
      </c>
      <c r="W341" s="187">
        <v>0.21103571704056856</v>
      </c>
      <c r="X341" s="190">
        <v>2.6048622373741583</v>
      </c>
      <c r="Y341" s="4"/>
      <c r="Z341" s="4">
        <v>0.04</v>
      </c>
      <c r="AA341" s="187">
        <v>0.20873976190557264</v>
      </c>
      <c r="AB341" s="190">
        <v>2.580263405358166</v>
      </c>
      <c r="AC341" s="4"/>
      <c r="AD341" s="4">
        <v>0.04</v>
      </c>
      <c r="AE341" s="187">
        <v>0.21093518481670603</v>
      </c>
      <c r="AF341" s="190">
        <v>2.603781224173549</v>
      </c>
      <c r="AG341" s="4"/>
      <c r="AH341" s="4"/>
    </row>
    <row r="342" ht="12.75" hidden="1" outlineLevel="1">
      <c r="A342" s="4"/>
      <c r="B342" s="4">
        <v>0.06</v>
      </c>
      <c r="C342" s="187">
        <v>0.21054497573575004</v>
      </c>
      <c r="D342" s="190">
        <v>2.599588743425187</v>
      </c>
      <c r="E342" s="4"/>
      <c r="F342" s="4">
        <v>0.06</v>
      </c>
      <c r="G342" s="187">
        <v>0.20975649205839675</v>
      </c>
      <c r="H342" s="190">
        <v>2.5911336058616787</v>
      </c>
      <c r="I342" s="4"/>
      <c r="J342" s="4">
        <v>0.06</v>
      </c>
      <c r="K342" s="187">
        <v>0.2111169105598456</v>
      </c>
      <c r="L342" s="190">
        <v>2.6057355654306202</v>
      </c>
      <c r="M342" s="4"/>
      <c r="N342" s="4">
        <v>0.06</v>
      </c>
      <c r="O342" s="187">
        <v>0.21046366210489942</v>
      </c>
      <c r="P342" s="190">
        <v>2.598715774605069</v>
      </c>
      <c r="Q342" s="4"/>
      <c r="R342" s="4">
        <v>0.06</v>
      </c>
      <c r="S342" s="187">
        <v>0.20886686979197333</v>
      </c>
      <c r="T342" s="190">
        <v>2.5816203591984777</v>
      </c>
      <c r="U342" s="4"/>
      <c r="V342" s="4">
        <v>0.06</v>
      </c>
      <c r="W342" s="187">
        <v>0.2106852226791862</v>
      </c>
      <c r="X342" s="190">
        <v>2.6010949611616203</v>
      </c>
      <c r="Y342" s="4"/>
      <c r="Z342" s="4">
        <v>0.06</v>
      </c>
      <c r="AA342" s="187">
        <v>0.20723069102378</v>
      </c>
      <c r="AB342" s="190">
        <v>2.5641967131376315</v>
      </c>
      <c r="AC342" s="4"/>
      <c r="AD342" s="4">
        <v>0.06</v>
      </c>
      <c r="AE342" s="187">
        <v>0.2105362571532461</v>
      </c>
      <c r="AF342" s="190">
        <v>2.5994951310319223</v>
      </c>
      <c r="AG342" s="4"/>
      <c r="AH342" s="4"/>
    </row>
    <row r="343" ht="12.75" hidden="1" outlineLevel="1">
      <c r="A343" s="4"/>
      <c r="B343" s="4">
        <v>0.08</v>
      </c>
      <c r="C343" s="187">
        <v>0.2101478234842895</v>
      </c>
      <c r="D343" s="190">
        <v>2.5953272110988443</v>
      </c>
      <c r="E343" s="4"/>
      <c r="F343" s="4">
        <v>0.08</v>
      </c>
      <c r="G343" s="187">
        <v>0.20909531700687767</v>
      </c>
      <c r="H343" s="190">
        <v>2.5840606069243672</v>
      </c>
      <c r="I343" s="4"/>
      <c r="J343" s="4">
        <v>0.08</v>
      </c>
      <c r="K343" s="187">
        <v>0.21091043597096704</v>
      </c>
      <c r="L343" s="190">
        <v>2.6035151573077506</v>
      </c>
      <c r="M343" s="4"/>
      <c r="N343" s="4">
        <v>0.08</v>
      </c>
      <c r="O343" s="187">
        <v>0.21003852882660623</v>
      </c>
      <c r="P343" s="190">
        <v>2.594155436207015</v>
      </c>
      <c r="Q343" s="4"/>
      <c r="R343" s="4">
        <v>0.08</v>
      </c>
      <c r="S343" s="187">
        <v>0.20790458304153092</v>
      </c>
      <c r="T343" s="190">
        <v>2.5713615489982264</v>
      </c>
      <c r="U343" s="4"/>
      <c r="V343" s="4">
        <v>0.08</v>
      </c>
      <c r="W343" s="187">
        <v>0.21033432197355428</v>
      </c>
      <c r="X343" s="190">
        <v>2.5973276849490827</v>
      </c>
      <c r="Y343" s="4"/>
      <c r="Z343" s="4">
        <v>0.08</v>
      </c>
      <c r="AA343" s="187">
        <v>0.20571403667707</v>
      </c>
      <c r="AB343" s="190">
        <v>2.5481300209170983</v>
      </c>
      <c r="AC343" s="4"/>
      <c r="AD343" s="4">
        <v>0.08</v>
      </c>
      <c r="AE343" s="187">
        <v>0.21013814240326978</v>
      </c>
      <c r="AF343" s="190">
        <v>2.5952234007604953</v>
      </c>
      <c r="AG343" s="4"/>
      <c r="AH343" s="4"/>
    </row>
    <row r="344" ht="12.75" hidden="1" outlineLevel="1">
      <c r="A344" s="4"/>
      <c r="B344" s="4">
        <v>0.1</v>
      </c>
      <c r="C344" s="187">
        <v>0.2097505137153437</v>
      </c>
      <c r="D344" s="190">
        <v>2.591069582512386</v>
      </c>
      <c r="E344" s="4"/>
      <c r="F344" s="4">
        <v>0.1</v>
      </c>
      <c r="G344" s="187">
        <v>0.20843338236815678</v>
      </c>
      <c r="H344" s="190">
        <v>2.5769949629756144</v>
      </c>
      <c r="I344" s="4"/>
      <c r="J344" s="4">
        <v>0.1</v>
      </c>
      <c r="K344" s="187">
        <v>0.2107038204604994</v>
      </c>
      <c r="L344" s="190">
        <v>2.6012947491848797</v>
      </c>
      <c r="M344" s="4"/>
      <c r="N344" s="4">
        <v>0.1</v>
      </c>
      <c r="O344" s="187">
        <v>0.20961279724432558</v>
      </c>
      <c r="P344" s="190">
        <v>2.5895950978089597</v>
      </c>
      <c r="Q344" s="4"/>
      <c r="R344" s="4">
        <v>0.1</v>
      </c>
      <c r="S344" s="187">
        <v>0.20693922002984344</v>
      </c>
      <c r="T344" s="190">
        <v>2.5611027387979752</v>
      </c>
      <c r="U344" s="4"/>
      <c r="V344" s="4">
        <v>0.1</v>
      </c>
      <c r="W344" s="187">
        <v>0.20998301386217366</v>
      </c>
      <c r="X344" s="190">
        <v>2.593560408736545</v>
      </c>
      <c r="Y344" s="4"/>
      <c r="Z344" s="4">
        <v>0.1</v>
      </c>
      <c r="AA344" s="187">
        <v>0.20418971257819196</v>
      </c>
      <c r="AB344" s="190">
        <v>2.532063328696565</v>
      </c>
      <c r="AC344" s="4"/>
      <c r="AD344" s="4">
        <v>0.1</v>
      </c>
      <c r="AE344" s="187">
        <v>0.2097408375692298</v>
      </c>
      <c r="AF344" s="190">
        <v>2.5909659612841955</v>
      </c>
      <c r="AG344" s="4"/>
      <c r="AH344" s="4"/>
    </row>
    <row r="345" ht="12.75" hidden="1" outlineLevel="1">
      <c r="A345" s="4"/>
      <c r="B345" s="4">
        <v>0.12</v>
      </c>
      <c r="C345" s="187">
        <v>0.20935304607023442</v>
      </c>
      <c r="D345" s="190">
        <v>2.586815854972093</v>
      </c>
      <c r="E345" s="4"/>
      <c r="F345" s="4">
        <v>0.12</v>
      </c>
      <c r="G345" s="187">
        <v>0.2077706849869667</v>
      </c>
      <c r="H345" s="190">
        <v>2.5699366683004317</v>
      </c>
      <c r="I345" s="4"/>
      <c r="J345" s="4">
        <v>0.12</v>
      </c>
      <c r="K345" s="187">
        <v>0.21049706381185107</v>
      </c>
      <c r="L345" s="190">
        <v>2.5990743410620074</v>
      </c>
      <c r="M345" s="4"/>
      <c r="N345" s="4">
        <v>0.12</v>
      </c>
      <c r="O345" s="187">
        <v>0.2091864654601896</v>
      </c>
      <c r="P345" s="190">
        <v>2.5850347594109055</v>
      </c>
      <c r="Q345" s="4"/>
      <c r="R345" s="4">
        <v>0.12</v>
      </c>
      <c r="S345" s="187">
        <v>0.20597075854100244</v>
      </c>
      <c r="T345" s="190">
        <v>2.550843928597723</v>
      </c>
      <c r="U345" s="4"/>
      <c r="V345" s="4">
        <v>0.12</v>
      </c>
      <c r="W345" s="187">
        <v>0.2096312972792258</v>
      </c>
      <c r="X345" s="190">
        <v>2.589793132524007</v>
      </c>
      <c r="Y345" s="4"/>
      <c r="Z345" s="4">
        <v>0.12</v>
      </c>
      <c r="AA345" s="187">
        <v>0.20265763090291955</v>
      </c>
      <c r="AB345" s="190">
        <v>2.515996636476032</v>
      </c>
      <c r="AC345" s="4"/>
      <c r="AD345" s="4">
        <v>0.12</v>
      </c>
      <c r="AE345" s="187">
        <v>0.20934433966961552</v>
      </c>
      <c r="AF345" s="190">
        <v>2.5867227410093987</v>
      </c>
      <c r="AG345" s="4"/>
      <c r="AH345" s="4"/>
    </row>
    <row r="346" ht="12.75" hidden="1" outlineLevel="1">
      <c r="A346" s="4"/>
      <c r="B346" s="4">
        <v>0.14</v>
      </c>
      <c r="C346" s="187">
        <v>0.20895542018915236</v>
      </c>
      <c r="D346" s="190">
        <v>2.5825660257854812</v>
      </c>
      <c r="E346" s="4"/>
      <c r="F346" s="4">
        <v>0.14</v>
      </c>
      <c r="G346" s="187">
        <v>0.20710722168866424</v>
      </c>
      <c r="H346" s="190">
        <v>2.5628857171867794</v>
      </c>
      <c r="I346" s="4"/>
      <c r="J346" s="4">
        <v>0.14</v>
      </c>
      <c r="K346" s="187">
        <v>0.21029016580791238</v>
      </c>
      <c r="L346" s="190">
        <v>2.596853932939137</v>
      </c>
      <c r="M346" s="4"/>
      <c r="N346" s="4">
        <v>0.14</v>
      </c>
      <c r="O346" s="187">
        <v>0.2087595315669486</v>
      </c>
      <c r="P346" s="190">
        <v>2.5804744210128514</v>
      </c>
      <c r="Q346" s="4"/>
      <c r="R346" s="4">
        <v>0.14</v>
      </c>
      <c r="S346" s="187">
        <v>0.2049991761085257</v>
      </c>
      <c r="T346" s="190">
        <v>2.5405851183974715</v>
      </c>
      <c r="U346" s="4"/>
      <c r="V346" s="4">
        <v>0.14</v>
      </c>
      <c r="W346" s="187">
        <v>0.20927917115454786</v>
      </c>
      <c r="X346" s="190">
        <v>2.58602585631147</v>
      </c>
      <c r="Y346" s="4"/>
      <c r="Z346" s="4">
        <v>0.14</v>
      </c>
      <c r="AA346" s="187">
        <v>0.20111770225265846</v>
      </c>
      <c r="AB346" s="190">
        <v>2.4999299442554985</v>
      </c>
      <c r="AC346" s="4"/>
      <c r="AD346" s="4">
        <v>0.14</v>
      </c>
      <c r="AE346" s="187">
        <v>0.20894864573884053</v>
      </c>
      <c r="AF346" s="190">
        <v>2.582493668819898</v>
      </c>
      <c r="AG346" s="4"/>
      <c r="AH346" s="4"/>
    </row>
    <row r="347" ht="12.75" hidden="1" outlineLevel="1">
      <c r="A347" s="4"/>
      <c r="B347" s="4">
        <v>0.16</v>
      </c>
      <c r="C347" s="187">
        <v>0.2085576357111505</v>
      </c>
      <c r="D347" s="190">
        <v>2.578320092261294</v>
      </c>
      <c r="E347" s="4"/>
      <c r="F347" s="4">
        <v>0.16</v>
      </c>
      <c r="G347" s="187">
        <v>0.2064429892790709</v>
      </c>
      <c r="H347" s="190">
        <v>2.5558421039255594</v>
      </c>
      <c r="I347" s="4"/>
      <c r="J347" s="4">
        <v>0.16</v>
      </c>
      <c r="K347" s="187">
        <v>0.2100831262310534</v>
      </c>
      <c r="L347" s="190">
        <v>2.594633524816267</v>
      </c>
      <c r="M347" s="4"/>
      <c r="N347" s="4">
        <v>0.16</v>
      </c>
      <c r="O347" s="187">
        <v>0.20833199364790933</v>
      </c>
      <c r="P347" s="190">
        <v>2.575914082614797</v>
      </c>
      <c r="Q347" s="4"/>
      <c r="R347" s="4">
        <v>0.16</v>
      </c>
      <c r="S347" s="187">
        <v>0.2040244500115045</v>
      </c>
      <c r="T347" s="190">
        <v>2.5303263081972203</v>
      </c>
      <c r="U347" s="4"/>
      <c r="V347" s="4">
        <v>0.16</v>
      </c>
      <c r="W347" s="187">
        <v>0.20892663441360937</v>
      </c>
      <c r="X347" s="190">
        <v>2.582258580098932</v>
      </c>
      <c r="Y347" s="4"/>
      <c r="Z347" s="4">
        <v>0.16</v>
      </c>
      <c r="AA347" s="187">
        <v>0.1995698356158977</v>
      </c>
      <c r="AB347" s="190">
        <v>2.4838632520349644</v>
      </c>
      <c r="AC347" s="4"/>
      <c r="AD347" s="4">
        <v>0.16</v>
      </c>
      <c r="AE347" s="187">
        <v>0.20855375282712996</v>
      </c>
      <c r="AF347" s="190">
        <v>2.578278674072946</v>
      </c>
      <c r="AG347" s="4"/>
      <c r="AH347" s="4"/>
    </row>
    <row r="348" ht="12.75" hidden="1" outlineLevel="1">
      <c r="A348" s="4"/>
      <c r="B348" s="4">
        <v>0.18</v>
      </c>
      <c r="C348" s="187">
        <v>0.208159692274142</v>
      </c>
      <c r="D348" s="190">
        <v>2.5740780517095083</v>
      </c>
      <c r="E348" s="4"/>
      <c r="F348" s="4">
        <v>0.18</v>
      </c>
      <c r="G348" s="187">
        <v>0.2057779845443113</v>
      </c>
      <c r="H348" s="190">
        <v>2.548805822810635</v>
      </c>
      <c r="I348" s="4"/>
      <c r="J348" s="4">
        <v>0.18</v>
      </c>
      <c r="K348" s="187">
        <v>0.20987594486312222</v>
      </c>
      <c r="L348" s="190">
        <v>2.5924131166933946</v>
      </c>
      <c r="M348" s="4"/>
      <c r="N348" s="4">
        <v>0.18</v>
      </c>
      <c r="O348" s="187">
        <v>0.20790384977686993</v>
      </c>
      <c r="P348" s="190">
        <v>2.571353744216741</v>
      </c>
      <c r="Q348" s="4"/>
      <c r="R348" s="4">
        <v>0.18</v>
      </c>
      <c r="S348" s="187">
        <v>0.20304655727067833</v>
      </c>
      <c r="T348" s="190">
        <v>2.5200674979969686</v>
      </c>
      <c r="U348" s="4"/>
      <c r="V348" s="4">
        <v>0.18</v>
      </c>
      <c r="W348" s="187">
        <v>0.2085736859774885</v>
      </c>
      <c r="X348" s="190">
        <v>2.5784913038863944</v>
      </c>
      <c r="Y348" s="4"/>
      <c r="Z348" s="4">
        <v>0.18</v>
      </c>
      <c r="AA348" s="187">
        <v>0.19801393832845982</v>
      </c>
      <c r="AB348" s="190">
        <v>2.467796559814431</v>
      </c>
      <c r="AC348" s="4"/>
      <c r="AD348" s="4">
        <v>0.18</v>
      </c>
      <c r="AE348" s="187">
        <v>0.20815965800041214</v>
      </c>
      <c r="AF348" s="190">
        <v>2.574077686595313</v>
      </c>
      <c r="AG348" s="4"/>
      <c r="AH348" s="4"/>
    </row>
    <row r="349" ht="12.75" hidden="1" outlineLevel="1">
      <c r="A349" s="4"/>
      <c r="B349" s="4">
        <v>0.2</v>
      </c>
      <c r="C349" s="187">
        <v>0.2077615895148932</v>
      </c>
      <c r="D349" s="190">
        <v>2.5698399014413376</v>
      </c>
      <c r="E349" s="4"/>
      <c r="F349" s="4">
        <v>0.2</v>
      </c>
      <c r="G349" s="187">
        <v>0.2051122042506488</v>
      </c>
      <c r="H349" s="190">
        <v>2.5417768681388107</v>
      </c>
      <c r="I349" s="4"/>
      <c r="J349" s="4">
        <v>0.2</v>
      </c>
      <c r="K349" s="187">
        <v>0.20966862148544463</v>
      </c>
      <c r="L349" s="190">
        <v>2.5901927085705245</v>
      </c>
      <c r="M349" s="4"/>
      <c r="N349" s="4">
        <v>0.2</v>
      </c>
      <c r="O349" s="187">
        <v>0.2074750980180573</v>
      </c>
      <c r="P349" s="190">
        <v>2.5667934058186876</v>
      </c>
      <c r="Q349" s="4"/>
      <c r="R349" s="4">
        <v>0.2</v>
      </c>
      <c r="S349" s="187">
        <v>0.2020654746444317</v>
      </c>
      <c r="T349" s="190">
        <v>2.5098086877967165</v>
      </c>
      <c r="U349" s="4"/>
      <c r="V349" s="4">
        <v>0.2</v>
      </c>
      <c r="W349" s="187">
        <v>0.20822032476284646</v>
      </c>
      <c r="X349" s="190">
        <v>2.5747240276738563</v>
      </c>
      <c r="Y349" s="4"/>
      <c r="Z349" s="4">
        <v>0.2</v>
      </c>
      <c r="AA349" s="187">
        <v>0.19644991603250617</v>
      </c>
      <c r="AB349" s="190">
        <v>2.4517298675938974</v>
      </c>
      <c r="AC349" s="4"/>
      <c r="AD349" s="4">
        <v>0.2</v>
      </c>
      <c r="AE349" s="187">
        <v>0.2077663583402063</v>
      </c>
      <c r="AF349" s="190">
        <v>2.569890636679393</v>
      </c>
      <c r="AG349" s="4"/>
      <c r="AH349" s="4"/>
    </row>
    <row r="350" ht="12.75" hidden="1" outlineLevel="1">
      <c r="A350" s="4"/>
      <c r="B350" s="4">
        <v>0.22</v>
      </c>
      <c r="C350" s="187">
        <v>0.2073633270690194</v>
      </c>
      <c r="D350" s="190">
        <v>2.5656056387692163</v>
      </c>
      <c r="E350" s="4"/>
      <c r="F350" s="4">
        <v>0.22</v>
      </c>
      <c r="G350" s="187">
        <v>0.2044456451443215</v>
      </c>
      <c r="H350" s="190">
        <v>2.5347552342098507</v>
      </c>
      <c r="I350" s="4"/>
      <c r="J350" s="4">
        <v>0.22</v>
      </c>
      <c r="K350" s="187">
        <v>0.2094611558788202</v>
      </c>
      <c r="L350" s="190">
        <v>2.5879723004476545</v>
      </c>
      <c r="M350" s="4"/>
      <c r="N350" s="4">
        <v>0.22</v>
      </c>
      <c r="O350" s="187">
        <v>0.20704573642606072</v>
      </c>
      <c r="P350" s="190">
        <v>2.5622330674206335</v>
      </c>
      <c r="Q350" s="4"/>
      <c r="R350" s="4">
        <v>0.22</v>
      </c>
      <c r="S350" s="187">
        <v>0.20108117862471264</v>
      </c>
      <c r="T350" s="190">
        <v>2.4995498775964644</v>
      </c>
      <c r="U350" s="4"/>
      <c r="V350" s="4">
        <v>0.22</v>
      </c>
      <c r="W350" s="187">
        <v>0.20786654968190366</v>
      </c>
      <c r="X350" s="190">
        <v>2.570956751461319</v>
      </c>
      <c r="Y350" s="4"/>
      <c r="Z350" s="4">
        <v>0.22</v>
      </c>
      <c r="AA350" s="187">
        <v>0.19487767263424982</v>
      </c>
      <c r="AB350" s="190">
        <v>2.435663175373364</v>
      </c>
      <c r="AC350" s="4"/>
      <c r="AD350" s="4">
        <v>0.22</v>
      </c>
      <c r="AE350" s="187">
        <v>0.20737385094351746</v>
      </c>
      <c r="AF350" s="190">
        <v>2.5657174550793562</v>
      </c>
      <c r="AG350" s="4"/>
      <c r="AH350" s="4"/>
    </row>
    <row r="351" ht="12.75" hidden="1" outlineLevel="1">
      <c r="A351" s="4"/>
      <c r="B351" s="4">
        <v>0.24</v>
      </c>
      <c r="C351" s="187">
        <v>0.20696490457098093</v>
      </c>
      <c r="D351" s="190">
        <v>2.5613752610068152</v>
      </c>
      <c r="E351" s="4"/>
      <c r="F351" s="4">
        <v>0.24</v>
      </c>
      <c r="G351" s="187">
        <v>0.20377830395137253</v>
      </c>
      <c r="H351" s="190">
        <v>2.5277409153264525</v>
      </c>
      <c r="I351" s="4"/>
      <c r="J351" s="4">
        <v>0.24</v>
      </c>
      <c r="K351" s="187">
        <v>0.20925354782352223</v>
      </c>
      <c r="L351" s="190">
        <v>2.5857518923247826</v>
      </c>
      <c r="M351" s="4"/>
      <c r="N351" s="4">
        <v>0.24</v>
      </c>
      <c r="O351" s="187">
        <v>0.20661576304576812</v>
      </c>
      <c r="P351" s="190">
        <v>2.557672729022578</v>
      </c>
      <c r="Q351" s="4"/>
      <c r="R351" s="4">
        <v>0.24</v>
      </c>
      <c r="S351" s="187">
        <v>0.2000936454328699</v>
      </c>
      <c r="T351" s="190">
        <v>2.489291067396213</v>
      </c>
      <c r="U351" s="4"/>
      <c r="V351" s="4">
        <v>0.24</v>
      </c>
      <c r="W351" s="187">
        <v>0.20751235964241488</v>
      </c>
      <c r="X351" s="190">
        <v>2.5671894752487816</v>
      </c>
      <c r="Y351" s="4"/>
      <c r="Z351" s="4">
        <v>0.24</v>
      </c>
      <c r="AA351" s="187">
        <v>0.1932971102603256</v>
      </c>
      <c r="AB351" s="190">
        <v>2.41959648315283</v>
      </c>
      <c r="AC351" s="4"/>
      <c r="AD351" s="4">
        <v>0.24</v>
      </c>
      <c r="AE351" s="187">
        <v>0.2069821329227255</v>
      </c>
      <c r="AF351" s="190">
        <v>2.561558073007318</v>
      </c>
      <c r="AG351" s="4"/>
      <c r="AH351" s="4"/>
    </row>
    <row r="352" ht="12.75" hidden="1" outlineLevel="1">
      <c r="A352" s="4"/>
      <c r="B352" s="4">
        <v>0.26</v>
      </c>
      <c r="C352" s="187">
        <v>0.20656632165407784</v>
      </c>
      <c r="D352" s="190">
        <v>2.557148765469044</v>
      </c>
      <c r="E352" s="4"/>
      <c r="F352" s="4">
        <v>0.26</v>
      </c>
      <c r="G352" s="187">
        <v>0.20311017737748394</v>
      </c>
      <c r="H352" s="190">
        <v>2.5207339057942733</v>
      </c>
      <c r="I352" s="4"/>
      <c r="J352" s="4">
        <v>0.26</v>
      </c>
      <c r="K352" s="187">
        <v>0.2090457970992956</v>
      </c>
      <c r="L352" s="190">
        <v>2.583531484201912</v>
      </c>
      <c r="M352" s="4"/>
      <c r="N352" s="4">
        <v>0.26</v>
      </c>
      <c r="O352" s="187">
        <v>0.20618517591229968</v>
      </c>
      <c r="P352" s="190">
        <v>2.5531123906245234</v>
      </c>
      <c r="Q352" s="4"/>
      <c r="R352" s="4">
        <v>0.26</v>
      </c>
      <c r="S352" s="187">
        <v>0.19910285101540848</v>
      </c>
      <c r="T352" s="190">
        <v>2.479032257195961</v>
      </c>
      <c r="U352" s="4"/>
      <c r="V352" s="4">
        <v>0.26</v>
      </c>
      <c r="W352" s="187">
        <v>0.2071577535476441</v>
      </c>
      <c r="X352" s="190">
        <v>2.5634221990362436</v>
      </c>
      <c r="Y352" s="4"/>
      <c r="Z352" s="4">
        <v>0.26</v>
      </c>
      <c r="AA352" s="187">
        <v>0.1917081292127647</v>
      </c>
      <c r="AB352" s="190">
        <v>2.403529790932296</v>
      </c>
      <c r="AC352" s="4"/>
      <c r="AD352" s="4">
        <v>0.26</v>
      </c>
      <c r="AE352" s="187">
        <v>0.20659120140548048</v>
      </c>
      <c r="AF352" s="190">
        <v>2.5574124221295724</v>
      </c>
      <c r="AG352" s="4"/>
      <c r="AH352" s="4"/>
    </row>
    <row r="353" ht="12.75" hidden="1" outlineLevel="1">
      <c r="A353" s="4"/>
      <c r="B353" s="4">
        <v>0.28</v>
      </c>
      <c r="C353" s="187">
        <v>0.20616757795044482</v>
      </c>
      <c r="D353" s="190">
        <v>2.552926149472031</v>
      </c>
      <c r="E353" s="4"/>
      <c r="F353" s="4">
        <v>0.28</v>
      </c>
      <c r="G353" s="187">
        <v>0.20244126210780378</v>
      </c>
      <c r="H353" s="190">
        <v>2.5137341999219074</v>
      </c>
      <c r="I353" s="4"/>
      <c r="J353" s="4">
        <v>0.28</v>
      </c>
      <c r="K353" s="187">
        <v>0.20883790348535514</v>
      </c>
      <c r="L353" s="190">
        <v>2.581311076079041</v>
      </c>
      <c r="M353" s="4"/>
      <c r="N353" s="4">
        <v>0.28</v>
      </c>
      <c r="O353" s="187">
        <v>0.20575397305094145</v>
      </c>
      <c r="P353" s="190">
        <v>2.5485520522264693</v>
      </c>
      <c r="Q353" s="4"/>
      <c r="R353" s="4">
        <v>0.28</v>
      </c>
      <c r="S353" s="187">
        <v>0.19810877103966007</v>
      </c>
      <c r="T353" s="190">
        <v>2.4687734469957086</v>
      </c>
      <c r="U353" s="4"/>
      <c r="V353" s="4">
        <v>0.28</v>
      </c>
      <c r="W353" s="187">
        <v>0.20680273029634044</v>
      </c>
      <c r="X353" s="190">
        <v>2.559654922823706</v>
      </c>
      <c r="Y353" s="4"/>
      <c r="Z353" s="4">
        <v>0.28</v>
      </c>
      <c r="AA353" s="187">
        <v>0.19011062792252265</v>
      </c>
      <c r="AB353" s="190">
        <v>2.387463098711762</v>
      </c>
      <c r="AC353" s="4"/>
      <c r="AD353" s="4">
        <v>0.28</v>
      </c>
      <c r="AE353" s="187">
        <v>0.20620105353459617</v>
      </c>
      <c r="AF353" s="190">
        <v>2.553280434562841</v>
      </c>
      <c r="AG353" s="4"/>
      <c r="AH353" s="4"/>
    </row>
    <row r="354" ht="12.75" hidden="1" outlineLevel="1">
      <c r="A354" s="4"/>
      <c r="B354" s="4">
        <v>0.3</v>
      </c>
      <c r="C354" s="187">
        <v>0.20576867309104574</v>
      </c>
      <c r="D354" s="190">
        <v>2.5487074103331397</v>
      </c>
      <c r="E354" s="4"/>
      <c r="F354" s="4">
        <v>0.3</v>
      </c>
      <c r="G354" s="187">
        <v>0.20177155480677533</v>
      </c>
      <c r="H354" s="190">
        <v>2.506741792020901</v>
      </c>
      <c r="I354" s="4"/>
      <c r="J354" s="4">
        <v>0.3</v>
      </c>
      <c r="K354" s="187">
        <v>0.20862986676038298</v>
      </c>
      <c r="L354" s="190">
        <v>2.5790906679561694</v>
      </c>
      <c r="M354" s="4"/>
      <c r="N354" s="4">
        <v>0.3</v>
      </c>
      <c r="O354" s="187">
        <v>0.20532215247707875</v>
      </c>
      <c r="P354" s="190">
        <v>2.5439917138284156</v>
      </c>
      <c r="Q354" s="4"/>
      <c r="R354" s="4">
        <v>0.3</v>
      </c>
      <c r="S354" s="187">
        <v>0.19711138088936875</v>
      </c>
      <c r="T354" s="190">
        <v>2.458514636795458</v>
      </c>
      <c r="U354" s="4"/>
      <c r="V354" s="4">
        <v>0.3</v>
      </c>
      <c r="W354" s="187">
        <v>0.2064472887827109</v>
      </c>
      <c r="X354" s="190">
        <v>2.5558876466111684</v>
      </c>
      <c r="Y354" s="4"/>
      <c r="Z354" s="4">
        <v>0.3</v>
      </c>
      <c r="AA354" s="187">
        <v>0.18850450290150045</v>
      </c>
      <c r="AB354" s="190">
        <v>2.371396406491229</v>
      </c>
      <c r="AC354" s="4"/>
      <c r="AD354" s="4">
        <v>0.3</v>
      </c>
      <c r="AE354" s="187">
        <v>0.20581168646794556</v>
      </c>
      <c r="AF354" s="190">
        <v>2.549162042870573</v>
      </c>
      <c r="AG354" s="4"/>
      <c r="AH354" s="4"/>
    </row>
    <row r="355" ht="12.75" hidden="1" outlineLevel="1">
      <c r="A355" s="4"/>
      <c r="B355" s="4">
        <v>0.32</v>
      </c>
      <c r="C355" s="187">
        <v>0.20536960670566984</v>
      </c>
      <c r="D355" s="190">
        <v>2.5444925453709595</v>
      </c>
      <c r="E355" s="4"/>
      <c r="F355" s="4">
        <v>0.32</v>
      </c>
      <c r="G355" s="187">
        <v>0.2011010521179617</v>
      </c>
      <c r="H355" s="190">
        <v>2.499756676405739</v>
      </c>
      <c r="I355" s="4"/>
      <c r="J355" s="4">
        <v>0.32</v>
      </c>
      <c r="K355" s="187">
        <v>0.20842168670252859</v>
      </c>
      <c r="L355" s="190">
        <v>2.5768702598332984</v>
      </c>
      <c r="M355" s="4"/>
      <c r="N355" s="4">
        <v>0.32</v>
      </c>
      <c r="O355" s="187">
        <v>0.20488971219612795</v>
      </c>
      <c r="P355" s="190">
        <v>2.5394313754303592</v>
      </c>
      <c r="Q355" s="4"/>
      <c r="R355" s="4">
        <v>0.32</v>
      </c>
      <c r="S355" s="187">
        <v>0.1961106556601846</v>
      </c>
      <c r="T355" s="190">
        <v>2.448255826595206</v>
      </c>
      <c r="U355" s="4"/>
      <c r="V355" s="4">
        <v>0.32</v>
      </c>
      <c r="W355" s="187">
        <v>0.20609142789639678</v>
      </c>
      <c r="X355" s="190">
        <v>2.552120370398631</v>
      </c>
      <c r="Y355" s="4"/>
      <c r="Z355" s="4">
        <v>0.32</v>
      </c>
      <c r="AA355" s="187">
        <v>0.18688964869300184</v>
      </c>
      <c r="AB355" s="190">
        <v>2.3553297142706957</v>
      </c>
      <c r="AC355" s="4"/>
      <c r="AD355" s="4">
        <v>0.32</v>
      </c>
      <c r="AE355" s="187">
        <v>0.2054230973783564</v>
      </c>
      <c r="AF355" s="190">
        <v>2.545057180059274</v>
      </c>
      <c r="AG355" s="4"/>
      <c r="AH355" s="4"/>
    </row>
    <row r="356" ht="12.75" hidden="1" outlineLevel="1">
      <c r="A356" s="4"/>
      <c r="B356" s="4">
        <v>0.34</v>
      </c>
      <c r="C356" s="187">
        <v>0.20497037842292687</v>
      </c>
      <c r="D356" s="190">
        <v>2.5402815519053172</v>
      </c>
      <c r="E356" s="4"/>
      <c r="F356" s="4">
        <v>0.34</v>
      </c>
      <c r="G356" s="187">
        <v>0.2004297506638697</v>
      </c>
      <c r="H356" s="190">
        <v>2.4927788473938555</v>
      </c>
      <c r="I356" s="4"/>
      <c r="J356" s="4">
        <v>0.34</v>
      </c>
      <c r="K356" s="187">
        <v>0.2082133630894054</v>
      </c>
      <c r="L356" s="190">
        <v>2.574649851710428</v>
      </c>
      <c r="M356" s="4"/>
      <c r="N356" s="4">
        <v>0.34</v>
      </c>
      <c r="O356" s="187">
        <v>0.20445665020346948</v>
      </c>
      <c r="P356" s="190">
        <v>2.534871037032305</v>
      </c>
      <c r="Q356" s="4"/>
      <c r="R356" s="4">
        <v>0.34</v>
      </c>
      <c r="S356" s="187">
        <v>0.19510657015507005</v>
      </c>
      <c r="T356" s="190">
        <v>2.437997016394954</v>
      </c>
      <c r="U356" s="4"/>
      <c r="V356" s="4">
        <v>0.34</v>
      </c>
      <c r="W356" s="187">
        <v>0.2057351465224475</v>
      </c>
      <c r="X356" s="190">
        <v>2.5483530941860932</v>
      </c>
      <c r="Y356" s="4"/>
      <c r="Z356" s="4">
        <v>0.34</v>
      </c>
      <c r="AA356" s="187">
        <v>0.185265957820564</v>
      </c>
      <c r="AB356" s="190">
        <v>2.339263022050162</v>
      </c>
      <c r="AC356" s="4"/>
      <c r="AD356" s="4">
        <v>0.34</v>
      </c>
      <c r="AE356" s="187">
        <v>0.20503528345350852</v>
      </c>
      <c r="AF356" s="190">
        <v>2.540965779574874</v>
      </c>
      <c r="AG356" s="4"/>
      <c r="AH356" s="4"/>
    </row>
    <row r="357" ht="12.75" hidden="1" outlineLevel="1">
      <c r="A357" s="4"/>
      <c r="B357" s="4">
        <v>0.36</v>
      </c>
      <c r="C357" s="187">
        <v>0.20457098787024108</v>
      </c>
      <c r="D357" s="190">
        <v>2.536074427257268</v>
      </c>
      <c r="E357" s="4"/>
      <c r="F357" s="4">
        <v>0.36</v>
      </c>
      <c r="G357" s="187">
        <v>0.19975764704577226</v>
      </c>
      <c r="H357" s="190">
        <v>2.485808299305622</v>
      </c>
      <c r="I357" s="4"/>
      <c r="J357" s="4">
        <v>0.36</v>
      </c>
      <c r="K357" s="187">
        <v>0.20800489569808955</v>
      </c>
      <c r="L357" s="190">
        <v>2.5724294435875574</v>
      </c>
      <c r="M357" s="4"/>
      <c r="N357" s="4">
        <v>0.36</v>
      </c>
      <c r="O357" s="187">
        <v>0.20402296448437807</v>
      </c>
      <c r="P357" s="190">
        <v>2.530310698634251</v>
      </c>
      <c r="Q357" s="4"/>
      <c r="R357" s="4">
        <v>0.36</v>
      </c>
      <c r="S357" s="187">
        <v>0.19409909887961208</v>
      </c>
      <c r="T357" s="190">
        <v>2.4277382061947015</v>
      </c>
      <c r="U357" s="4"/>
      <c r="V357" s="4">
        <v>0.36</v>
      </c>
      <c r="W357" s="187">
        <v>0.20537844354129398</v>
      </c>
      <c r="X357" s="190">
        <v>2.5445858179735557</v>
      </c>
      <c r="Y357" s="4"/>
      <c r="Z357" s="4">
        <v>0.36</v>
      </c>
      <c r="AA357" s="187">
        <v>0.18363332073509575</v>
      </c>
      <c r="AB357" s="190">
        <v>2.3231963298296283</v>
      </c>
      <c r="AC357" s="4"/>
      <c r="AD357" s="4">
        <v>0.36</v>
      </c>
      <c r="AE357" s="187">
        <v>0.20464824189583108</v>
      </c>
      <c r="AF357" s="190">
        <v>2.5368877752991295</v>
      </c>
      <c r="AG357" s="4"/>
      <c r="AH357" s="4"/>
    </row>
    <row r="358" ht="12.75" hidden="1" outlineLevel="1">
      <c r="A358" s="4"/>
      <c r="B358" s="4">
        <v>0.38</v>
      </c>
      <c r="C358" s="187">
        <v>0.2041714346738468</v>
      </c>
      <c r="D358" s="190">
        <v>2.531871168749088</v>
      </c>
      <c r="E358" s="4"/>
      <c r="F358" s="4">
        <v>0.38</v>
      </c>
      <c r="G358" s="187">
        <v>0.19908473784352831</v>
      </c>
      <c r="H358" s="190">
        <v>2.478845026464354</v>
      </c>
      <c r="I358" s="4"/>
      <c r="J358" s="4">
        <v>0.38</v>
      </c>
      <c r="K358" s="187">
        <v>0.20779628430511843</v>
      </c>
      <c r="L358" s="190">
        <v>2.570209035464687</v>
      </c>
      <c r="M358" s="4"/>
      <c r="N358" s="4">
        <v>0.38</v>
      </c>
      <c r="O358" s="187">
        <v>0.20358865301395435</v>
      </c>
      <c r="P358" s="190">
        <v>2.525750360236196</v>
      </c>
      <c r="Q358" s="4"/>
      <c r="R358" s="4">
        <v>0.38</v>
      </c>
      <c r="S358" s="187">
        <v>0.19308821603723803</v>
      </c>
      <c r="T358" s="190">
        <v>2.417479395994451</v>
      </c>
      <c r="U358" s="4"/>
      <c r="V358" s="4">
        <v>0.38</v>
      </c>
      <c r="W358" s="187">
        <v>0.2050213178287239</v>
      </c>
      <c r="X358" s="190">
        <v>2.5408185417610176</v>
      </c>
      <c r="Y358" s="4"/>
      <c r="Z358" s="4">
        <v>0.38</v>
      </c>
      <c r="AA358" s="187">
        <v>0.1819916257602574</v>
      </c>
      <c r="AB358" s="190">
        <v>2.307129637609095</v>
      </c>
      <c r="AC358" s="4"/>
      <c r="AD358" s="4">
        <v>0.38</v>
      </c>
      <c r="AE358" s="187">
        <v>0.20426196992240198</v>
      </c>
      <c r="AF358" s="190">
        <v>2.532823101546065</v>
      </c>
      <c r="AG358" s="4"/>
      <c r="AH358" s="4"/>
    </row>
    <row r="359" ht="12.75" hidden="1" outlineLevel="1">
      <c r="A359" s="4"/>
      <c r="B359" s="4">
        <v>0.4</v>
      </c>
      <c r="C359" s="187">
        <v>0.2037717184587826</v>
      </c>
      <c r="D359" s="190">
        <v>2.5276717737042844</v>
      </c>
      <c r="E359" s="4"/>
      <c r="F359" s="4">
        <v>0.4</v>
      </c>
      <c r="G359" s="187">
        <v>0.19841101961540097</v>
      </c>
      <c r="H359" s="190">
        <v>2.4718890231963146</v>
      </c>
      <c r="I359" s="4"/>
      <c r="J359" s="4">
        <v>0.4</v>
      </c>
      <c r="K359" s="187">
        <v>0.20758752868648855</v>
      </c>
      <c r="L359" s="190">
        <v>2.5679886273418164</v>
      </c>
      <c r="M359" s="4"/>
      <c r="N359" s="4">
        <v>0.4</v>
      </c>
      <c r="O359" s="187">
        <v>0.2031537137570547</v>
      </c>
      <c r="P359" s="190">
        <v>2.5211900218381413</v>
      </c>
      <c r="Q359" s="4"/>
      <c r="R359" s="4">
        <v>0.4</v>
      </c>
      <c r="S359" s="187">
        <v>0.19207389552433507</v>
      </c>
      <c r="T359" s="190">
        <v>2.4072205857941995</v>
      </c>
      <c r="U359" s="4"/>
      <c r="V359" s="4">
        <v>0.4</v>
      </c>
      <c r="W359" s="187">
        <v>0.20466376825585475</v>
      </c>
      <c r="X359" s="190">
        <v>2.5370512655484805</v>
      </c>
      <c r="Y359" s="4"/>
      <c r="Z359" s="4">
        <v>0.4</v>
      </c>
      <c r="AA359" s="187">
        <v>0.18034075903600866</v>
      </c>
      <c r="AB359" s="190">
        <v>2.291062945388562</v>
      </c>
      <c r="AC359" s="4"/>
      <c r="AD359" s="4">
        <v>0.4</v>
      </c>
      <c r="AE359" s="187">
        <v>0.20387646476484678</v>
      </c>
      <c r="AF359" s="190">
        <v>2.5287716930584407</v>
      </c>
      <c r="AG359" s="4"/>
      <c r="AH359" s="4"/>
    </row>
    <row r="360" ht="12.75" hidden="1" outlineLevel="1">
      <c r="A360" s="4"/>
      <c r="B360" s="4">
        <v>0.42</v>
      </c>
      <c r="C360" s="187">
        <v>0.20337183884888899</v>
      </c>
      <c r="D360" s="190">
        <v>2.523476239447602</v>
      </c>
      <c r="E360" s="4"/>
      <c r="F360" s="4">
        <v>0.42</v>
      </c>
      <c r="G360" s="187">
        <v>0.197736488897873</v>
      </c>
      <c r="H360" s="190">
        <v>2.4649402838306935</v>
      </c>
      <c r="I360" s="4"/>
      <c r="J360" s="4">
        <v>0.42</v>
      </c>
      <c r="K360" s="187">
        <v>0.20737862861765421</v>
      </c>
      <c r="L360" s="190">
        <v>2.5657682192189437</v>
      </c>
      <c r="M360" s="4"/>
      <c r="N360" s="4">
        <v>0.42</v>
      </c>
      <c r="O360" s="187">
        <v>0.20271814466822025</v>
      </c>
      <c r="P360" s="190">
        <v>2.516629683440088</v>
      </c>
      <c r="Q360" s="4"/>
      <c r="R360" s="4">
        <v>0.42</v>
      </c>
      <c r="S360" s="187">
        <v>0.19105611092526953</v>
      </c>
      <c r="T360" s="190">
        <v>2.3969617755939474</v>
      </c>
      <c r="U360" s="4"/>
      <c r="V360" s="4">
        <v>0.42</v>
      </c>
      <c r="W360" s="187">
        <v>0.2043057936891075</v>
      </c>
      <c r="X360" s="190">
        <v>2.533283989335943</v>
      </c>
      <c r="Y360" s="4"/>
      <c r="Z360" s="4">
        <v>0.42</v>
      </c>
      <c r="AA360" s="187">
        <v>0.1786806044602509</v>
      </c>
      <c r="AB360" s="190">
        <v>2.274996253168028</v>
      </c>
      <c r="AC360" s="4"/>
      <c r="AD360" s="4">
        <v>0.42</v>
      </c>
      <c r="AE360" s="187">
        <v>0.2034917236692393</v>
      </c>
      <c r="AF360" s="190">
        <v>2.524733485004266</v>
      </c>
      <c r="AG360" s="4"/>
      <c r="AH360" s="4"/>
    </row>
    <row r="361" ht="12.75" hidden="1" outlineLevel="1">
      <c r="A361" s="4"/>
      <c r="B361" s="4">
        <v>0.44</v>
      </c>
      <c r="C361" s="187">
        <v>0.20297179546679933</v>
      </c>
      <c r="D361" s="190">
        <v>2.519284563305001</v>
      </c>
      <c r="E361" s="4"/>
      <c r="F361" s="4">
        <v>0.44</v>
      </c>
      <c r="G361" s="187">
        <v>0.197061142205462</v>
      </c>
      <c r="H361" s="190">
        <v>2.457998802699634</v>
      </c>
      <c r="I361" s="4"/>
      <c r="J361" s="4">
        <v>0.44</v>
      </c>
      <c r="K361" s="187">
        <v>0.20716958387352546</v>
      </c>
      <c r="L361" s="190">
        <v>2.5635478110960737</v>
      </c>
      <c r="M361" s="4"/>
      <c r="N361" s="4">
        <v>0.44</v>
      </c>
      <c r="O361" s="187">
        <v>0.2022819436916068</v>
      </c>
      <c r="P361" s="190">
        <v>2.512069345042034</v>
      </c>
      <c r="Q361" s="4"/>
      <c r="R361" s="4">
        <v>0.44</v>
      </c>
      <c r="S361" s="187">
        <v>0.1900348355073036</v>
      </c>
      <c r="T361" s="190">
        <v>2.3867029653936958</v>
      </c>
      <c r="U361" s="4"/>
      <c r="V361" s="4">
        <v>0.44</v>
      </c>
      <c r="W361" s="187">
        <v>0.2039473929901805</v>
      </c>
      <c r="X361" s="190">
        <v>2.5295167131234053</v>
      </c>
      <c r="Y361" s="4"/>
      <c r="Z361" s="4">
        <v>0.44</v>
      </c>
      <c r="AA361" s="187">
        <v>0.1770110436284864</v>
      </c>
      <c r="AB361" s="190">
        <v>2.258929560947495</v>
      </c>
      <c r="AC361" s="4"/>
      <c r="AD361" s="4">
        <v>0.44</v>
      </c>
      <c r="AE361" s="187">
        <v>0.20310774389600295</v>
      </c>
      <c r="AF361" s="190">
        <v>2.5207084129733373</v>
      </c>
      <c r="AG361" s="4"/>
      <c r="AH361" s="4"/>
    </row>
    <row r="362" ht="12.75" hidden="1" outlineLevel="1">
      <c r="A362" s="4"/>
      <c r="B362" s="4">
        <v>0.46</v>
      </c>
      <c r="C362" s="187">
        <v>0.2025715879339376</v>
      </c>
      <c r="D362" s="190">
        <v>2.515096742603674</v>
      </c>
      <c r="E362" s="4"/>
      <c r="F362" s="4">
        <v>0.46</v>
      </c>
      <c r="G362" s="187">
        <v>0.1963849760305323</v>
      </c>
      <c r="H362" s="190">
        <v>2.451064574138207</v>
      </c>
      <c r="I362" s="4"/>
      <c r="J362" s="4">
        <v>0.46</v>
      </c>
      <c r="K362" s="187">
        <v>0.20696039422846546</v>
      </c>
      <c r="L362" s="190">
        <v>2.5613274029732023</v>
      </c>
      <c r="M362" s="4"/>
      <c r="N362" s="4">
        <v>0.46</v>
      </c>
      <c r="O362" s="187">
        <v>0.2018451087609121</v>
      </c>
      <c r="P362" s="190">
        <v>2.5075090066439776</v>
      </c>
      <c r="Q362" s="4"/>
      <c r="R362" s="4">
        <v>0.46</v>
      </c>
      <c r="S362" s="187">
        <v>0.18901004221540685</v>
      </c>
      <c r="T362" s="190">
        <v>2.3764441551934437</v>
      </c>
      <c r="U362" s="4"/>
      <c r="V362" s="4">
        <v>0.46</v>
      </c>
      <c r="W362" s="187">
        <v>0.20358856501602163</v>
      </c>
      <c r="X362" s="190">
        <v>2.5257494369108673</v>
      </c>
      <c r="Y362" s="4"/>
      <c r="Z362" s="4">
        <v>0.46</v>
      </c>
      <c r="AA362" s="187">
        <v>0.17533195577141059</v>
      </c>
      <c r="AB362" s="190">
        <v>2.2428628687269607</v>
      </c>
      <c r="AC362" s="4"/>
      <c r="AD362" s="4">
        <v>0.46</v>
      </c>
      <c r="AE362" s="187">
        <v>0.20272452271981245</v>
      </c>
      <c r="AF362" s="190">
        <v>2.516696412973817</v>
      </c>
      <c r="AG362" s="4"/>
      <c r="AH362" s="4"/>
    </row>
    <row r="363" ht="12.75" hidden="1" outlineLevel="1">
      <c r="A363" s="4"/>
      <c r="B363" s="4">
        <v>0.48</v>
      </c>
      <c r="C363" s="187">
        <v>0.20217121587051268</v>
      </c>
      <c r="D363" s="190">
        <v>2.510912774672047</v>
      </c>
      <c r="E363" s="4"/>
      <c r="F363" s="4">
        <v>0.48</v>
      </c>
      <c r="G363" s="187">
        <v>0.19570798684310464</v>
      </c>
      <c r="H363" s="190">
        <v>2.444137592484432</v>
      </c>
      <c r="I363" s="4"/>
      <c r="J363" s="4">
        <v>0.48</v>
      </c>
      <c r="K363" s="187">
        <v>0.2067510594562909</v>
      </c>
      <c r="L363" s="190">
        <v>2.559106994850332</v>
      </c>
      <c r="M363" s="4"/>
      <c r="N363" s="4">
        <v>0.48</v>
      </c>
      <c r="O363" s="187">
        <v>0.20140763779930482</v>
      </c>
      <c r="P363" s="190">
        <v>2.502948668245923</v>
      </c>
      <c r="Q363" s="4"/>
      <c r="R363" s="4">
        <v>0.48</v>
      </c>
      <c r="S363" s="187">
        <v>0.18798170366696</v>
      </c>
      <c r="T363" s="190">
        <v>2.3661853449931924</v>
      </c>
      <c r="U363" s="4"/>
      <c r="V363" s="4">
        <v>0.48</v>
      </c>
      <c r="W363" s="187">
        <v>0.20322930861880328</v>
      </c>
      <c r="X363" s="190">
        <v>2.5219821606983297</v>
      </c>
      <c r="Y363" s="4"/>
      <c r="Z363" s="4">
        <v>0.48</v>
      </c>
      <c r="AA363" s="187">
        <v>0.1736432176903524</v>
      </c>
      <c r="AB363" s="190">
        <v>2.2267961765064275</v>
      </c>
      <c r="AC363" s="4"/>
      <c r="AD363" s="4">
        <v>0.48</v>
      </c>
      <c r="AE363" s="187">
        <v>0.20234205742949696</v>
      </c>
      <c r="AF363" s="190">
        <v>2.5126974214288365</v>
      </c>
      <c r="AG363" s="4"/>
      <c r="AH363" s="4"/>
    </row>
    <row r="364" ht="12.75" hidden="1" outlineLevel="1">
      <c r="A364" s="4"/>
      <c r="B364" s="4">
        <v>0.5</v>
      </c>
      <c r="C364" s="187">
        <v>0.20177067889551292</v>
      </c>
      <c r="D364" s="190">
        <v>2.5067326568397674</v>
      </c>
      <c r="E364" s="4"/>
      <c r="F364" s="4">
        <v>0.5</v>
      </c>
      <c r="G364" s="187">
        <v>0.19503017109066434</v>
      </c>
      <c r="H364" s="190">
        <v>2.4372178520792533</v>
      </c>
      <c r="I364" s="4"/>
      <c r="J364" s="4">
        <v>0.5</v>
      </c>
      <c r="K364" s="187">
        <v>0.20654157933026718</v>
      </c>
      <c r="L364" s="190">
        <v>2.556886586727461</v>
      </c>
      <c r="M364" s="4"/>
      <c r="N364" s="4">
        <v>0.5</v>
      </c>
      <c r="O364" s="187">
        <v>0.20096952871935003</v>
      </c>
      <c r="P364" s="190">
        <v>2.4983883298478697</v>
      </c>
      <c r="Q364" s="4"/>
      <c r="R364" s="4">
        <v>0.5</v>
      </c>
      <c r="S364" s="187">
        <v>0.18694979214634788</v>
      </c>
      <c r="T364" s="190">
        <v>2.355926534792941</v>
      </c>
      <c r="U364" s="4"/>
      <c r="V364" s="4">
        <v>0.5</v>
      </c>
      <c r="W364" s="187">
        <v>0.20286962264589348</v>
      </c>
      <c r="X364" s="190">
        <v>2.518214884485792</v>
      </c>
      <c r="Y364" s="4"/>
      <c r="Z364" s="4">
        <v>0.5</v>
      </c>
      <c r="AA364" s="187">
        <v>0.17194470369047266</v>
      </c>
      <c r="AB364" s="190">
        <v>2.2107294842858938</v>
      </c>
      <c r="AC364" s="4"/>
      <c r="AD364" s="4">
        <v>0.5</v>
      </c>
      <c r="AE364" s="187">
        <v>0.2019603453279437</v>
      </c>
      <c r="AF364" s="190">
        <v>2.5087113751731436</v>
      </c>
      <c r="AG364" s="4"/>
      <c r="AH364" s="4"/>
    </row>
    <row r="365" ht="12.75" hidden="1" outlineLevel="1">
      <c r="A365" s="4"/>
      <c r="B365" s="4">
        <v>0.52</v>
      </c>
      <c r="C365" s="187">
        <v>0.2013699766267003</v>
      </c>
      <c r="D365" s="190">
        <v>2.5025563864377065</v>
      </c>
      <c r="E365" s="4"/>
      <c r="F365" s="4">
        <v>0.52</v>
      </c>
      <c r="G365" s="187">
        <v>0.19435152519796817</v>
      </c>
      <c r="H365" s="190">
        <v>2.430305347266562</v>
      </c>
      <c r="I365" s="4"/>
      <c r="J365" s="4">
        <v>0.52</v>
      </c>
      <c r="K365" s="187">
        <v>0.20633195362310963</v>
      </c>
      <c r="L365" s="190">
        <v>2.55466617860459</v>
      </c>
      <c r="M365" s="4"/>
      <c r="N365" s="4">
        <v>0.52</v>
      </c>
      <c r="O365" s="187">
        <v>0.2005307794229365</v>
      </c>
      <c r="P365" s="190">
        <v>2.4938279914498147</v>
      </c>
      <c r="Q365" s="4"/>
      <c r="R365" s="4">
        <v>0.52</v>
      </c>
      <c r="S365" s="187">
        <v>0.18591427959944085</v>
      </c>
      <c r="T365" s="190">
        <v>2.3456677245926882</v>
      </c>
      <c r="U365" s="4"/>
      <c r="V365" s="4">
        <v>0.52</v>
      </c>
      <c r="W365" s="187">
        <v>0.2025095059398292</v>
      </c>
      <c r="X365" s="190">
        <v>2.514447608273255</v>
      </c>
      <c r="Y365" s="4"/>
      <c r="Z365" s="4">
        <v>0.52</v>
      </c>
      <c r="AA365" s="187">
        <v>0.1702362855116255</v>
      </c>
      <c r="AB365" s="190">
        <v>2.1946627920653605</v>
      </c>
      <c r="AC365" s="4"/>
      <c r="AD365" s="4">
        <v>0.52</v>
      </c>
      <c r="AE365" s="187">
        <v>0.20157938373200257</v>
      </c>
      <c r="AF365" s="190">
        <v>2.5047382114497756</v>
      </c>
      <c r="AG365" s="4"/>
      <c r="AH365" s="4"/>
    </row>
    <row r="366" ht="12.75" hidden="1" outlineLevel="1">
      <c r="A366" s="4"/>
      <c r="B366" s="4">
        <v>0.54</v>
      </c>
      <c r="C366" s="187">
        <v>0.2009691086806069</v>
      </c>
      <c r="D366" s="190">
        <v>2.4983839607979714</v>
      </c>
      <c r="E366" s="4"/>
      <c r="F366" s="4">
        <v>0.54</v>
      </c>
      <c r="G366" s="187">
        <v>0.1936720455668477</v>
      </c>
      <c r="H366" s="190">
        <v>2.423400072393179</v>
      </c>
      <c r="I366" s="4"/>
      <c r="J366" s="4">
        <v>0.54</v>
      </c>
      <c r="K366" s="187">
        <v>0.2061221821069792</v>
      </c>
      <c r="L366" s="190">
        <v>2.552445770481719</v>
      </c>
      <c r="M366" s="4"/>
      <c r="N366" s="4">
        <v>0.54</v>
      </c>
      <c r="O366" s="187">
        <v>0.20009138780120272</v>
      </c>
      <c r="P366" s="190">
        <v>2.4892676530517597</v>
      </c>
      <c r="Q366" s="4"/>
      <c r="R366" s="4">
        <v>0.54</v>
      </c>
      <c r="S366" s="187">
        <v>0.18487513762795849</v>
      </c>
      <c r="T366" s="190">
        <v>2.335408914392437</v>
      </c>
      <c r="U366" s="4"/>
      <c r="V366" s="4">
        <v>0.54</v>
      </c>
      <c r="W366" s="187">
        <v>0.20214895733828842</v>
      </c>
      <c r="X366" s="190">
        <v>2.5106803320607174</v>
      </c>
      <c r="Y366" s="4"/>
      <c r="Z366" s="4">
        <v>0.54</v>
      </c>
      <c r="AA366" s="187">
        <v>0.16851783225678174</v>
      </c>
      <c r="AB366" s="190">
        <v>2.1785960998448273</v>
      </c>
      <c r="AC366" s="4"/>
      <c r="AD366" s="4">
        <v>0.54</v>
      </c>
      <c r="AE366" s="187">
        <v>0.20119916997239096</v>
      </c>
      <c r="AF366" s="190">
        <v>2.5007778679067614</v>
      </c>
      <c r="AG366" s="4"/>
      <c r="AH366" s="4"/>
    </row>
    <row r="367" ht="12.75" hidden="1" outlineLevel="1">
      <c r="A367" s="4"/>
      <c r="B367" s="4">
        <v>0.56</v>
      </c>
      <c r="C367" s="187">
        <v>0.20056807467252757</v>
      </c>
      <c r="D367" s="190">
        <v>2.4942153772538824</v>
      </c>
      <c r="E367" s="4"/>
      <c r="F367" s="4">
        <v>0.56</v>
      </c>
      <c r="G367" s="187">
        <v>0.19299172857601055</v>
      </c>
      <c r="H367" s="190">
        <v>2.416502021808863</v>
      </c>
      <c r="I367" s="4"/>
      <c r="J367" s="4">
        <v>0.56</v>
      </c>
      <c r="K367" s="187">
        <v>0.20591226455348233</v>
      </c>
      <c r="L367" s="190">
        <v>2.550225362358847</v>
      </c>
      <c r="M367" s="4"/>
      <c r="N367" s="4">
        <v>0.56</v>
      </c>
      <c r="O367" s="187">
        <v>0.19965135173446158</v>
      </c>
      <c r="P367" s="190">
        <v>2.484707314653706</v>
      </c>
      <c r="Q367" s="4"/>
      <c r="R367" s="4">
        <v>0.56</v>
      </c>
      <c r="S367" s="187">
        <v>0.18383233748371408</v>
      </c>
      <c r="T367" s="190">
        <v>2.325150104192185</v>
      </c>
      <c r="U367" s="4"/>
      <c r="V367" s="4">
        <v>0.56</v>
      </c>
      <c r="W367" s="187">
        <v>0.20178797567406392</v>
      </c>
      <c r="X367" s="190">
        <v>2.5069130558481794</v>
      </c>
      <c r="Y367" s="4"/>
      <c r="Z367" s="4">
        <v>0.56</v>
      </c>
      <c r="AA367" s="187">
        <v>0.1667892103179116</v>
      </c>
      <c r="AB367" s="190">
        <v>2.1625294076242927</v>
      </c>
      <c r="AC367" s="4"/>
      <c r="AD367" s="4">
        <v>0.56</v>
      </c>
      <c r="AE367" s="187">
        <v>0.20081970139360084</v>
      </c>
      <c r="AF367" s="190">
        <v>2.4968302825938657</v>
      </c>
      <c r="AG367" s="4"/>
      <c r="AH367" s="4"/>
    </row>
    <row r="368" ht="12.75" hidden="1" outlineLevel="1">
      <c r="A368" s="4"/>
      <c r="B368" s="4">
        <v>0.58</v>
      </c>
      <c r="C368" s="187">
        <v>0.20016687421651724</v>
      </c>
      <c r="D368" s="190">
        <v>2.4900506331400023</v>
      </c>
      <c r="E368" s="4"/>
      <c r="F368" s="4">
        <v>0.58</v>
      </c>
      <c r="G368" s="187">
        <v>0.19231057058084122</v>
      </c>
      <c r="H368" s="190">
        <v>2.409611189866306</v>
      </c>
      <c r="I368" s="4"/>
      <c r="J368" s="4">
        <v>0.58</v>
      </c>
      <c r="K368" s="187">
        <v>0.20570220073366818</v>
      </c>
      <c r="L368" s="190">
        <v>2.548004954235978</v>
      </c>
      <c r="M368" s="4"/>
      <c r="N368" s="4">
        <v>0.58</v>
      </c>
      <c r="O368" s="187">
        <v>0.19921066909212448</v>
      </c>
      <c r="P368" s="190">
        <v>2.4801469762556523</v>
      </c>
      <c r="Q368" s="4"/>
      <c r="R368" s="4">
        <v>0.58</v>
      </c>
      <c r="S368" s="187">
        <v>0.1827858500627384</v>
      </c>
      <c r="T368" s="190">
        <v>2.314891293991934</v>
      </c>
      <c r="U368" s="4"/>
      <c r="V368" s="4">
        <v>0.58</v>
      </c>
      <c r="W368" s="187">
        <v>0.2014265597750331</v>
      </c>
      <c r="X368" s="190">
        <v>2.5031457796356418</v>
      </c>
      <c r="Y368" s="4"/>
      <c r="Z368" s="4">
        <v>0.58</v>
      </c>
      <c r="AA368" s="187">
        <v>0.16505028329921778</v>
      </c>
      <c r="AB368" s="190">
        <v>2.1464627154037594</v>
      </c>
      <c r="AC368" s="4"/>
      <c r="AD368" s="4">
        <v>0.58</v>
      </c>
      <c r="AE368" s="187">
        <v>0.20044097535380456</v>
      </c>
      <c r="AF368" s="190">
        <v>2.492895393959357</v>
      </c>
      <c r="AG368" s="4"/>
      <c r="AH368" s="4"/>
    </row>
    <row r="369" ht="12.75" hidden="1" outlineLevel="1">
      <c r="A369" s="4"/>
      <c r="B369" s="4">
        <v>0.6</v>
      </c>
      <c r="C369" s="187">
        <v>0.19976550692538253</v>
      </c>
      <c r="D369" s="190">
        <v>2.485889725792104</v>
      </c>
      <c r="E369" s="4"/>
      <c r="F369" s="4">
        <v>0.6</v>
      </c>
      <c r="G369" s="187">
        <v>0.19162856791319682</v>
      </c>
      <c r="H369" s="190">
        <v>2.4027275709211264</v>
      </c>
      <c r="I369" s="4"/>
      <c r="J369" s="4">
        <v>0.6</v>
      </c>
      <c r="K369" s="187">
        <v>0.20549199041802702</v>
      </c>
      <c r="L369" s="190">
        <v>2.5457845461131066</v>
      </c>
      <c r="M369" s="4"/>
      <c r="N369" s="4">
        <v>0.6</v>
      </c>
      <c r="O369" s="187">
        <v>0.19876933773262517</v>
      </c>
      <c r="P369" s="190">
        <v>2.4755866378575955</v>
      </c>
      <c r="Q369" s="4"/>
      <c r="R369" s="4">
        <v>0.6</v>
      </c>
      <c r="S369" s="187">
        <v>0.18173564589927738</v>
      </c>
      <c r="T369" s="190">
        <v>2.304632483791682</v>
      </c>
      <c r="U369" s="4"/>
      <c r="V369" s="4">
        <v>0.6</v>
      </c>
      <c r="W369" s="187">
        <v>0.2010647084641315</v>
      </c>
      <c r="X369" s="190">
        <v>2.499378503423104</v>
      </c>
      <c r="Y369" s="4"/>
      <c r="Z369" s="4">
        <v>0.6</v>
      </c>
      <c r="AA369" s="187">
        <v>0.16330091193759944</v>
      </c>
      <c r="AB369" s="190">
        <v>2.130396023183226</v>
      </c>
      <c r="AC369" s="4"/>
      <c r="AD369" s="4">
        <v>0.6</v>
      </c>
      <c r="AE369" s="187">
        <v>0.20006298922476295</v>
      </c>
      <c r="AF369" s="190">
        <v>2.488973140846803</v>
      </c>
      <c r="AG369" s="4"/>
      <c r="AH369" s="4"/>
    </row>
    <row r="370" ht="12.75" hidden="1" outlineLevel="1">
      <c r="A370" s="4"/>
      <c r="B370" s="4">
        <v>0.62</v>
      </c>
      <c r="C370" s="187">
        <v>0.19936397241067905</v>
      </c>
      <c r="D370" s="190">
        <v>2.481732652547195</v>
      </c>
      <c r="E370" s="4"/>
      <c r="F370" s="4">
        <v>0.62</v>
      </c>
      <c r="G370" s="187">
        <v>0.19094571688120388</v>
      </c>
      <c r="H370" s="190">
        <v>2.3958511593318845</v>
      </c>
      <c r="I370" s="4"/>
      <c r="J370" s="4">
        <v>0.62</v>
      </c>
      <c r="K370" s="187">
        <v>0.20528163337648886</v>
      </c>
      <c r="L370" s="190">
        <v>2.543564137990235</v>
      </c>
      <c r="M370" s="4"/>
      <c r="N370" s="4">
        <v>0.62</v>
      </c>
      <c r="O370" s="187">
        <v>0.19832735550334446</v>
      </c>
      <c r="P370" s="190">
        <v>2.4710262994595418</v>
      </c>
      <c r="Q370" s="4"/>
      <c r="R370" s="4">
        <v>0.62</v>
      </c>
      <c r="S370" s="187">
        <v>0.18068169515966148</v>
      </c>
      <c r="T370" s="190">
        <v>2.29437367359143</v>
      </c>
      <c r="U370" s="4"/>
      <c r="V370" s="4">
        <v>0.62</v>
      </c>
      <c r="W370" s="187">
        <v>0.2007024205593242</v>
      </c>
      <c r="X370" s="190">
        <v>2.495611227210567</v>
      </c>
      <c r="Y370" s="4"/>
      <c r="Z370" s="4">
        <v>0.62</v>
      </c>
      <c r="AA370" s="187">
        <v>0.16154095402022972</v>
      </c>
      <c r="AB370" s="190">
        <v>2.114329330962693</v>
      </c>
      <c r="AC370" s="4"/>
      <c r="AD370" s="4">
        <v>0.62</v>
      </c>
      <c r="AE370" s="187">
        <v>0.19968574039173448</v>
      </c>
      <c r="AF370" s="190">
        <v>2.485063462491915</v>
      </c>
      <c r="AG370" s="4"/>
      <c r="AH370" s="4"/>
    </row>
    <row r="371" ht="12.75" hidden="1" outlineLevel="1">
      <c r="A371" s="4"/>
      <c r="B371" s="4">
        <v>0.64</v>
      </c>
      <c r="C371" s="187">
        <v>0.19896227028270497</v>
      </c>
      <c r="D371" s="190">
        <v>2.4775794107435027</v>
      </c>
      <c r="E371" s="4"/>
      <c r="F371" s="4">
        <v>0.64</v>
      </c>
      <c r="G371" s="187">
        <v>0.19026201376905072</v>
      </c>
      <c r="H371" s="190">
        <v>2.3889819494600664</v>
      </c>
      <c r="I371" s="4"/>
      <c r="J371" s="4">
        <v>0.64</v>
      </c>
      <c r="K371" s="187">
        <v>0.20507112937842065</v>
      </c>
      <c r="L371" s="190">
        <v>2.5413437298673656</v>
      </c>
      <c r="M371" s="4"/>
      <c r="N371" s="4">
        <v>0.64</v>
      </c>
      <c r="O371" s="187">
        <v>0.19788472024053005</v>
      </c>
      <c r="P371" s="190">
        <v>2.466465961061488</v>
      </c>
      <c r="Q371" s="4"/>
      <c r="R371" s="4">
        <v>0.64</v>
      </c>
      <c r="S371" s="187">
        <v>0.17962396763604338</v>
      </c>
      <c r="T371" s="190">
        <v>2.2841148633911796</v>
      </c>
      <c r="U371" s="4"/>
      <c r="V371" s="4">
        <v>0.64</v>
      </c>
      <c r="W371" s="187">
        <v>0.20033969487357672</v>
      </c>
      <c r="X371" s="190">
        <v>2.4918439509980286</v>
      </c>
      <c r="Y371" s="4"/>
      <c r="Z371" s="4">
        <v>0.64</v>
      </c>
      <c r="AA371" s="187">
        <v>0.15977026429911745</v>
      </c>
      <c r="AB371" s="190">
        <v>2.098262638742159</v>
      </c>
      <c r="AC371" s="4"/>
      <c r="AD371" s="4">
        <v>0.64</v>
      </c>
      <c r="AE371" s="187">
        <v>0.19930922625338265</v>
      </c>
      <c r="AF371" s="190">
        <v>2.481166298519392</v>
      </c>
      <c r="AG371" s="4"/>
      <c r="AH371" s="4"/>
    </row>
    <row r="372" ht="12.75" hidden="1" outlineLevel="1">
      <c r="A372" s="4"/>
      <c r="B372" s="4">
        <v>0.66</v>
      </c>
      <c r="C372" s="187">
        <v>0.19856040015049548</v>
      </c>
      <c r="D372" s="190">
        <v>2.473429997720483</v>
      </c>
      <c r="E372" s="4"/>
      <c r="F372" s="4">
        <v>0.66</v>
      </c>
      <c r="G372" s="187">
        <v>0.18957745483677768</v>
      </c>
      <c r="H372" s="190">
        <v>2.3821199356700893</v>
      </c>
      <c r="I372" s="4"/>
      <c r="J372" s="4">
        <v>0.66</v>
      </c>
      <c r="K372" s="187">
        <v>0.20486047819262487</v>
      </c>
      <c r="L372" s="190">
        <v>2.5391233217444933</v>
      </c>
      <c r="M372" s="4"/>
      <c r="N372" s="4">
        <v>0.66</v>
      </c>
      <c r="O372" s="187">
        <v>0.19744142976921997</v>
      </c>
      <c r="P372" s="190">
        <v>2.4619056226634326</v>
      </c>
      <c r="Q372" s="4"/>
      <c r="R372" s="4">
        <v>0.66</v>
      </c>
      <c r="S372" s="187">
        <v>0.17856243273999883</v>
      </c>
      <c r="T372" s="190">
        <v>2.2738560531909267</v>
      </c>
      <c r="U372" s="4"/>
      <c r="V372" s="4">
        <v>0.66</v>
      </c>
      <c r="W372" s="187">
        <v>0.19997653021482642</v>
      </c>
      <c r="X372" s="190">
        <v>2.488076674785491</v>
      </c>
      <c r="Y372" s="4"/>
      <c r="Z372" s="4">
        <v>0.66</v>
      </c>
      <c r="AA372" s="187">
        <v>0.15798869440251861</v>
      </c>
      <c r="AB372" s="190">
        <v>2.0821959465216255</v>
      </c>
      <c r="AC372" s="4"/>
      <c r="AD372" s="4">
        <v>0.66</v>
      </c>
      <c r="AE372" s="187">
        <v>0.1989334442216879</v>
      </c>
      <c r="AF372" s="190">
        <v>2.4772815889398303</v>
      </c>
      <c r="AG372" s="4"/>
      <c r="AH372" s="4"/>
    </row>
    <row r="373" ht="12.75" hidden="1" outlineLevel="1">
      <c r="A373" s="4"/>
      <c r="B373" s="4">
        <v>0.68</v>
      </c>
      <c r="C373" s="187">
        <v>0.19815836162181744</v>
      </c>
      <c r="D373" s="190">
        <v>2.4692844108188123</v>
      </c>
      <c r="E373" s="4"/>
      <c r="F373" s="4">
        <v>0.68</v>
      </c>
      <c r="G373" s="187">
        <v>0.1888920363200659</v>
      </c>
      <c r="H373" s="190">
        <v>2.3752651123293</v>
      </c>
      <c r="I373" s="4"/>
      <c r="J373" s="4">
        <v>0.68</v>
      </c>
      <c r="K373" s="187">
        <v>0.20464967958733848</v>
      </c>
      <c r="L373" s="190">
        <v>2.536902913621623</v>
      </c>
      <c r="M373" s="4"/>
      <c r="N373" s="4">
        <v>0.68</v>
      </c>
      <c r="O373" s="187">
        <v>0.19699748190316324</v>
      </c>
      <c r="P373" s="190">
        <v>2.457345284265378</v>
      </c>
      <c r="Q373" s="4"/>
      <c r="R373" s="4">
        <v>0.68</v>
      </c>
      <c r="S373" s="187">
        <v>0.17749705949599281</v>
      </c>
      <c r="T373" s="190">
        <v>2.2635972429906746</v>
      </c>
      <c r="U373" s="4"/>
      <c r="V373" s="4">
        <v>0.68</v>
      </c>
      <c r="W373" s="187">
        <v>0.19961292538595443</v>
      </c>
      <c r="X373" s="190">
        <v>2.484309398572954</v>
      </c>
      <c r="Y373" s="4"/>
      <c r="Z373" s="4">
        <v>0.68</v>
      </c>
      <c r="AA373" s="187">
        <v>0.15619609274305724</v>
      </c>
      <c r="AB373" s="190">
        <v>2.0661292543010923</v>
      </c>
      <c r="AC373" s="4"/>
      <c r="AD373" s="4">
        <v>0.68</v>
      </c>
      <c r="AE373" s="187">
        <v>0.1985583917218574</v>
      </c>
      <c r="AF373" s="190">
        <v>2.4734092741466345</v>
      </c>
      <c r="AG373" s="4"/>
      <c r="AH373" s="4"/>
    </row>
    <row r="374" ht="12.75" hidden="1" outlineLevel="1">
      <c r="A374" s="4"/>
      <c r="B374" s="4">
        <v>0.7</v>
      </c>
      <c r="C374" s="187">
        <v>0.19775615430316495</v>
      </c>
      <c r="D374" s="190">
        <v>2.465142647380397</v>
      </c>
      <c r="E374" s="4"/>
      <c r="F374" s="4">
        <v>0.7</v>
      </c>
      <c r="G374" s="187">
        <v>0.18820575443002419</v>
      </c>
      <c r="H374" s="190">
        <v>2.3684174738079773</v>
      </c>
      <c r="I374" s="4"/>
      <c r="J374" s="4">
        <v>0.7</v>
      </c>
      <c r="K374" s="187">
        <v>0.20443873333022933</v>
      </c>
      <c r="L374" s="190">
        <v>2.534682505498753</v>
      </c>
      <c r="M374" s="4"/>
      <c r="N374" s="4">
        <v>0.7</v>
      </c>
      <c r="O374" s="187">
        <v>0.19655287444474046</v>
      </c>
      <c r="P374" s="190">
        <v>2.452784945867324</v>
      </c>
      <c r="Q374" s="4"/>
      <c r="R374" s="4">
        <v>0.7</v>
      </c>
      <c r="S374" s="187">
        <v>0.1764278165346984</v>
      </c>
      <c r="T374" s="190">
        <v>2.253338432790424</v>
      </c>
      <c r="U374" s="4"/>
      <c r="V374" s="4">
        <v>0.7</v>
      </c>
      <c r="W374" s="187">
        <v>0.1992488791847553</v>
      </c>
      <c r="X374" s="190">
        <v>2.480542122360416</v>
      </c>
      <c r="Y374" s="4"/>
      <c r="Z374" s="4">
        <v>0.7</v>
      </c>
      <c r="AA374" s="187">
        <v>0.15439230442240404</v>
      </c>
      <c r="AB374" s="190">
        <v>2.0500625620805586</v>
      </c>
      <c r="AC374" s="4"/>
      <c r="AD374" s="4">
        <v>0.7</v>
      </c>
      <c r="AE374" s="187">
        <v>0.19818406619223583</v>
      </c>
      <c r="AF374" s="190">
        <v>2.4695492949129716</v>
      </c>
      <c r="AG374" s="4"/>
      <c r="AH374" s="4"/>
    </row>
    <row r="375" ht="12.75" hidden="1" outlineLevel="1">
      <c r="A375" s="4"/>
      <c r="B375" s="4">
        <v>0.72</v>
      </c>
      <c r="C375" s="187">
        <v>0.1973537777997525</v>
      </c>
      <c r="D375" s="190">
        <v>2.461004704748363</v>
      </c>
      <c r="E375" s="4"/>
      <c r="F375" s="4">
        <v>0.72</v>
      </c>
      <c r="G375" s="187">
        <v>0.18751860535296982</v>
      </c>
      <c r="H375" s="190">
        <v>2.3615770144793213</v>
      </c>
      <c r="I375" s="4"/>
      <c r="J375" s="4">
        <v>0.72</v>
      </c>
      <c r="K375" s="187">
        <v>0.20422763918839593</v>
      </c>
      <c r="L375" s="190">
        <v>2.5324620973758813</v>
      </c>
      <c r="M375" s="4"/>
      <c r="N375" s="4">
        <v>0.72</v>
      </c>
      <c r="O375" s="187">
        <v>0.19610760518488268</v>
      </c>
      <c r="P375" s="190">
        <v>2.4482246074692697</v>
      </c>
      <c r="Q375" s="4"/>
      <c r="R375" s="4">
        <v>0.72</v>
      </c>
      <c r="S375" s="187">
        <v>0.17535467208617161</v>
      </c>
      <c r="T375" s="190">
        <v>2.2430796225901712</v>
      </c>
      <c r="U375" s="4"/>
      <c r="V375" s="4">
        <v>0.72</v>
      </c>
      <c r="W375" s="187">
        <v>0.1988843904039086</v>
      </c>
      <c r="X375" s="190">
        <v>2.4767748461478782</v>
      </c>
      <c r="Y375" s="4"/>
      <c r="Z375" s="4">
        <v>0.72</v>
      </c>
      <c r="AA375" s="187">
        <v>0.15257717113236025</v>
      </c>
      <c r="AB375" s="190">
        <v>2.0339958698600253</v>
      </c>
      <c r="AC375" s="4"/>
      <c r="AD375" s="4">
        <v>0.72</v>
      </c>
      <c r="AE375" s="187">
        <v>0.19781046508421962</v>
      </c>
      <c r="AF375" s="190">
        <v>2.4657015923887546</v>
      </c>
      <c r="AG375" s="4"/>
      <c r="AH375" s="4"/>
    </row>
    <row r="376" ht="12.75" hidden="1" outlineLevel="1">
      <c r="A376" s="4"/>
      <c r="B376" s="4">
        <v>0.74</v>
      </c>
      <c r="C376" s="187">
        <v>0.19695123171550977</v>
      </c>
      <c r="D376" s="190">
        <v>2.456870580267058</v>
      </c>
      <c r="E376" s="4"/>
      <c r="F376" s="4">
        <v>0.74</v>
      </c>
      <c r="G376" s="187">
        <v>0.1868305852502139</v>
      </c>
      <c r="H376" s="190">
        <v>2.354743728719469</v>
      </c>
      <c r="I376" s="4"/>
      <c r="J376" s="4">
        <v>0.74</v>
      </c>
      <c r="K376" s="187">
        <v>0.20401639692836415</v>
      </c>
      <c r="L376" s="190">
        <v>2.530241689253011</v>
      </c>
      <c r="M376" s="4"/>
      <c r="N376" s="4">
        <v>0.74</v>
      </c>
      <c r="O376" s="187">
        <v>0.19566167190299022</v>
      </c>
      <c r="P376" s="190">
        <v>2.4436642690712134</v>
      </c>
      <c r="Q376" s="4"/>
      <c r="R376" s="4">
        <v>0.74</v>
      </c>
      <c r="S376" s="187">
        <v>0.1742775939728778</v>
      </c>
      <c r="T376" s="190">
        <v>2.2328208123899196</v>
      </c>
      <c r="U376" s="4"/>
      <c r="V376" s="4">
        <v>0.74</v>
      </c>
      <c r="W376" s="187">
        <v>0.19851945783094815</v>
      </c>
      <c r="X376" s="190">
        <v>2.473007569935341</v>
      </c>
      <c r="Y376" s="4"/>
      <c r="Z376" s="4">
        <v>0.74</v>
      </c>
      <c r="AA376" s="187">
        <v>0.15075053105217728</v>
      </c>
      <c r="AB376" s="190">
        <v>2.017929177639491</v>
      </c>
      <c r="AC376" s="4"/>
      <c r="AD376" s="4">
        <v>0.74</v>
      </c>
      <c r="AE376" s="187">
        <v>0.19743758586216686</v>
      </c>
      <c r="AF376" s="190">
        <v>2.461866108097646</v>
      </c>
      <c r="AG376" s="4"/>
      <c r="AH376" s="4"/>
    </row>
    <row r="377" ht="12.75" hidden="1" outlineLevel="1">
      <c r="A377" s="4"/>
      <c r="B377" s="4">
        <v>0.76</v>
      </c>
      <c r="C377" s="187">
        <v>0.19654851565307707</v>
      </c>
      <c r="D377" s="190">
        <v>2.4527402712820576</v>
      </c>
      <c r="E377" s="4"/>
      <c r="F377" s="4">
        <v>0.76</v>
      </c>
      <c r="G377" s="187">
        <v>0.1861416902578361</v>
      </c>
      <c r="H377" s="190">
        <v>2.347917610907472</v>
      </c>
      <c r="I377" s="4"/>
      <c r="J377" s="4">
        <v>0.76</v>
      </c>
      <c r="K377" s="187">
        <v>0.20380500631608678</v>
      </c>
      <c r="L377" s="190">
        <v>2.528021281130139</v>
      </c>
      <c r="M377" s="4"/>
      <c r="N377" s="4">
        <v>0.76</v>
      </c>
      <c r="O377" s="187">
        <v>0.1952150723668531</v>
      </c>
      <c r="P377" s="190">
        <v>2.4391039306731597</v>
      </c>
      <c r="Q377" s="4"/>
      <c r="R377" s="4">
        <v>0.76</v>
      </c>
      <c r="S377" s="187">
        <v>0.17319654960256003</v>
      </c>
      <c r="T377" s="190">
        <v>2.222562002189668</v>
      </c>
      <c r="U377" s="4"/>
      <c r="V377" s="4">
        <v>0.76</v>
      </c>
      <c r="W377" s="187">
        <v>0.19815408024823356</v>
      </c>
      <c r="X377" s="190">
        <v>2.469240293722803</v>
      </c>
      <c r="Y377" s="4"/>
      <c r="Z377" s="4">
        <v>0.76</v>
      </c>
      <c r="AA377" s="187">
        <v>0.14891221874194027</v>
      </c>
      <c r="AB377" s="190">
        <v>2.001862485418957</v>
      </c>
      <c r="AC377" s="4"/>
      <c r="AD377" s="4">
        <v>0.76</v>
      </c>
      <c r="AE377" s="187">
        <v>0.19706542600331378</v>
      </c>
      <c r="AF377" s="190">
        <v>2.4580427839340997</v>
      </c>
      <c r="AG377" s="4"/>
      <c r="AH377" s="4"/>
    </row>
    <row r="378" ht="12.75" hidden="1" outlineLevel="1">
      <c r="A378" s="4"/>
      <c r="B378" s="4">
        <v>0.78</v>
      </c>
      <c r="C378" s="187">
        <v>0.1961456292137984</v>
      </c>
      <c r="D378" s="190">
        <v>2.4486137751401564</v>
      </c>
      <c r="E378" s="4"/>
      <c r="F378" s="4">
        <v>0.78</v>
      </c>
      <c r="G378" s="187">
        <v>0.18545191648646364</v>
      </c>
      <c r="H378" s="190">
        <v>2.341098655425317</v>
      </c>
      <c r="I378" s="4"/>
      <c r="J378" s="4">
        <v>0.78</v>
      </c>
      <c r="K378" s="187">
        <v>0.20359346711693993</v>
      </c>
      <c r="L378" s="190">
        <v>2.5258008730072676</v>
      </c>
      <c r="M378" s="4"/>
      <c r="N378" s="4">
        <v>0.78</v>
      </c>
      <c r="O378" s="187">
        <v>0.1947678043325647</v>
      </c>
      <c r="P378" s="190">
        <v>2.434543592275106</v>
      </c>
      <c r="Q378" s="4"/>
      <c r="R378" s="4">
        <v>0.78</v>
      </c>
      <c r="S378" s="187">
        <v>0.17211150596095282</v>
      </c>
      <c r="T378" s="190">
        <v>2.2123031919894167</v>
      </c>
      <c r="U378" s="4"/>
      <c r="V378" s="4">
        <v>0.78</v>
      </c>
      <c r="W378" s="187">
        <v>0.19778825643291942</v>
      </c>
      <c r="X378" s="190">
        <v>2.4654730175102655</v>
      </c>
      <c r="Y378" s="4"/>
      <c r="Z378" s="4">
        <v>0.78</v>
      </c>
      <c r="AA378" s="187">
        <v>0.1470620650318304</v>
      </c>
      <c r="AB378" s="190">
        <v>1.9857957931984234</v>
      </c>
      <c r="AC378" s="4"/>
      <c r="AD378" s="4">
        <v>0.78</v>
      </c>
      <c r="AE378" s="187">
        <v>0.1966939829976877</v>
      </c>
      <c r="AF378" s="190">
        <v>2.454231562160426</v>
      </c>
      <c r="AG378" s="4"/>
      <c r="AH378" s="4"/>
    </row>
    <row r="379" ht="12.75" hidden="1" outlineLevel="1">
      <c r="A379" s="4"/>
      <c r="B379" s="4">
        <v>0.8</v>
      </c>
      <c r="C379" s="187">
        <v>0.19574257199771683</v>
      </c>
      <c r="D379" s="190">
        <v>2.4444910891893716</v>
      </c>
      <c r="E379" s="4"/>
      <c r="F379" s="4">
        <v>0.8</v>
      </c>
      <c r="G379" s="187">
        <v>0.18476126002104443</v>
      </c>
      <c r="H379" s="190">
        <v>2.3342868566579114</v>
      </c>
      <c r="I379" s="4"/>
      <c r="J379" s="4">
        <v>0.8</v>
      </c>
      <c r="K379" s="187">
        <v>0.20338177909572286</v>
      </c>
      <c r="L379" s="190">
        <v>2.523580464884398</v>
      </c>
      <c r="M379" s="4"/>
      <c r="N379" s="4">
        <v>0.8</v>
      </c>
      <c r="O379" s="187">
        <v>0.1943198655444418</v>
      </c>
      <c r="P379" s="190">
        <v>2.429983253877051</v>
      </c>
      <c r="Q379" s="4"/>
      <c r="R379" s="4">
        <v>0.8</v>
      </c>
      <c r="S379" s="187">
        <v>0.17102242960433167</v>
      </c>
      <c r="T379" s="190">
        <v>2.2020443817891646</v>
      </c>
      <c r="U379" s="4"/>
      <c r="V379" s="4">
        <v>0.8</v>
      </c>
      <c r="W379" s="187">
        <v>0.19742198515692544</v>
      </c>
      <c r="X379" s="190">
        <v>2.461705741297728</v>
      </c>
      <c r="Y379" s="4"/>
      <c r="Z379" s="4">
        <v>0.8</v>
      </c>
      <c r="AA379" s="187">
        <v>0.14519989690707358</v>
      </c>
      <c r="AB379" s="190">
        <v>1.9697291009778901</v>
      </c>
      <c r="AC379" s="4"/>
      <c r="AD379" s="4">
        <v>0.8</v>
      </c>
      <c r="AE379" s="187">
        <v>0.19632325434802134</v>
      </c>
      <c r="AF379" s="190">
        <v>2.4504323854038828</v>
      </c>
      <c r="AG379" s="4"/>
      <c r="AH379" s="4"/>
    </row>
    <row r="380" ht="12.75" hidden="1" outlineLevel="1">
      <c r="A380" s="4"/>
      <c r="B380" s="4">
        <v>0.82</v>
      </c>
      <c r="C380" s="187">
        <v>0.1953393436035693</v>
      </c>
      <c r="D380" s="190">
        <v>2.440372210778949</v>
      </c>
      <c r="E380" s="4"/>
      <c r="F380" s="4">
        <v>0.82</v>
      </c>
      <c r="G380" s="187">
        <v>0.18406971692061758</v>
      </c>
      <c r="H380" s="190">
        <v>2.3274822089930844</v>
      </c>
      <c r="I380" s="4"/>
      <c r="J380" s="4">
        <v>0.82</v>
      </c>
      <c r="K380" s="187">
        <v>0.2031699420166544</v>
      </c>
      <c r="L380" s="190">
        <v>2.521360056761527</v>
      </c>
      <c r="M380" s="4"/>
      <c r="N380" s="4">
        <v>0.82</v>
      </c>
      <c r="O380" s="187">
        <v>0.19387125373493874</v>
      </c>
      <c r="P380" s="190">
        <v>2.425422915478996</v>
      </c>
      <c r="Q380" s="4"/>
      <c r="R380" s="4">
        <v>0.82</v>
      </c>
      <c r="S380" s="187">
        <v>0.16992928665189577</v>
      </c>
      <c r="T380" s="190">
        <v>2.191785571588913</v>
      </c>
      <c r="U380" s="4"/>
      <c r="V380" s="4">
        <v>0.82</v>
      </c>
      <c r="W380" s="187">
        <v>0.19705526518690553</v>
      </c>
      <c r="X380" s="190">
        <v>2.4579384650851903</v>
      </c>
      <c r="Y380" s="4"/>
      <c r="Z380" s="4">
        <v>0.82</v>
      </c>
      <c r="AA380" s="187">
        <v>0.1433255373883675</v>
      </c>
      <c r="AB380" s="190">
        <v>1.9536624087573569</v>
      </c>
      <c r="AC380" s="4"/>
      <c r="AD380" s="4">
        <v>0.82</v>
      </c>
      <c r="AE380" s="187">
        <v>0.19595323756967065</v>
      </c>
      <c r="AF380" s="190">
        <v>2.446645196653801</v>
      </c>
      <c r="AG380" s="4"/>
      <c r="AH380" s="4"/>
    </row>
    <row r="381" ht="12.75" hidden="1" outlineLevel="1">
      <c r="A381" s="4"/>
      <c r="B381" s="4">
        <v>0.84</v>
      </c>
      <c r="C381" s="187">
        <v>0.19493594362877875</v>
      </c>
      <c r="D381" s="190">
        <v>2.436257137259346</v>
      </c>
      <c r="E381" s="4"/>
      <c r="F381" s="4">
        <v>0.84</v>
      </c>
      <c r="G381" s="187">
        <v>0.18337728321808333</v>
      </c>
      <c r="H381" s="190">
        <v>2.3206847068215963</v>
      </c>
      <c r="I381" s="4"/>
      <c r="J381" s="4">
        <v>0.84</v>
      </c>
      <c r="K381" s="187">
        <v>0.20295795564337205</v>
      </c>
      <c r="L381" s="190">
        <v>2.5191396486386557</v>
      </c>
      <c r="M381" s="4"/>
      <c r="N381" s="4">
        <v>0.84</v>
      </c>
      <c r="O381" s="187">
        <v>0.19342196662456312</v>
      </c>
      <c r="P381" s="190">
        <v>2.420862577080942</v>
      </c>
      <c r="Q381" s="4"/>
      <c r="R381" s="4">
        <v>0.84</v>
      </c>
      <c r="S381" s="187">
        <v>0.16883204277797903</v>
      </c>
      <c r="T381" s="190">
        <v>2.1815267613886613</v>
      </c>
      <c r="U381" s="4"/>
      <c r="V381" s="4">
        <v>0.84</v>
      </c>
      <c r="W381" s="187">
        <v>0.1966880952842176</v>
      </c>
      <c r="X381" s="190">
        <v>2.4541711888726527</v>
      </c>
      <c r="Y381" s="4"/>
      <c r="Z381" s="4">
        <v>0.84</v>
      </c>
      <c r="AA381" s="187">
        <v>0.1414388054075757</v>
      </c>
      <c r="AB381" s="190">
        <v>1.9375957165368236</v>
      </c>
      <c r="AC381" s="4"/>
      <c r="AD381" s="4">
        <v>0.84</v>
      </c>
      <c r="AE381" s="187">
        <v>0.1955839301905289</v>
      </c>
      <c r="AF381" s="190">
        <v>2.4428699392587268</v>
      </c>
      <c r="AG381" s="4"/>
      <c r="AH381" s="4"/>
    </row>
    <row r="382" ht="12.75" hidden="1" outlineLevel="1">
      <c r="A382" s="4"/>
      <c r="B382" s="4">
        <v>0.86</v>
      </c>
      <c r="C382" s="187">
        <v>0.19453237166945136</v>
      </c>
      <c r="D382" s="190">
        <v>2.4321458659822492</v>
      </c>
      <c r="E382" s="4"/>
      <c r="F382" s="4">
        <v>0.86</v>
      </c>
      <c r="G382" s="187">
        <v>0.18268395491996792</v>
      </c>
      <c r="H382" s="190">
        <v>2.313894344537121</v>
      </c>
      <c r="I382" s="4"/>
      <c r="J382" s="4">
        <v>0.86</v>
      </c>
      <c r="K382" s="187">
        <v>0.20274581973893024</v>
      </c>
      <c r="L382" s="190">
        <v>2.516919240515784</v>
      </c>
      <c r="M382" s="4"/>
      <c r="N382" s="4">
        <v>0.86</v>
      </c>
      <c r="O382" s="187">
        <v>0.19297200192179043</v>
      </c>
      <c r="P382" s="190">
        <v>2.416302238682888</v>
      </c>
      <c r="Q382" s="4"/>
      <c r="R382" s="4">
        <v>0.86</v>
      </c>
      <c r="S382" s="187">
        <v>0.1677306632040867</v>
      </c>
      <c r="T382" s="190">
        <v>2.1712679511884105</v>
      </c>
      <c r="U382" s="4"/>
      <c r="V382" s="4">
        <v>0.86</v>
      </c>
      <c r="W382" s="187">
        <v>0.19632047420489207</v>
      </c>
      <c r="X382" s="190">
        <v>2.4504039126601147</v>
      </c>
      <c r="Y382" s="4"/>
      <c r="Z382" s="4">
        <v>0.86</v>
      </c>
      <c r="AA382" s="187">
        <v>0.13953951567845513</v>
      </c>
      <c r="AB382" s="190">
        <v>1.9215290243162892</v>
      </c>
      <c r="AC382" s="4"/>
      <c r="AD382" s="4">
        <v>0.86</v>
      </c>
      <c r="AE382" s="187">
        <v>0.1952153297509458</v>
      </c>
      <c r="AF382" s="190">
        <v>2.4391065569236026</v>
      </c>
      <c r="AG382" s="4"/>
      <c r="AH382" s="4"/>
    </row>
    <row r="383" ht="12.75" hidden="1" outlineLevel="1">
      <c r="A383" s="4"/>
      <c r="B383" s="4">
        <v>0.88</v>
      </c>
      <c r="C383" s="187">
        <v>0.19412862732036884</v>
      </c>
      <c r="D383" s="190">
        <v>2.428038394300566</v>
      </c>
      <c r="E383" s="4"/>
      <c r="F383" s="4">
        <v>0.88</v>
      </c>
      <c r="G383" s="187">
        <v>0.18198972800618796</v>
      </c>
      <c r="H383" s="190">
        <v>2.3071111165362574</v>
      </c>
      <c r="I383" s="4"/>
      <c r="J383" s="4">
        <v>0.88</v>
      </c>
      <c r="K383" s="187">
        <v>0.20253353406579766</v>
      </c>
      <c r="L383" s="190">
        <v>2.5146988323929147</v>
      </c>
      <c r="M383" s="4"/>
      <c r="N383" s="4">
        <v>0.88</v>
      </c>
      <c r="O383" s="187">
        <v>0.19252135732297693</v>
      </c>
      <c r="P383" s="190">
        <v>2.411741900284832</v>
      </c>
      <c r="Q383" s="4"/>
      <c r="R383" s="4">
        <v>0.88</v>
      </c>
      <c r="S383" s="187">
        <v>0.16662511269074742</v>
      </c>
      <c r="T383" s="190">
        <v>2.161009140988158</v>
      </c>
      <c r="U383" s="4"/>
      <c r="V383" s="4">
        <v>0.88</v>
      </c>
      <c r="W383" s="187">
        <v>0.1959524006996014</v>
      </c>
      <c r="X383" s="190">
        <v>2.446636636447577</v>
      </c>
      <c r="Y383" s="4"/>
      <c r="Z383" s="4">
        <v>0.88</v>
      </c>
      <c r="AA383" s="187">
        <v>0.1376274785621785</v>
      </c>
      <c r="AB383" s="190">
        <v>1.905462332095756</v>
      </c>
      <c r="AC383" s="4"/>
      <c r="AD383" s="4">
        <v>0.88</v>
      </c>
      <c r="AE383" s="187">
        <v>0.19484743380364367</v>
      </c>
      <c r="AF383" s="190">
        <v>2.435354993706968</v>
      </c>
      <c r="AG383" s="4"/>
      <c r="AH383" s="4"/>
    </row>
    <row r="384" ht="12.75" hidden="1" outlineLevel="1">
      <c r="A384" s="4"/>
      <c r="B384" s="4">
        <v>0.9</v>
      </c>
      <c r="C384" s="187">
        <v>0.19372471017498327</v>
      </c>
      <c r="D384" s="190">
        <v>2.42393471956842</v>
      </c>
      <c r="E384" s="4"/>
      <c r="F384" s="4">
        <v>0.9</v>
      </c>
      <c r="G384" s="187">
        <v>0.18129459842981088</v>
      </c>
      <c r="H384" s="190">
        <v>2.300335017218524</v>
      </c>
      <c r="I384" s="4"/>
      <c r="J384" s="4">
        <v>0.9</v>
      </c>
      <c r="K384" s="187">
        <v>0.20232109838585477</v>
      </c>
      <c r="L384" s="190">
        <v>2.5124784242700433</v>
      </c>
      <c r="M384" s="4"/>
      <c r="N384" s="4">
        <v>0.9</v>
      </c>
      <c r="O384" s="187">
        <v>0.19207003051227356</v>
      </c>
      <c r="P384" s="190">
        <v>2.4071815618867785</v>
      </c>
      <c r="Q384" s="4"/>
      <c r="R384" s="4">
        <v>0.9</v>
      </c>
      <c r="S384" s="187">
        <v>0.16551535552918417</v>
      </c>
      <c r="T384" s="190">
        <v>2.1507503307879063</v>
      </c>
      <c r="U384" s="4"/>
      <c r="V384" s="4">
        <v>0.9</v>
      </c>
      <c r="W384" s="187">
        <v>0.1955838735136286</v>
      </c>
      <c r="X384" s="190">
        <v>2.4428693602350395</v>
      </c>
      <c r="Y384" s="4"/>
      <c r="Z384" s="4">
        <v>0.9</v>
      </c>
      <c r="AA384" s="187">
        <v>0.13570249992739547</v>
      </c>
      <c r="AB384" s="190">
        <v>1.8893956398752227</v>
      </c>
      <c r="AC384" s="4"/>
      <c r="AD384" s="4">
        <v>0.9</v>
      </c>
      <c r="AE384" s="187">
        <v>0.19448023991363672</v>
      </c>
      <c r="AF384" s="190">
        <v>2.4316151940181823</v>
      </c>
      <c r="AG384" s="4"/>
      <c r="AH384" s="4"/>
    </row>
    <row r="385" ht="12.75" hidden="1" outlineLevel="1">
      <c r="A385" s="4"/>
      <c r="B385" s="4">
        <v>0.92</v>
      </c>
      <c r="C385" s="187">
        <v>0.19332061982541227</v>
      </c>
      <c r="D385" s="190">
        <v>2.419834839141163</v>
      </c>
      <c r="E385" s="4"/>
      <c r="F385" s="4">
        <v>0.92</v>
      </c>
      <c r="G385" s="187">
        <v>0.18059856211681335</v>
      </c>
      <c r="H385" s="190">
        <v>2.293566040986364</v>
      </c>
      <c r="I385" s="4"/>
      <c r="J385" s="4">
        <v>0.92</v>
      </c>
      <c r="K385" s="187">
        <v>0.20210851246039363</v>
      </c>
      <c r="L385" s="190">
        <v>2.510258016147172</v>
      </c>
      <c r="M385" s="4"/>
      <c r="N385" s="4">
        <v>0.92</v>
      </c>
      <c r="O385" s="187">
        <v>0.19161801916153687</v>
      </c>
      <c r="P385" s="190">
        <v>2.402621223488724</v>
      </c>
      <c r="Q385" s="4"/>
      <c r="R385" s="4">
        <v>0.92</v>
      </c>
      <c r="S385" s="187">
        <v>0.16440135553278945</v>
      </c>
      <c r="T385" s="190">
        <v>2.1404915205876556</v>
      </c>
      <c r="U385" s="4"/>
      <c r="V385" s="4">
        <v>0.92</v>
      </c>
      <c r="W385" s="187">
        <v>0.1952148913868348</v>
      </c>
      <c r="X385" s="190">
        <v>2.439102084022502</v>
      </c>
      <c r="Y385" s="4"/>
      <c r="Z385" s="4">
        <v>0.92</v>
      </c>
      <c r="AA385" s="187">
        <v>0.13376438100456167</v>
      </c>
      <c r="AB385" s="190">
        <v>1.873328947654689</v>
      </c>
      <c r="AC385" s="4"/>
      <c r="AD385" s="4">
        <v>0.92</v>
      </c>
      <c r="AE385" s="187">
        <v>0.19411374565815054</v>
      </c>
      <c r="AF385" s="190">
        <v>2.4278871026146858</v>
      </c>
      <c r="AG385" s="4"/>
      <c r="AH385" s="4"/>
    </row>
    <row r="386" ht="12.75" hidden="1" outlineLevel="1">
      <c r="A386" s="4"/>
      <c r="B386" s="4">
        <v>0.94</v>
      </c>
      <c r="C386" s="187">
        <v>0.1929163558624305</v>
      </c>
      <c r="D386" s="190">
        <v>2.415738750375357</v>
      </c>
      <c r="E386" s="4"/>
      <c r="F386" s="4">
        <v>0.94</v>
      </c>
      <c r="G386" s="187">
        <v>0.179901614965835</v>
      </c>
      <c r="H386" s="190">
        <v>2.286804182245131</v>
      </c>
      <c r="I386" s="4"/>
      <c r="J386" s="4">
        <v>0.94</v>
      </c>
      <c r="K386" s="187">
        <v>0.20189577605011455</v>
      </c>
      <c r="L386" s="190">
        <v>2.5080376080243023</v>
      </c>
      <c r="M386" s="4"/>
      <c r="N386" s="4">
        <v>0.94</v>
      </c>
      <c r="O386" s="187">
        <v>0.1911653209302413</v>
      </c>
      <c r="P386" s="190">
        <v>2.3980608850906693</v>
      </c>
      <c r="Q386" s="4"/>
      <c r="R386" s="4">
        <v>0.94</v>
      </c>
      <c r="S386" s="187">
        <v>0.1632830760284072</v>
      </c>
      <c r="T386" s="190">
        <v>2.130232710387404</v>
      </c>
      <c r="U386" s="4"/>
      <c r="V386" s="4">
        <v>0.94</v>
      </c>
      <c r="W386" s="187">
        <v>0.19484545305362877</v>
      </c>
      <c r="X386" s="190">
        <v>2.4353348078099644</v>
      </c>
      <c r="Y386" s="4"/>
      <c r="Z386" s="4">
        <v>0.94</v>
      </c>
      <c r="AA386" s="187">
        <v>0.1318129182342509</v>
      </c>
      <c r="AB386" s="190">
        <v>1.8572622554341558</v>
      </c>
      <c r="AC386" s="4"/>
      <c r="AD386" s="4">
        <v>0.94</v>
      </c>
      <c r="AE386" s="187">
        <v>0.19374794862654077</v>
      </c>
      <c r="AF386" s="190">
        <v>2.4241706645992753</v>
      </c>
      <c r="AG386" s="4"/>
      <c r="AH386" s="4"/>
    </row>
    <row r="387" ht="12.75" hidden="1" outlineLevel="1">
      <c r="A387" s="4"/>
      <c r="B387" s="4">
        <v>0.96</v>
      </c>
      <c r="C387" s="187">
        <v>0.1925119178754673</v>
      </c>
      <c r="D387" s="190">
        <v>2.411646450628795</v>
      </c>
      <c r="E387" s="4"/>
      <c r="F387" s="4">
        <v>0.96</v>
      </c>
      <c r="G387" s="187">
        <v>0.1792037528479331</v>
      </c>
      <c r="H387" s="190">
        <v>2.280049435403103</v>
      </c>
      <c r="I387" s="4"/>
      <c r="J387" s="4">
        <v>0.96</v>
      </c>
      <c r="K387" s="187">
        <v>0.2016828889151241</v>
      </c>
      <c r="L387" s="190">
        <v>2.505817199901431</v>
      </c>
      <c r="M387" s="4"/>
      <c r="N387" s="4">
        <v>0.96</v>
      </c>
      <c r="O387" s="187">
        <v>0.19071193346538928</v>
      </c>
      <c r="P387" s="190">
        <v>2.3935005466926147</v>
      </c>
      <c r="Q387" s="4"/>
      <c r="R387" s="4">
        <v>0.96</v>
      </c>
      <c r="S387" s="187">
        <v>0.162160479847411</v>
      </c>
      <c r="T387" s="190">
        <v>2.1199739001871514</v>
      </c>
      <c r="U387" s="4"/>
      <c r="V387" s="4">
        <v>0.96</v>
      </c>
      <c r="W387" s="187">
        <v>0.1944755572429333</v>
      </c>
      <c r="X387" s="190">
        <v>2.4315675315974263</v>
      </c>
      <c r="Y387" s="4"/>
      <c r="Z387" s="4">
        <v>0.96</v>
      </c>
      <c r="AA387" s="187">
        <v>0.12984790310914462</v>
      </c>
      <c r="AB387" s="190">
        <v>1.8411955632136225</v>
      </c>
      <c r="AC387" s="4"/>
      <c r="AD387" s="4">
        <v>0.96</v>
      </c>
      <c r="AE387" s="187">
        <v>0.19338284642021453</v>
      </c>
      <c r="AF387" s="190">
        <v>2.4204658254174145</v>
      </c>
      <c r="AG387" s="4"/>
      <c r="AH387" s="4"/>
    </row>
    <row r="388" ht="12.75" hidden="1" outlineLevel="1">
      <c r="A388" s="4"/>
      <c r="B388" s="4">
        <v>0.98</v>
      </c>
      <c r="C388" s="187">
        <v>0.19210730545259858</v>
      </c>
      <c r="D388" s="190">
        <v>2.4075579372604845</v>
      </c>
      <c r="E388" s="4"/>
      <c r="F388" s="4">
        <v>0.98</v>
      </c>
      <c r="G388" s="187">
        <v>0.17850497160633116</v>
      </c>
      <c r="H388" s="190">
        <v>2.273301794871475</v>
      </c>
      <c r="I388" s="4"/>
      <c r="J388" s="4">
        <v>0.98</v>
      </c>
      <c r="K388" s="187">
        <v>0.20146985081493396</v>
      </c>
      <c r="L388" s="190">
        <v>2.50359679177856</v>
      </c>
      <c r="M388" s="4"/>
      <c r="N388" s="4">
        <v>0.98</v>
      </c>
      <c r="O388" s="187">
        <v>0.19025785440142062</v>
      </c>
      <c r="P388" s="190">
        <v>2.3889402082945606</v>
      </c>
      <c r="Q388" s="4"/>
      <c r="R388" s="4">
        <v>0.98</v>
      </c>
      <c r="S388" s="187">
        <v>0.16103352931657566</v>
      </c>
      <c r="T388" s="190">
        <v>2.1097150899868993</v>
      </c>
      <c r="U388" s="4"/>
      <c r="V388" s="4">
        <v>0.98</v>
      </c>
      <c r="W388" s="187">
        <v>0.19410520267815445</v>
      </c>
      <c r="X388" s="190">
        <v>2.4278002553848888</v>
      </c>
      <c r="Y388" s="4"/>
      <c r="Z388" s="4">
        <v>0.98</v>
      </c>
      <c r="AA388" s="187">
        <v>0.12786912200938239</v>
      </c>
      <c r="AB388" s="190">
        <v>1.8251288709930884</v>
      </c>
      <c r="AC388" s="4"/>
      <c r="AD388" s="4">
        <v>0.98</v>
      </c>
      <c r="AE388" s="187">
        <v>0.1930184366525507</v>
      </c>
      <c r="AF388" s="190">
        <v>2.416772530854556</v>
      </c>
      <c r="AG388" s="4"/>
      <c r="AH388" s="4"/>
    </row>
    <row r="389" ht="12.75" hidden="1" outlineLevel="1">
      <c r="A389" s="4"/>
      <c r="B389" s="4">
        <v>1</v>
      </c>
      <c r="C389" s="187">
        <v>0.19170251818054118</v>
      </c>
      <c r="D389" s="190">
        <v>2.4034732076306495</v>
      </c>
      <c r="E389" s="4"/>
      <c r="F389" s="4">
        <v>1</v>
      </c>
      <c r="G389" s="187">
        <v>0.17780526705616517</v>
      </c>
      <c r="H389" s="190">
        <v>2.266561255064353</v>
      </c>
      <c r="I389" s="4"/>
      <c r="J389" s="4">
        <v>1</v>
      </c>
      <c r="K389" s="187">
        <v>0.2012566615084581</v>
      </c>
      <c r="L389" s="190">
        <v>2.501376383655689</v>
      </c>
      <c r="M389" s="4"/>
      <c r="N389" s="4">
        <v>1</v>
      </c>
      <c r="O389" s="187">
        <v>0.18980308136012103</v>
      </c>
      <c r="P389" s="190">
        <v>2.3843798698965064</v>
      </c>
      <c r="Q389" s="4"/>
      <c r="R389" s="4">
        <v>1</v>
      </c>
      <c r="S389" s="187">
        <v>0.15990218624873465</v>
      </c>
      <c r="T389" s="190">
        <v>2.0994562797866476</v>
      </c>
      <c r="U389" s="4"/>
      <c r="V389" s="4">
        <v>1</v>
      </c>
      <c r="W389" s="187">
        <v>0.19373438807714805</v>
      </c>
      <c r="X389" s="190">
        <v>2.424032979172351</v>
      </c>
      <c r="Y389" s="4"/>
      <c r="Z389" s="4">
        <v>1</v>
      </c>
      <c r="AA389" s="187">
        <v>0.1258763560309275</v>
      </c>
      <c r="AB389" s="190">
        <v>1.8090621787725552</v>
      </c>
      <c r="AC389" s="4"/>
      <c r="AD389" s="4">
        <v>1</v>
      </c>
      <c r="AE389" s="187">
        <v>0.1926547169488222</v>
      </c>
      <c r="AF389" s="190">
        <v>2.4130907270335036</v>
      </c>
      <c r="AG389" s="4"/>
      <c r="AH389" s="4"/>
    </row>
    <row r="390" ht="12.75" hidden="1" outlineLevel="1">
      <c r="A390" s="4"/>
      <c r="B390" s="4">
        <v>1.02</v>
      </c>
      <c r="C390" s="187">
        <v>0.19129755564464812</v>
      </c>
      <c r="D390" s="190">
        <v>2.3993922591007433</v>
      </c>
      <c r="E390" s="4"/>
      <c r="F390" s="4">
        <v>1.02</v>
      </c>
      <c r="G390" s="187">
        <v>0.17710463498422913</v>
      </c>
      <c r="H390" s="190">
        <v>2.2598278103987663</v>
      </c>
      <c r="I390" s="4"/>
      <c r="J390" s="4">
        <v>1.02</v>
      </c>
      <c r="K390" s="187">
        <v>0.201043320754011</v>
      </c>
      <c r="L390" s="190">
        <v>2.499155975532818</v>
      </c>
      <c r="M390" s="4"/>
      <c r="N390" s="4">
        <v>1.02</v>
      </c>
      <c r="O390" s="187">
        <v>0.18934761195053107</v>
      </c>
      <c r="P390" s="190">
        <v>2.37981953149845</v>
      </c>
      <c r="Q390" s="4"/>
      <c r="R390" s="4">
        <v>1.02</v>
      </c>
      <c r="S390" s="187">
        <v>0.15876641193321817</v>
      </c>
      <c r="T390" s="190">
        <v>2.0891974695863964</v>
      </c>
      <c r="U390" s="4"/>
      <c r="V390" s="4">
        <v>1.02</v>
      </c>
      <c r="W390" s="187">
        <v>0.1933631121521866</v>
      </c>
      <c r="X390" s="190">
        <v>2.4202657029598136</v>
      </c>
      <c r="Y390" s="4"/>
      <c r="Z390" s="4">
        <v>1.02</v>
      </c>
      <c r="AA390" s="187">
        <v>0.12386938080659093</v>
      </c>
      <c r="AB390" s="190">
        <v>1.7929954865520217</v>
      </c>
      <c r="AC390" s="4"/>
      <c r="AD390" s="4">
        <v>1.02</v>
      </c>
      <c r="AE390" s="187">
        <v>0.19229168494611848</v>
      </c>
      <c r="AF390" s="190">
        <v>2.409420360411793</v>
      </c>
      <c r="AG390" s="4"/>
      <c r="AH390" s="4"/>
    </row>
    <row r="391" ht="12.75" hidden="1" outlineLevel="1">
      <c r="A391" s="4"/>
      <c r="B391" s="4">
        <v>1.04</v>
      </c>
      <c r="C391" s="187">
        <v>0.19089241742890017</v>
      </c>
      <c r="D391" s="190">
        <v>2.395315089033421</v>
      </c>
      <c r="E391" s="4"/>
      <c r="F391" s="4">
        <v>1.04</v>
      </c>
      <c r="G391" s="187">
        <v>0.17640307114871434</v>
      </c>
      <c r="H391" s="190">
        <v>2.253101455294656</v>
      </c>
      <c r="I391" s="4"/>
      <c r="J391" s="4">
        <v>1.04</v>
      </c>
      <c r="K391" s="187">
        <v>0.20082982830930574</v>
      </c>
      <c r="L391" s="190">
        <v>2.4969355674099476</v>
      </c>
      <c r="M391" s="4"/>
      <c r="N391" s="4">
        <v>1.04</v>
      </c>
      <c r="O391" s="187">
        <v>0.18889144376885292</v>
      </c>
      <c r="P391" s="190">
        <v>2.375259193100397</v>
      </c>
      <c r="Q391" s="4"/>
      <c r="R391" s="4">
        <v>1.04</v>
      </c>
      <c r="S391" s="187">
        <v>0.15762616712606614</v>
      </c>
      <c r="T391" s="190">
        <v>2.0789386593861443</v>
      </c>
      <c r="U391" s="4"/>
      <c r="V391" s="4">
        <v>1.04</v>
      </c>
      <c r="W391" s="187">
        <v>0.19299137360992735</v>
      </c>
      <c r="X391" s="190">
        <v>2.416498426747276</v>
      </c>
      <c r="Y391" s="4"/>
      <c r="Z391" s="4">
        <v>1.04</v>
      </c>
      <c r="AA391" s="187">
        <v>0.12184796631932926</v>
      </c>
      <c r="AB391" s="190">
        <v>1.7769287943314882</v>
      </c>
      <c r="AC391" s="4"/>
      <c r="AD391" s="4">
        <v>1.04</v>
      </c>
      <c r="AE391" s="187">
        <v>0.19192933829326764</v>
      </c>
      <c r="AF391" s="190">
        <v>2.40576137777909</v>
      </c>
      <c r="AG391" s="4"/>
      <c r="AH391" s="4"/>
    </row>
    <row r="392" ht="12.75" hidden="1" outlineLevel="1">
      <c r="A392" s="4"/>
      <c r="B392" s="4">
        <v>1.06</v>
      </c>
      <c r="C392" s="187">
        <v>0.19048710311590367</v>
      </c>
      <c r="D392" s="190">
        <v>2.391241694792578</v>
      </c>
      <c r="E392" s="4"/>
      <c r="F392" s="4">
        <v>1.06</v>
      </c>
      <c r="G392" s="187">
        <v>0.17570057127894834</v>
      </c>
      <c r="H392" s="190">
        <v>2.2463821841748777</v>
      </c>
      <c r="I392" s="4"/>
      <c r="J392" s="4">
        <v>1.06</v>
      </c>
      <c r="K392" s="187">
        <v>0.20061618393145197</v>
      </c>
      <c r="L392" s="190">
        <v>2.494715159287075</v>
      </c>
      <c r="M392" s="4"/>
      <c r="N392" s="4">
        <v>1.06</v>
      </c>
      <c r="O392" s="187">
        <v>0.18843457439835554</v>
      </c>
      <c r="P392" s="190">
        <v>2.370698854702342</v>
      </c>
      <c r="Q392" s="4"/>
      <c r="R392" s="4">
        <v>1.06</v>
      </c>
      <c r="S392" s="187">
        <v>0.15648141204000732</v>
      </c>
      <c r="T392" s="190">
        <v>2.0686798491858926</v>
      </c>
      <c r="U392" s="4"/>
      <c r="V392" s="4">
        <v>1.06</v>
      </c>
      <c r="W392" s="187">
        <v>0.19261917115137828</v>
      </c>
      <c r="X392" s="190">
        <v>2.412731150534738</v>
      </c>
      <c r="Y392" s="4"/>
      <c r="Z392" s="4">
        <v>1.06</v>
      </c>
      <c r="AA392" s="187">
        <v>0.11981187670740834</v>
      </c>
      <c r="AB392" s="190">
        <v>1.7608621021109547</v>
      </c>
      <c r="AC392" s="4"/>
      <c r="AD392" s="4">
        <v>1.06</v>
      </c>
      <c r="AE392" s="187">
        <v>0.19156767465076063</v>
      </c>
      <c r="AF392" s="190">
        <v>2.4021137262546253</v>
      </c>
      <c r="AG392" s="4"/>
      <c r="AH392" s="4"/>
    </row>
    <row r="393" ht="12.75" hidden="1" outlineLevel="1">
      <c r="A393" s="4"/>
      <c r="B393" s="4">
        <v>1.08</v>
      </c>
      <c r="C393" s="187">
        <v>0.19008161228688025</v>
      </c>
      <c r="D393" s="190">
        <v>2.3871720737433084</v>
      </c>
      <c r="E393" s="4"/>
      <c r="F393" s="4">
        <v>1.08</v>
      </c>
      <c r="G393" s="187">
        <v>0.17499713107512882</v>
      </c>
      <c r="H393" s="190">
        <v>2.2396699914651923</v>
      </c>
      <c r="I393" s="4"/>
      <c r="J393" s="4">
        <v>1.08</v>
      </c>
      <c r="K393" s="187">
        <v>0.20040238737695426</v>
      </c>
      <c r="L393" s="190">
        <v>2.492494751164207</v>
      </c>
      <c r="M393" s="4"/>
      <c r="N393" s="4">
        <v>1.08</v>
      </c>
      <c r="O393" s="187">
        <v>0.18797700140928209</v>
      </c>
      <c r="P393" s="190">
        <v>2.366138516304287</v>
      </c>
      <c r="Q393" s="4"/>
      <c r="R393" s="4">
        <v>1.08</v>
      </c>
      <c r="S393" s="187">
        <v>0.15533210633420103</v>
      </c>
      <c r="T393" s="190">
        <v>2.058421038985641</v>
      </c>
      <c r="U393" s="4"/>
      <c r="V393" s="4">
        <v>1.08</v>
      </c>
      <c r="W393" s="187">
        <v>0.19224650347186434</v>
      </c>
      <c r="X393" s="190">
        <v>2.4089638743222004</v>
      </c>
      <c r="Y393" s="4"/>
      <c r="Z393" s="4">
        <v>1.08</v>
      </c>
      <c r="AA393" s="187">
        <v>0.117760870061004</v>
      </c>
      <c r="AB393" s="190">
        <v>1.7447954098904208</v>
      </c>
      <c r="AC393" s="4"/>
      <c r="AD393" s="4">
        <v>1.08</v>
      </c>
      <c r="AE393" s="187">
        <v>0.19120669169067583</v>
      </c>
      <c r="AF393" s="190">
        <v>2.398477353284646</v>
      </c>
      <c r="AG393" s="4"/>
      <c r="AH393" s="4"/>
    </row>
    <row r="394" ht="12.75" hidden="1" outlineLevel="1">
      <c r="A394" s="4"/>
      <c r="B394" s="4">
        <v>1.1</v>
      </c>
      <c r="C394" s="187">
        <v>0.1896759445216638</v>
      </c>
      <c r="D394" s="190">
        <v>2.3831062232519353</v>
      </c>
      <c r="E394" s="4"/>
      <c r="F394" s="4">
        <v>1.1</v>
      </c>
      <c r="G394" s="187">
        <v>0.17429274620805724</v>
      </c>
      <c r="H394" s="190">
        <v>2.2329648715942882</v>
      </c>
      <c r="I394" s="4"/>
      <c r="J394" s="4">
        <v>1.1</v>
      </c>
      <c r="K394" s="187">
        <v>0.2001884384017083</v>
      </c>
      <c r="L394" s="190">
        <v>2.490274343041334</v>
      </c>
      <c r="M394" s="4"/>
      <c r="N394" s="4">
        <v>1.1</v>
      </c>
      <c r="O394" s="187">
        <v>0.18751872235875222</v>
      </c>
      <c r="P394" s="190">
        <v>2.361578177906232</v>
      </c>
      <c r="Q394" s="4"/>
      <c r="R394" s="4">
        <v>1.1</v>
      </c>
      <c r="S394" s="187">
        <v>0.15417820910373203</v>
      </c>
      <c r="T394" s="190">
        <v>2.048162228785389</v>
      </c>
      <c r="U394" s="4"/>
      <c r="V394" s="4">
        <v>1.1</v>
      </c>
      <c r="W394" s="187">
        <v>0.1918733692609944</v>
      </c>
      <c r="X394" s="190">
        <v>2.405196598109663</v>
      </c>
      <c r="Y394" s="4"/>
      <c r="Z394" s="4">
        <v>1.1</v>
      </c>
      <c r="AA394" s="187">
        <v>0.11569469820977751</v>
      </c>
      <c r="AB394" s="190">
        <v>1.7287287176698876</v>
      </c>
      <c r="AC394" s="4"/>
      <c r="AD394" s="4">
        <v>1.1</v>
      </c>
      <c r="AE394" s="187">
        <v>0.19084638709660262</v>
      </c>
      <c r="AF394" s="190">
        <v>2.3948522066398863</v>
      </c>
      <c r="AG394" s="4"/>
      <c r="AH394" s="4"/>
    </row>
    <row r="395" ht="12.75" hidden="1" outlineLevel="1">
      <c r="A395" s="4"/>
      <c r="B395" s="4">
        <v>1.12</v>
      </c>
      <c r="C395" s="187">
        <v>0.18927009939869355</v>
      </c>
      <c r="D395" s="190">
        <v>2.379044140685997</v>
      </c>
      <c r="E395" s="4"/>
      <c r="F395" s="4">
        <v>1.12</v>
      </c>
      <c r="G395" s="187">
        <v>0.1735874123188652</v>
      </c>
      <c r="H395" s="190">
        <v>2.226266818993752</v>
      </c>
      <c r="I395" s="4"/>
      <c r="J395" s="4">
        <v>1.12</v>
      </c>
      <c r="K395" s="187">
        <v>0.19997433676100185</v>
      </c>
      <c r="L395" s="190">
        <v>2.488053934918463</v>
      </c>
      <c r="M395" s="4"/>
      <c r="N395" s="4">
        <v>1.12</v>
      </c>
      <c r="O395" s="187">
        <v>0.18705973479066773</v>
      </c>
      <c r="P395" s="190">
        <v>2.3570178395081784</v>
      </c>
      <c r="Q395" s="4"/>
      <c r="R395" s="4">
        <v>1.12</v>
      </c>
      <c r="S395" s="187">
        <v>0.15301967886885248</v>
      </c>
      <c r="T395" s="190">
        <v>2.0379034185851364</v>
      </c>
      <c r="U395" s="4"/>
      <c r="V395" s="4">
        <v>1.12</v>
      </c>
      <c r="W395" s="187">
        <v>0.1914997672026264</v>
      </c>
      <c r="X395" s="190">
        <v>2.401429321897125</v>
      </c>
      <c r="Y395" s="4"/>
      <c r="Z395" s="4">
        <v>1.12</v>
      </c>
      <c r="AA395" s="187">
        <v>0.11361310650093892</v>
      </c>
      <c r="AB395" s="190">
        <v>1.7126620254493536</v>
      </c>
      <c r="AC395" s="4"/>
      <c r="AD395" s="4">
        <v>1.12</v>
      </c>
      <c r="AE395" s="187">
        <v>0.19048675856356834</v>
      </c>
      <c r="AF395" s="190">
        <v>2.391238234413077</v>
      </c>
      <c r="AG395" s="4"/>
      <c r="AH395" s="4"/>
    </row>
    <row r="396" ht="12.75" hidden="1" outlineLevel="1">
      <c r="A396" s="4"/>
      <c r="B396" s="4">
        <v>1.14</v>
      </c>
      <c r="C396" s="187">
        <v>0.18886407649500736</v>
      </c>
      <c r="D396" s="190">
        <v>2.374985823414249</v>
      </c>
      <c r="E396" s="4"/>
      <c r="F396" s="4">
        <v>1.14</v>
      </c>
      <c r="G396" s="187">
        <v>0.17288112501874298</v>
      </c>
      <c r="H396" s="190">
        <v>2.219575828098092</v>
      </c>
      <c r="I396" s="4"/>
      <c r="J396" s="4">
        <v>1.14</v>
      </c>
      <c r="K396" s="187">
        <v>0.19976008220950958</v>
      </c>
      <c r="L396" s="190">
        <v>2.4858335267955933</v>
      </c>
      <c r="M396" s="4"/>
      <c r="N396" s="4">
        <v>1.14</v>
      </c>
      <c r="O396" s="187">
        <v>0.18660003623561394</v>
      </c>
      <c r="P396" s="190">
        <v>2.3524575011101247</v>
      </c>
      <c r="Q396" s="4"/>
      <c r="R396" s="4">
        <v>1.14</v>
      </c>
      <c r="S396" s="187">
        <v>0.15185647356396426</v>
      </c>
      <c r="T396" s="190">
        <v>2.027644608384886</v>
      </c>
      <c r="U396" s="4"/>
      <c r="V396" s="4">
        <v>1.14</v>
      </c>
      <c r="W396" s="187">
        <v>0.19112569597483375</v>
      </c>
      <c r="X396" s="190">
        <v>2.397662045684588</v>
      </c>
      <c r="Y396" s="4"/>
      <c r="Z396" s="4">
        <v>1.14</v>
      </c>
      <c r="AA396" s="187">
        <v>0.11151583356727968</v>
      </c>
      <c r="AB396" s="190">
        <v>1.6965953332288204</v>
      </c>
      <c r="AC396" s="4"/>
      <c r="AD396" s="4">
        <v>1.14</v>
      </c>
      <c r="AE396" s="187">
        <v>0.190127803797963</v>
      </c>
      <c r="AF396" s="190">
        <v>2.387635385016455</v>
      </c>
      <c r="AG396" s="4"/>
      <c r="AH396" s="4"/>
    </row>
    <row r="397" ht="12.75" hidden="1" outlineLevel="1">
      <c r="A397" s="4"/>
      <c r="B397" s="4">
        <v>1.16</v>
      </c>
      <c r="C397" s="187">
        <v>0.18845787538623604</v>
      </c>
      <c r="D397" s="190">
        <v>2.370931268806662</v>
      </c>
      <c r="E397" s="4"/>
      <c r="F397" s="4">
        <v>1.16</v>
      </c>
      <c r="G397" s="187">
        <v>0.17217387988865807</v>
      </c>
      <c r="H397" s="190">
        <v>2.2128918933447137</v>
      </c>
      <c r="I397" s="4"/>
      <c r="J397" s="4">
        <v>1.16</v>
      </c>
      <c r="K397" s="187">
        <v>0.19954567450129312</v>
      </c>
      <c r="L397" s="190">
        <v>2.483613118672721</v>
      </c>
      <c r="M397" s="4"/>
      <c r="N397" s="4">
        <v>1.16</v>
      </c>
      <c r="O397" s="187">
        <v>0.1861396242107618</v>
      </c>
      <c r="P397" s="190">
        <v>2.3478971627120684</v>
      </c>
      <c r="Q397" s="4"/>
      <c r="R397" s="4">
        <v>1.16</v>
      </c>
      <c r="S397" s="187">
        <v>0.15068855052633068</v>
      </c>
      <c r="T397" s="190">
        <v>2.0173857981846344</v>
      </c>
      <c r="U397" s="4"/>
      <c r="V397" s="4">
        <v>1.16</v>
      </c>
      <c r="W397" s="187">
        <v>0.1907511542498701</v>
      </c>
      <c r="X397" s="190">
        <v>2.3938947694720496</v>
      </c>
      <c r="Y397" s="4"/>
      <c r="Z397" s="4">
        <v>1.16</v>
      </c>
      <c r="AA397" s="187">
        <v>0.10940261108461802</v>
      </c>
      <c r="AB397" s="190">
        <v>1.6805286410082867</v>
      </c>
      <c r="AC397" s="4"/>
      <c r="AD397" s="4">
        <v>1.16</v>
      </c>
      <c r="AE397" s="187">
        <v>0.18976952051746676</v>
      </c>
      <c r="AF397" s="190">
        <v>2.384043607179322</v>
      </c>
      <c r="AG397" s="4"/>
      <c r="AH397" s="4"/>
    </row>
    <row r="398" ht="12.75" hidden="1" outlineLevel="1">
      <c r="A398" s="4"/>
      <c r="B398" s="4">
        <v>1.18</v>
      </c>
      <c r="C398" s="187">
        <v>0.18805149564659707</v>
      </c>
      <c r="D398" s="190">
        <v>2.366880474234426</v>
      </c>
      <c r="E398" s="4"/>
      <c r="F398" s="4">
        <v>1.18</v>
      </c>
      <c r="G398" s="187">
        <v>0.1714656724790784</v>
      </c>
      <c r="H398" s="190">
        <v>2.2062150091739468</v>
      </c>
      <c r="I398" s="4"/>
      <c r="J398" s="4">
        <v>1.18</v>
      </c>
      <c r="K398" s="187">
        <v>0.19933111338979792</v>
      </c>
      <c r="L398" s="190">
        <v>2.4813927105498514</v>
      </c>
      <c r="M398" s="4"/>
      <c r="N398" s="4">
        <v>1.18</v>
      </c>
      <c r="O398" s="187">
        <v>0.1856784962197695</v>
      </c>
      <c r="P398" s="190">
        <v>2.3433368243140142</v>
      </c>
      <c r="Q398" s="4"/>
      <c r="R398" s="4">
        <v>1.18</v>
      </c>
      <c r="S398" s="187">
        <v>0.1495158664845162</v>
      </c>
      <c r="T398" s="190">
        <v>2.0071269879843823</v>
      </c>
      <c r="U398" s="4"/>
      <c r="V398" s="4">
        <v>1.18</v>
      </c>
      <c r="W398" s="187">
        <v>0.19037614069413555</v>
      </c>
      <c r="X398" s="190">
        <v>2.3901274932595125</v>
      </c>
      <c r="Y398" s="4"/>
      <c r="Z398" s="4">
        <v>1.18</v>
      </c>
      <c r="AA398" s="187">
        <v>0.10727316351807303</v>
      </c>
      <c r="AB398" s="190">
        <v>1.6644619487877534</v>
      </c>
      <c r="AC398" s="4"/>
      <c r="AD398" s="4">
        <v>1.18</v>
      </c>
      <c r="AE398" s="187">
        <v>0.18941190645097672</v>
      </c>
      <c r="AF398" s="190">
        <v>2.380462849945604</v>
      </c>
      <c r="AG398" s="4"/>
      <c r="AH398" s="4"/>
    </row>
    <row r="399" ht="12.75" hidden="1" outlineLevel="1">
      <c r="A399" s="4"/>
      <c r="B399" s="4">
        <v>1.2</v>
      </c>
      <c r="C399" s="187">
        <v>0.18764493684888883</v>
      </c>
      <c r="D399" s="190">
        <v>2.362833437069949</v>
      </c>
      <c r="E399" s="4"/>
      <c r="F399" s="4">
        <v>1.2</v>
      </c>
      <c r="G399" s="187">
        <v>0.1707564983096843</v>
      </c>
      <c r="H399" s="190">
        <v>2.199545170029014</v>
      </c>
      <c r="I399" s="4"/>
      <c r="J399" s="4">
        <v>1.2</v>
      </c>
      <c r="K399" s="187">
        <v>0.19911639862785147</v>
      </c>
      <c r="L399" s="190">
        <v>2.479172302426979</v>
      </c>
      <c r="M399" s="4"/>
      <c r="N399" s="4">
        <v>1.2</v>
      </c>
      <c r="O399" s="187">
        <v>0.1852166497526817</v>
      </c>
      <c r="P399" s="190">
        <v>2.3387764859159605</v>
      </c>
      <c r="Q399" s="4"/>
      <c r="R399" s="4">
        <v>1.2</v>
      </c>
      <c r="S399" s="187">
        <v>0.14833837754653767</v>
      </c>
      <c r="T399" s="190">
        <v>1.9968681777841306</v>
      </c>
      <c r="U399" s="4"/>
      <c r="V399" s="4">
        <v>1.2</v>
      </c>
      <c r="W399" s="187">
        <v>0.19000065396814025</v>
      </c>
      <c r="X399" s="190">
        <v>2.386360217046975</v>
      </c>
      <c r="Y399" s="4"/>
      <c r="Z399" s="4">
        <v>1.2</v>
      </c>
      <c r="AA399" s="187">
        <v>0.10512720785653418</v>
      </c>
      <c r="AB399" s="190">
        <v>1.64839525656722</v>
      </c>
      <c r="AC399" s="4"/>
      <c r="AD399" s="4">
        <v>1.2</v>
      </c>
      <c r="AE399" s="187">
        <v>0.18905495933853422</v>
      </c>
      <c r="AF399" s="190">
        <v>2.376893062671439</v>
      </c>
      <c r="AG399" s="4"/>
      <c r="AH399" s="4"/>
    </row>
    <row r="400" ht="12.75" hidden="1" outlineLevel="1">
      <c r="A400" s="4"/>
      <c r="B400" s="4">
        <v>1.22</v>
      </c>
      <c r="C400" s="187">
        <v>0.1872381985644831</v>
      </c>
      <c r="D400" s="190">
        <v>2.3587901546868486</v>
      </c>
      <c r="E400" s="4"/>
      <c r="F400" s="4">
        <v>1.22</v>
      </c>
      <c r="G400" s="187">
        <v>0.17004635286908476</v>
      </c>
      <c r="H400" s="190">
        <v>2.1928823703560596</v>
      </c>
      <c r="I400" s="4"/>
      <c r="J400" s="4">
        <v>1.22</v>
      </c>
      <c r="K400" s="187">
        <v>0.19890152996766153</v>
      </c>
      <c r="L400" s="190">
        <v>2.4769518943041096</v>
      </c>
      <c r="M400" s="4"/>
      <c r="N400" s="4">
        <v>1.22</v>
      </c>
      <c r="O400" s="187">
        <v>0.18475408228582824</v>
      </c>
      <c r="P400" s="190">
        <v>2.334216147517905</v>
      </c>
      <c r="Q400" s="4"/>
      <c r="R400" s="4">
        <v>1.22</v>
      </c>
      <c r="S400" s="187">
        <v>0.1471560391877258</v>
      </c>
      <c r="T400" s="190">
        <v>1.986609367583879</v>
      </c>
      <c r="U400" s="4"/>
      <c r="V400" s="4">
        <v>1.22</v>
      </c>
      <c r="W400" s="187">
        <v>0.18962469272646976</v>
      </c>
      <c r="X400" s="190">
        <v>2.382592940834437</v>
      </c>
      <c r="Y400" s="4"/>
      <c r="Z400" s="4">
        <v>1.22</v>
      </c>
      <c r="AA400" s="187">
        <v>0.10296445333465942</v>
      </c>
      <c r="AB400" s="190">
        <v>1.6323285643466858</v>
      </c>
      <c r="AC400" s="4"/>
      <c r="AD400" s="4">
        <v>1.22</v>
      </c>
      <c r="AE400" s="187">
        <v>0.18869867693125464</v>
      </c>
      <c r="AF400" s="190">
        <v>2.373334195022802</v>
      </c>
      <c r="AG400" s="4"/>
      <c r="AH400" s="4"/>
    </row>
    <row r="401" ht="12.75" hidden="1" outlineLevel="1">
      <c r="A401" s="4"/>
      <c r="B401" s="4">
        <v>1.24</v>
      </c>
      <c r="C401" s="187">
        <v>0.18683128036332097</v>
      </c>
      <c r="D401" s="190">
        <v>2.3547506244599687</v>
      </c>
      <c r="E401" s="4"/>
      <c r="F401" s="4">
        <v>1.24</v>
      </c>
      <c r="G401" s="187">
        <v>0.16933523161452246</v>
      </c>
      <c r="H401" s="190">
        <v>2.186226604604121</v>
      </c>
      <c r="I401" s="4"/>
      <c r="J401" s="4">
        <v>1.24</v>
      </c>
      <c r="K401" s="187">
        <v>0.19868650716081304</v>
      </c>
      <c r="L401" s="190">
        <v>2.4747314861812386</v>
      </c>
      <c r="M401" s="4"/>
      <c r="N401" s="4">
        <v>1.24</v>
      </c>
      <c r="O401" s="187">
        <v>0.184290791281724</v>
      </c>
      <c r="P401" s="190">
        <v>2.329655809119851</v>
      </c>
      <c r="Q401" s="4"/>
      <c r="R401" s="4">
        <v>1.24</v>
      </c>
      <c r="S401" s="187">
        <v>0.1459688062382838</v>
      </c>
      <c r="T401" s="190">
        <v>1.976350557383628</v>
      </c>
      <c r="U401" s="4"/>
      <c r="V401" s="4">
        <v>1.24</v>
      </c>
      <c r="W401" s="187">
        <v>0.1892482556177495</v>
      </c>
      <c r="X401" s="190">
        <v>2.3788256646218997</v>
      </c>
      <c r="Y401" s="4"/>
      <c r="Z401" s="4">
        <v>1.24</v>
      </c>
      <c r="AA401" s="187">
        <v>0.10078460114168819</v>
      </c>
      <c r="AB401" s="190">
        <v>1.6162618721261528</v>
      </c>
      <c r="AC401" s="4"/>
      <c r="AD401" s="4">
        <v>1.24</v>
      </c>
      <c r="AE401" s="187">
        <v>0.18834305699125475</v>
      </c>
      <c r="AF401" s="190">
        <v>2.369786196973125</v>
      </c>
      <c r="AG401" s="4"/>
      <c r="AH401" s="4"/>
    </row>
    <row r="402" ht="12.75" hidden="1" outlineLevel="1">
      <c r="A402" s="4"/>
      <c r="B402" s="4">
        <v>1.26</v>
      </c>
      <c r="C402" s="187">
        <v>0.18642418181390275</v>
      </c>
      <c r="D402" s="190">
        <v>2.3507148437653527</v>
      </c>
      <c r="E402" s="4"/>
      <c r="F402" s="4">
        <v>1.26</v>
      </c>
      <c r="G402" s="187">
        <v>0.16862312997158346</v>
      </c>
      <c r="H402" s="190">
        <v>2.179577867225156</v>
      </c>
      <c r="I402" s="4"/>
      <c r="J402" s="4">
        <v>1.26</v>
      </c>
      <c r="K402" s="187">
        <v>0.19847132995826722</v>
      </c>
      <c r="L402" s="190">
        <v>2.472511078058367</v>
      </c>
      <c r="M402" s="4"/>
      <c r="N402" s="4">
        <v>1.26</v>
      </c>
      <c r="O402" s="187">
        <v>0.18382677418896365</v>
      </c>
      <c r="P402" s="190">
        <v>2.325095470721797</v>
      </c>
      <c r="Q402" s="4"/>
      <c r="R402" s="4">
        <v>1.26</v>
      </c>
      <c r="S402" s="187">
        <v>0.14477663287053466</v>
      </c>
      <c r="T402" s="190">
        <v>1.9660917471833756</v>
      </c>
      <c r="U402" s="4"/>
      <c r="V402" s="4">
        <v>1.26</v>
      </c>
      <c r="W402" s="187">
        <v>0.18887134128460903</v>
      </c>
      <c r="X402" s="190">
        <v>2.375058388409362</v>
      </c>
      <c r="Y402" s="4"/>
      <c r="Z402" s="4">
        <v>1.26</v>
      </c>
      <c r="AA402" s="187">
        <v>0.09858734411629966</v>
      </c>
      <c r="AB402" s="190">
        <v>1.6001951799056187</v>
      </c>
      <c r="AC402" s="4"/>
      <c r="AD402" s="4">
        <v>1.26</v>
      </c>
      <c r="AE402" s="187">
        <v>0.1879880972915835</v>
      </c>
      <c r="AF402" s="190">
        <v>2.3662490188009646</v>
      </c>
      <c r="AG402" s="4"/>
      <c r="AH402" s="4"/>
    </row>
    <row r="403" ht="12.75" hidden="1" outlineLevel="1">
      <c r="A403" s="4"/>
      <c r="B403" s="4">
        <v>1.28</v>
      </c>
      <c r="C403" s="187">
        <v>0.1860169024832865</v>
      </c>
      <c r="D403" s="190">
        <v>2.3466828099802792</v>
      </c>
      <c r="E403" s="4"/>
      <c r="F403" s="4">
        <v>1.28</v>
      </c>
      <c r="G403" s="187">
        <v>0.1679100433338958</v>
      </c>
      <c r="H403" s="190">
        <v>2.172936152674015</v>
      </c>
      <c r="I403" s="4"/>
      <c r="J403" s="4">
        <v>1.28</v>
      </c>
      <c r="K403" s="187">
        <v>0.19825599811035888</v>
      </c>
      <c r="L403" s="190">
        <v>2.4702906699354976</v>
      </c>
      <c r="M403" s="4"/>
      <c r="N403" s="4">
        <v>1.28</v>
      </c>
      <c r="O403" s="187">
        <v>0.18336202844212002</v>
      </c>
      <c r="P403" s="190">
        <v>2.3205351323237426</v>
      </c>
      <c r="Q403" s="4"/>
      <c r="R403" s="4">
        <v>1.28</v>
      </c>
      <c r="S403" s="187">
        <v>0.14357947258585102</v>
      </c>
      <c r="T403" s="190">
        <v>1.9558329369831233</v>
      </c>
      <c r="U403" s="4"/>
      <c r="V403" s="4">
        <v>1.28</v>
      </c>
      <c r="W403" s="187">
        <v>0.18849394836364475</v>
      </c>
      <c r="X403" s="190">
        <v>2.371291112196824</v>
      </c>
      <c r="Y403" s="4"/>
      <c r="Z403" s="4">
        <v>1.28</v>
      </c>
      <c r="AA403" s="187">
        <v>0.09637236642671043</v>
      </c>
      <c r="AB403" s="190">
        <v>1.5841284876850856</v>
      </c>
      <c r="AC403" s="4"/>
      <c r="AD403" s="4">
        <v>1.28</v>
      </c>
      <c r="AE403" s="187">
        <v>0.18763379561615</v>
      </c>
      <c r="AF403" s="190">
        <v>2.362722611087668</v>
      </c>
      <c r="AG403" s="4"/>
      <c r="AH403" s="4"/>
    </row>
    <row r="404" ht="12.75" hidden="1" outlineLevel="1">
      <c r="A404" s="4"/>
      <c r="B404" s="4">
        <v>1.3</v>
      </c>
      <c r="C404" s="187">
        <v>0.1856094419370773</v>
      </c>
      <c r="D404" s="190">
        <v>2.3426545204832254</v>
      </c>
      <c r="E404" s="4"/>
      <c r="F404" s="4">
        <v>1.3</v>
      </c>
      <c r="G404" s="187">
        <v>0.16719596706283002</v>
      </c>
      <c r="H404" s="190">
        <v>2.1663014554084574</v>
      </c>
      <c r="I404" s="4"/>
      <c r="J404" s="4">
        <v>1.3</v>
      </c>
      <c r="K404" s="187">
        <v>0.19804051136679357</v>
      </c>
      <c r="L404" s="190">
        <v>2.4680702618126262</v>
      </c>
      <c r="M404" s="4"/>
      <c r="N404" s="4">
        <v>1.3</v>
      </c>
      <c r="O404" s="187">
        <v>0.18289655146163764</v>
      </c>
      <c r="P404" s="190">
        <v>2.3159747939256867</v>
      </c>
      <c r="Q404" s="4"/>
      <c r="R404" s="4">
        <v>1.3</v>
      </c>
      <c r="S404" s="187">
        <v>0.14237727820125268</v>
      </c>
      <c r="T404" s="190">
        <v>1.9455741267828714</v>
      </c>
      <c r="U404" s="4"/>
      <c r="V404" s="4">
        <v>1.3</v>
      </c>
      <c r="W404" s="187">
        <v>0.18811607548538523</v>
      </c>
      <c r="X404" s="190">
        <v>2.3675238359842865</v>
      </c>
      <c r="Y404" s="4"/>
      <c r="Z404" s="4">
        <v>1.3</v>
      </c>
      <c r="AA404" s="187">
        <v>0.09413934323512918</v>
      </c>
      <c r="AB404" s="190">
        <v>1.5680617954645515</v>
      </c>
      <c r="AC404" s="4"/>
      <c r="AD404" s="4">
        <v>1.3</v>
      </c>
      <c r="AE404" s="187">
        <v>0.18728014975965745</v>
      </c>
      <c r="AF404" s="190">
        <v>2.3592069247150844</v>
      </c>
      <c r="AG404" s="4"/>
      <c r="AH404" s="4"/>
    </row>
    <row r="405" ht="12.75" hidden="1" outlineLevel="1">
      <c r="A405" s="4"/>
      <c r="B405" s="4">
        <v>1.32</v>
      </c>
      <c r="C405" s="187">
        <v>0.18520179973942374</v>
      </c>
      <c r="D405" s="190">
        <v>2.3386299726538904</v>
      </c>
      <c r="E405" s="4"/>
      <c r="F405" s="4">
        <v>1.32</v>
      </c>
      <c r="G405" s="187">
        <v>0.16648089648719422</v>
      </c>
      <c r="H405" s="190">
        <v>2.1596737698891473</v>
      </c>
      <c r="I405" s="4"/>
      <c r="J405" s="4">
        <v>1.32</v>
      </c>
      <c r="K405" s="187">
        <v>0.1978248694766469</v>
      </c>
      <c r="L405" s="190">
        <v>2.4658498536897544</v>
      </c>
      <c r="M405" s="4"/>
      <c r="N405" s="4">
        <v>1.32</v>
      </c>
      <c r="O405" s="187">
        <v>0.18243034065372798</v>
      </c>
      <c r="P405" s="190">
        <v>2.311414455527633</v>
      </c>
      <c r="Q405" s="4"/>
      <c r="R405" s="4">
        <v>1.32</v>
      </c>
      <c r="S405" s="187">
        <v>0.14117000183566453</v>
      </c>
      <c r="T405" s="190">
        <v>1.9353153165826211</v>
      </c>
      <c r="U405" s="4"/>
      <c r="V405" s="4">
        <v>1.32</v>
      </c>
      <c r="W405" s="187">
        <v>0.1877377212742528</v>
      </c>
      <c r="X405" s="190">
        <v>2.363756559771749</v>
      </c>
      <c r="Y405" s="4"/>
      <c r="Z405" s="4">
        <v>1.32</v>
      </c>
      <c r="AA405" s="187">
        <v>0.09188794034564252</v>
      </c>
      <c r="AB405" s="190">
        <v>1.5519951032440178</v>
      </c>
      <c r="AC405" s="4"/>
      <c r="AD405" s="4">
        <v>1.32</v>
      </c>
      <c r="AE405" s="187">
        <v>0.18692715752753086</v>
      </c>
      <c r="AF405" s="190">
        <v>2.3557019108632717</v>
      </c>
      <c r="AG405" s="4"/>
      <c r="AH405" s="4"/>
    </row>
    <row r="406" ht="12.75" hidden="1" outlineLevel="1">
      <c r="A406" s="4"/>
      <c r="B406" s="4">
        <v>1.34</v>
      </c>
      <c r="C406" s="187">
        <v>0.18479397545300924</v>
      </c>
      <c r="D406" s="190">
        <v>2.3346091638731856</v>
      </c>
      <c r="E406" s="4"/>
      <c r="F406" s="4">
        <v>1.34</v>
      </c>
      <c r="G406" s="187">
        <v>0.16576482690292438</v>
      </c>
      <c r="H406" s="190">
        <v>2.153053090579648</v>
      </c>
      <c r="I406" s="4"/>
      <c r="J406" s="4">
        <v>1.34</v>
      </c>
      <c r="K406" s="187">
        <v>0.1976090721883612</v>
      </c>
      <c r="L406" s="190">
        <v>2.463629445566885</v>
      </c>
      <c r="M406" s="4"/>
      <c r="N406" s="4">
        <v>1.34</v>
      </c>
      <c r="O406" s="187">
        <v>0.18196339341026224</v>
      </c>
      <c r="P406" s="190">
        <v>2.3068541171295784</v>
      </c>
      <c r="Q406" s="4"/>
      <c r="R406" s="4">
        <v>1.34</v>
      </c>
      <c r="S406" s="187">
        <v>0.13995759489582538</v>
      </c>
      <c r="T406" s="190">
        <v>1.9250565063823688</v>
      </c>
      <c r="U406" s="4"/>
      <c r="V406" s="4">
        <v>1.34</v>
      </c>
      <c r="W406" s="187">
        <v>0.18735888434852765</v>
      </c>
      <c r="X406" s="190">
        <v>2.3599892835592113</v>
      </c>
      <c r="Y406" s="4"/>
      <c r="Z406" s="4">
        <v>1.34</v>
      </c>
      <c r="AA406" s="187">
        <v>0.0896178138345296</v>
      </c>
      <c r="AB406" s="190">
        <v>1.5359284110234843</v>
      </c>
      <c r="AC406" s="4"/>
      <c r="AD406" s="4">
        <v>1.34</v>
      </c>
      <c r="AE406" s="187">
        <v>0.18657481673585052</v>
      </c>
      <c r="AF406" s="190">
        <v>2.3522075210082436</v>
      </c>
      <c r="AG406" s="4"/>
      <c r="AH406" s="4"/>
    </row>
    <row r="407" ht="12.75" hidden="1" outlineLevel="1">
      <c r="A407" s="4"/>
      <c r="B407" s="4">
        <v>1.36</v>
      </c>
      <c r="C407" s="187">
        <v>0.18438596863904766</v>
      </c>
      <c r="D407" s="190">
        <v>2.330592091523242</v>
      </c>
      <c r="E407" s="4"/>
      <c r="F407" s="4">
        <v>1.36</v>
      </c>
      <c r="G407" s="187">
        <v>0.16504775357277324</v>
      </c>
      <c r="H407" s="190">
        <v>2.146439411946429</v>
      </c>
      <c r="I407" s="4"/>
      <c r="J407" s="4">
        <v>1.36</v>
      </c>
      <c r="K407" s="187">
        <v>0.1973931192497438</v>
      </c>
      <c r="L407" s="190">
        <v>2.461409037444013</v>
      </c>
      <c r="M407" s="4"/>
      <c r="N407" s="4">
        <v>1.36</v>
      </c>
      <c r="O407" s="187">
        <v>0.18149570710866336</v>
      </c>
      <c r="P407" s="190">
        <v>2.302293778731524</v>
      </c>
      <c r="Q407" s="4"/>
      <c r="R407" s="4">
        <v>1.36</v>
      </c>
      <c r="S407" s="187">
        <v>0.13874000806183417</v>
      </c>
      <c r="T407" s="190">
        <v>1.914797696182117</v>
      </c>
      <c r="U407" s="4"/>
      <c r="V407" s="4">
        <v>1.36</v>
      </c>
      <c r="W407" s="187">
        <v>0.18697956332031018</v>
      </c>
      <c r="X407" s="190">
        <v>2.3562220073466733</v>
      </c>
      <c r="Y407" s="4"/>
      <c r="Z407" s="4">
        <v>1.36</v>
      </c>
      <c r="AA407" s="187">
        <v>0.0873286096619339</v>
      </c>
      <c r="AB407" s="190">
        <v>1.519861718802951</v>
      </c>
      <c r="AC407" s="4"/>
      <c r="AD407" s="4">
        <v>1.36</v>
      </c>
      <c r="AE407" s="187">
        <v>0.18622312521128448</v>
      </c>
      <c r="AF407" s="190">
        <v>2.348723706919734</v>
      </c>
      <c r="AG407" s="4"/>
      <c r="AH407" s="4"/>
    </row>
    <row r="408" ht="12.75" hidden="1" outlineLevel="1">
      <c r="A408" s="4"/>
      <c r="B408" s="4">
        <v>1.38</v>
      </c>
      <c r="C408" s="187">
        <v>0.18397777885727473</v>
      </c>
      <c r="D408" s="190">
        <v>2.326578752987394</v>
      </c>
      <c r="E408" s="4"/>
      <c r="F408" s="4">
        <v>1.38</v>
      </c>
      <c r="G408" s="187">
        <v>0.16432967172599322</v>
      </c>
      <c r="H408" s="190">
        <v>2.13983272845886</v>
      </c>
      <c r="I408" s="4"/>
      <c r="J408" s="4">
        <v>1.38</v>
      </c>
      <c r="K408" s="187">
        <v>0.19717701040796487</v>
      </c>
      <c r="L408" s="190">
        <v>2.4591886293211425</v>
      </c>
      <c r="M408" s="4"/>
      <c r="N408" s="4">
        <v>1.38</v>
      </c>
      <c r="O408" s="187">
        <v>0.18102727911179795</v>
      </c>
      <c r="P408" s="190">
        <v>2.297733440333469</v>
      </c>
      <c r="Q408" s="4"/>
      <c r="R408" s="4">
        <v>1.38</v>
      </c>
      <c r="S408" s="187">
        <v>0.13751719127232565</v>
      </c>
      <c r="T408" s="190">
        <v>1.9045388859818662</v>
      </c>
      <c r="U408" s="4"/>
      <c r="V408" s="4">
        <v>1.38</v>
      </c>
      <c r="W408" s="187">
        <v>0.18659975679548335</v>
      </c>
      <c r="X408" s="190">
        <v>2.3524547311341357</v>
      </c>
      <c r="Y408" s="4"/>
      <c r="Z408" s="4">
        <v>1.38</v>
      </c>
      <c r="AA408" s="187">
        <v>0.0850199632637485</v>
      </c>
      <c r="AB408" s="190">
        <v>1.5037950265824171</v>
      </c>
      <c r="AC408" s="4"/>
      <c r="AD408" s="4">
        <v>1.38</v>
      </c>
      <c r="AE408" s="187">
        <v>0.18587208079102036</v>
      </c>
      <c r="AF408" s="190">
        <v>2.345250420658968</v>
      </c>
      <c r="AG408" s="4"/>
      <c r="AH408" s="4"/>
    </row>
    <row r="409" ht="12.75" hidden="1" outlineLevel="1">
      <c r="A409" s="4"/>
      <c r="B409" s="4">
        <v>1.4</v>
      </c>
      <c r="C409" s="187">
        <v>0.18356940566594293</v>
      </c>
      <c r="D409" s="190">
        <v>2.322569145650198</v>
      </c>
      <c r="E409" s="4"/>
      <c r="F409" s="4">
        <v>1.4</v>
      </c>
      <c r="G409" s="187">
        <v>0.16361057655801647</v>
      </c>
      <c r="H409" s="190">
        <v>2.1332330345892028</v>
      </c>
      <c r="I409" s="4"/>
      <c r="J409" s="4">
        <v>1.4</v>
      </c>
      <c r="K409" s="187">
        <v>0.19696074540955477</v>
      </c>
      <c r="L409" s="190">
        <v>2.45696822119827</v>
      </c>
      <c r="M409" s="4"/>
      <c r="N409" s="4">
        <v>1.4</v>
      </c>
      <c r="O409" s="187">
        <v>0.18055810676786566</v>
      </c>
      <c r="P409" s="190">
        <v>2.2931731019354147</v>
      </c>
      <c r="Q409" s="4"/>
      <c r="R409" s="4">
        <v>1.4</v>
      </c>
      <c r="S409" s="187">
        <v>0.13628909370925824</v>
      </c>
      <c r="T409" s="190">
        <v>1.8942800757816138</v>
      </c>
      <c r="U409" s="4"/>
      <c r="V409" s="4">
        <v>1.4</v>
      </c>
      <c r="W409" s="187">
        <v>0.18621946337367512</v>
      </c>
      <c r="X409" s="190">
        <v>2.3486874549215986</v>
      </c>
      <c r="Y409" s="4"/>
      <c r="Z409" s="4">
        <v>1.4</v>
      </c>
      <c r="AA409" s="187">
        <v>0.08269149912247786</v>
      </c>
      <c r="AB409" s="190">
        <v>1.487728334361884</v>
      </c>
      <c r="AC409" s="4"/>
      <c r="AD409" s="4">
        <v>1.4</v>
      </c>
      <c r="AE409" s="187">
        <v>0.18552168132269853</v>
      </c>
      <c r="AF409" s="190">
        <v>2.34178761457647</v>
      </c>
      <c r="AG409" s="4"/>
      <c r="AH409" s="4"/>
    </row>
    <row r="410" ht="12.75" hidden="1" outlineLevel="1">
      <c r="A410" s="4"/>
      <c r="B410" s="4">
        <v>1.42</v>
      </c>
      <c r="C410" s="187">
        <v>0.18316084862181436</v>
      </c>
      <c r="D410" s="190">
        <v>2.3185632668974177</v>
      </c>
      <c r="E410" s="4"/>
      <c r="F410" s="4">
        <v>1.42</v>
      </c>
      <c r="G410" s="187">
        <v>0.16289046323013268</v>
      </c>
      <c r="H410" s="190">
        <v>2.1266403248126347</v>
      </c>
      <c r="I410" s="4"/>
      <c r="J410" s="4">
        <v>1.42</v>
      </c>
      <c r="K410" s="187">
        <v>0.1967443240004032</v>
      </c>
      <c r="L410" s="190">
        <v>2.4547478130754</v>
      </c>
      <c r="M410" s="4"/>
      <c r="N410" s="4">
        <v>1.42</v>
      </c>
      <c r="O410" s="187">
        <v>0.1800881874102882</v>
      </c>
      <c r="P410" s="190">
        <v>2.288612763537361</v>
      </c>
      <c r="Q410" s="4"/>
      <c r="R410" s="4">
        <v>1.42</v>
      </c>
      <c r="S410" s="187">
        <v>0.13505566378230993</v>
      </c>
      <c r="T410" s="190">
        <v>1.8840212655813613</v>
      </c>
      <c r="U410" s="4"/>
      <c r="V410" s="4">
        <v>1.42</v>
      </c>
      <c r="W410" s="187">
        <v>0.18583868164821937</v>
      </c>
      <c r="X410" s="190">
        <v>2.344920178709061</v>
      </c>
      <c r="Y410" s="4"/>
      <c r="Z410" s="4">
        <v>1.42</v>
      </c>
      <c r="AA410" s="187">
        <v>0.08034283031575695</v>
      </c>
      <c r="AB410" s="190">
        <v>1.4716616421413502</v>
      </c>
      <c r="AC410" s="4"/>
      <c r="AD410" s="4">
        <v>1.42</v>
      </c>
      <c r="AE410" s="187">
        <v>0.18517192466434773</v>
      </c>
      <c r="AF410" s="190">
        <v>2.3383352413098852</v>
      </c>
      <c r="AG410" s="4"/>
      <c r="AH410" s="4"/>
    </row>
    <row r="411" ht="12.75" hidden="1" outlineLevel="1">
      <c r="A411" s="4"/>
      <c r="B411" s="4">
        <v>1.44</v>
      </c>
      <c r="C411" s="187">
        <v>0.18275210728015412</v>
      </c>
      <c r="D411" s="190">
        <v>2.314561114116036</v>
      </c>
      <c r="E411" s="4"/>
      <c r="F411" s="4">
        <v>1.44</v>
      </c>
      <c r="G411" s="187">
        <v>0.16216932686915864</v>
      </c>
      <c r="H411" s="190">
        <v>2.1200545936072115</v>
      </c>
      <c r="I411" s="4"/>
      <c r="J411" s="4">
        <v>1.44</v>
      </c>
      <c r="K411" s="187">
        <v>0.19652774592575484</v>
      </c>
      <c r="L411" s="190">
        <v>2.45252740495253</v>
      </c>
      <c r="M411" s="4"/>
      <c r="N411" s="4">
        <v>1.44</v>
      </c>
      <c r="O411" s="187">
        <v>0.17961751835759787</v>
      </c>
      <c r="P411" s="190">
        <v>2.284052425139305</v>
      </c>
      <c r="Q411" s="4"/>
      <c r="R411" s="4">
        <v>1.44</v>
      </c>
      <c r="S411" s="187">
        <v>0.1338168491128635</v>
      </c>
      <c r="T411" s="190">
        <v>1.8737624553811105</v>
      </c>
      <c r="U411" s="4"/>
      <c r="V411" s="4">
        <v>1.44</v>
      </c>
      <c r="W411" s="187">
        <v>0.18545741020611906</v>
      </c>
      <c r="X411" s="190">
        <v>2.3411529024965234</v>
      </c>
      <c r="Y411" s="4"/>
      <c r="Z411" s="4">
        <v>1.44</v>
      </c>
      <c r="AA411" s="187">
        <v>0.0779735580411074</v>
      </c>
      <c r="AB411" s="190">
        <v>1.455594949920817</v>
      </c>
      <c r="AC411" s="4"/>
      <c r="AD411" s="4">
        <v>1.44</v>
      </c>
      <c r="AE411" s="187">
        <v>0.18482280868431622</v>
      </c>
      <c r="AF411" s="190">
        <v>2.3348932537818143</v>
      </c>
      <c r="AG411" s="4"/>
      <c r="AH411" s="4"/>
    </row>
    <row r="412" ht="12.75" hidden="1" outlineLevel="1">
      <c r="A412" s="4"/>
      <c r="B412" s="4">
        <v>1.46</v>
      </c>
      <c r="C412" s="187">
        <v>0.1823431811947227</v>
      </c>
      <c r="D412" s="190">
        <v>2.310562684694239</v>
      </c>
      <c r="E412" s="4"/>
      <c r="F412" s="4">
        <v>1.46</v>
      </c>
      <c r="G412" s="187">
        <v>0.16144716256710945</v>
      </c>
      <c r="H412" s="190">
        <v>2.1134758354539027</v>
      </c>
      <c r="I412" s="4"/>
      <c r="J412" s="4">
        <v>1.46</v>
      </c>
      <c r="K412" s="187">
        <v>0.1963110109302093</v>
      </c>
      <c r="L412" s="190">
        <v>2.4503069968296582</v>
      </c>
      <c r="M412" s="4"/>
      <c r="N412" s="4">
        <v>1.46</v>
      </c>
      <c r="O412" s="187">
        <v>0.1791460969133245</v>
      </c>
      <c r="P412" s="190">
        <v>2.279492086741251</v>
      </c>
      <c r="Q412" s="4"/>
      <c r="R412" s="4">
        <v>1.46</v>
      </c>
      <c r="S412" s="187">
        <v>0.1325725965175677</v>
      </c>
      <c r="T412" s="190">
        <v>1.8635036451808586</v>
      </c>
      <c r="U412" s="4"/>
      <c r="V412" s="4">
        <v>1.46</v>
      </c>
      <c r="W412" s="187">
        <v>0.1850756476280062</v>
      </c>
      <c r="X412" s="190">
        <v>2.337385626283986</v>
      </c>
      <c r="Y412" s="4"/>
      <c r="Z412" s="4">
        <v>1.46</v>
      </c>
      <c r="AA412" s="187">
        <v>0.07558327111539853</v>
      </c>
      <c r="AB412" s="190">
        <v>1.439528257700283</v>
      </c>
      <c r="AC412" s="4"/>
      <c r="AD412" s="4">
        <v>1.46</v>
      </c>
      <c r="AE412" s="187">
        <v>0.1844743312612105</v>
      </c>
      <c r="AF412" s="190">
        <v>2.331461605197683</v>
      </c>
      <c r="AG412" s="4"/>
      <c r="AH412" s="4"/>
    </row>
    <row r="413" ht="12.75" hidden="1" outlineLevel="1">
      <c r="A413" s="4"/>
      <c r="B413" s="4">
        <v>1.48</v>
      </c>
      <c r="C413" s="187">
        <v>0.18193406991777206</v>
      </c>
      <c r="D413" s="190">
        <v>2.306567976021441</v>
      </c>
      <c r="E413" s="4"/>
      <c r="F413" s="4">
        <v>1.48</v>
      </c>
      <c r="G413" s="187">
        <v>0.16072396538086187</v>
      </c>
      <c r="H413" s="190">
        <v>2.1069040448365692</v>
      </c>
      <c r="I413" s="4"/>
      <c r="J413" s="4">
        <v>1.48</v>
      </c>
      <c r="K413" s="187">
        <v>0.1960941187577172</v>
      </c>
      <c r="L413" s="190">
        <v>2.4480865887067877</v>
      </c>
      <c r="M413" s="4"/>
      <c r="N413" s="4">
        <v>1.48</v>
      </c>
      <c r="O413" s="187">
        <v>0.1786739203658807</v>
      </c>
      <c r="P413" s="190">
        <v>2.274931748343197</v>
      </c>
      <c r="Q413" s="4"/>
      <c r="R413" s="4">
        <v>1.48</v>
      </c>
      <c r="S413" s="187">
        <v>0.13132285199146732</v>
      </c>
      <c r="T413" s="190">
        <v>1.8532448349806063</v>
      </c>
      <c r="U413" s="4"/>
      <c r="V413" s="4">
        <v>1.48</v>
      </c>
      <c r="W413" s="187">
        <v>0.18469339248810313</v>
      </c>
      <c r="X413" s="190">
        <v>2.3336183500714482</v>
      </c>
      <c r="Y413" s="4"/>
      <c r="Z413" s="4">
        <v>1.48</v>
      </c>
      <c r="AA413" s="187">
        <v>0.07317154544737225</v>
      </c>
      <c r="AB413" s="190">
        <v>1.4234615654797496</v>
      </c>
      <c r="AC413" s="4"/>
      <c r="AD413" s="4">
        <v>1.48</v>
      </c>
      <c r="AE413" s="187">
        <v>0.18412649028382688</v>
      </c>
      <c r="AF413" s="190">
        <v>2.328040249043609</v>
      </c>
      <c r="AG413" s="4"/>
      <c r="AH413" s="4"/>
    </row>
    <row r="414" ht="12.75" hidden="1" outlineLevel="1">
      <c r="A414" s="4"/>
      <c r="B414" s="4">
        <v>1.5</v>
      </c>
      <c r="C414" s="187">
        <v>0.18152477300003445</v>
      </c>
      <c r="D414" s="190">
        <v>2.3025769854882476</v>
      </c>
      <c r="E414" s="4"/>
      <c r="F414" s="4">
        <v>1.5</v>
      </c>
      <c r="G414" s="187">
        <v>0.15999973033181236</v>
      </c>
      <c r="H414" s="190">
        <v>2.100339216241962</v>
      </c>
      <c r="I414" s="4"/>
      <c r="J414" s="4">
        <v>1.5</v>
      </c>
      <c r="K414" s="187">
        <v>0.1958770691515792</v>
      </c>
      <c r="L414" s="190">
        <v>2.445866180583915</v>
      </c>
      <c r="M414" s="4"/>
      <c r="N414" s="4">
        <v>1.5</v>
      </c>
      <c r="O414" s="187">
        <v>0.17820098598844702</v>
      </c>
      <c r="P414" s="190">
        <v>2.270371409945142</v>
      </c>
      <c r="Q414" s="4"/>
      <c r="R414" s="4">
        <v>1.5</v>
      </c>
      <c r="S414" s="187">
        <v>0.1300675606906816</v>
      </c>
      <c r="T414" s="190">
        <v>1.842986024780355</v>
      </c>
      <c r="U414" s="4"/>
      <c r="V414" s="4">
        <v>1.5</v>
      </c>
      <c r="W414" s="187">
        <v>0.18431064335418346</v>
      </c>
      <c r="X414" s="190">
        <v>2.3298510738589107</v>
      </c>
      <c r="Y414" s="4"/>
      <c r="Z414" s="4">
        <v>1.5</v>
      </c>
      <c r="AA414" s="187">
        <v>0.07073794348145812</v>
      </c>
      <c r="AB414" s="190">
        <v>1.4073948732592163</v>
      </c>
      <c r="AC414" s="4"/>
      <c r="AD414" s="4">
        <v>1.5</v>
      </c>
      <c r="AE414" s="187">
        <v>0.1837792836510901</v>
      </c>
      <c r="AF414" s="190">
        <v>2.324629139084314</v>
      </c>
      <c r="AG414" s="4"/>
      <c r="AH414" s="4"/>
    </row>
    <row r="415" ht="12.75" hidden="1" outlineLevel="1">
      <c r="A415" s="4"/>
      <c r="B415" s="4">
        <v>1.52</v>
      </c>
      <c r="C415" s="187">
        <v>0.18111528999072024</v>
      </c>
      <c r="D415" s="190">
        <v>2.298589710486492</v>
      </c>
      <c r="E415" s="4"/>
      <c r="F415" s="4">
        <v>1.52</v>
      </c>
      <c r="G415" s="187">
        <v>0.1592744524055374</v>
      </c>
      <c r="H415" s="190">
        <v>2.0937813441597366</v>
      </c>
      <c r="I415" s="4"/>
      <c r="J415" s="4">
        <v>1.52</v>
      </c>
      <c r="K415" s="187">
        <v>0.1956598618544434</v>
      </c>
      <c r="L415" s="190">
        <v>2.4436457724610463</v>
      </c>
      <c r="M415" s="4"/>
      <c r="N415" s="4">
        <v>1.52</v>
      </c>
      <c r="O415" s="187">
        <v>0.17772729103885587</v>
      </c>
      <c r="P415" s="190">
        <v>2.2658110715470867</v>
      </c>
      <c r="Q415" s="4"/>
      <c r="R415" s="4">
        <v>1.52</v>
      </c>
      <c r="S415" s="187">
        <v>0.12880666691461862</v>
      </c>
      <c r="T415" s="190">
        <v>1.8327272145801026</v>
      </c>
      <c r="U415" s="4"/>
      <c r="V415" s="4">
        <v>1.52</v>
      </c>
      <c r="W415" s="187">
        <v>0.18392739878753206</v>
      </c>
      <c r="X415" s="190">
        <v>2.326083797646373</v>
      </c>
      <c r="Y415" s="4"/>
      <c r="Z415" s="4">
        <v>1.52</v>
      </c>
      <c r="AA415" s="187">
        <v>0.0682820136109703</v>
      </c>
      <c r="AB415" s="190">
        <v>1.3913281810386824</v>
      </c>
      <c r="AC415" s="4"/>
      <c r="AD415" s="4">
        <v>1.52</v>
      </c>
      <c r="AE415" s="187">
        <v>0.1834327092719883</v>
      </c>
      <c r="AF415" s="190">
        <v>2.32122822936103</v>
      </c>
      <c r="AG415" s="4"/>
      <c r="AH415" s="4"/>
    </row>
    <row r="416" ht="12.75" hidden="1" outlineLevel="1">
      <c r="A416" s="4"/>
      <c r="B416" s="4">
        <v>1.54</v>
      </c>
      <c r="C416" s="187">
        <v>0.18070562043750726</v>
      </c>
      <c r="D416" s="190">
        <v>2.2946061484092093</v>
      </c>
      <c r="E416" s="4"/>
      <c r="F416" s="4">
        <v>1.54</v>
      </c>
      <c r="G416" s="187">
        <v>0.15854812655144168</v>
      </c>
      <c r="H416" s="190">
        <v>2.0872304230824392</v>
      </c>
      <c r="I416" s="4"/>
      <c r="J416" s="4">
        <v>1.54</v>
      </c>
      <c r="K416" s="187">
        <v>0.19544249660830193</v>
      </c>
      <c r="L416" s="190">
        <v>2.4414253643381745</v>
      </c>
      <c r="M416" s="4"/>
      <c r="N416" s="4">
        <v>1.54</v>
      </c>
      <c r="O416" s="187">
        <v>0.1772528327594738</v>
      </c>
      <c r="P416" s="190">
        <v>2.261250733149033</v>
      </c>
      <c r="Q416" s="4"/>
      <c r="R416" s="4">
        <v>1.54</v>
      </c>
      <c r="S416" s="187">
        <v>0.1275401140877115</v>
      </c>
      <c r="T416" s="190">
        <v>1.8224684043798518</v>
      </c>
      <c r="U416" s="4"/>
      <c r="V416" s="4">
        <v>1.54</v>
      </c>
      <c r="W416" s="187">
        <v>0.183543657342905</v>
      </c>
      <c r="X416" s="190">
        <v>2.322316521433835</v>
      </c>
      <c r="Y416" s="4"/>
      <c r="Z416" s="4">
        <v>1.54</v>
      </c>
      <c r="AA416" s="187">
        <v>0.0658032895586238</v>
      </c>
      <c r="AB416" s="190">
        <v>1.3752614888181491</v>
      </c>
      <c r="AC416" s="4"/>
      <c r="AD416" s="4">
        <v>1.54</v>
      </c>
      <c r="AE416" s="187">
        <v>0.18308676506551014</v>
      </c>
      <c r="AF416" s="190">
        <v>2.3178374741894388</v>
      </c>
      <c r="AG416" s="4"/>
      <c r="AH416" s="4"/>
    </row>
    <row r="417" ht="12.75" hidden="1" outlineLevel="1">
      <c r="A417" s="4"/>
      <c r="B417" s="4">
        <v>1.56</v>
      </c>
      <c r="C417" s="187">
        <v>0.18029576388653656</v>
      </c>
      <c r="D417" s="190">
        <v>2.290626296650649</v>
      </c>
      <c r="E417" s="4"/>
      <c r="F417" s="4">
        <v>1.56</v>
      </c>
      <c r="G417" s="187">
        <v>0.1578207476824076</v>
      </c>
      <c r="H417" s="190">
        <v>2.0806864475055082</v>
      </c>
      <c r="I417" s="4"/>
      <c r="J417" s="4">
        <v>1.56</v>
      </c>
      <c r="K417" s="187">
        <v>0.1952249731544904</v>
      </c>
      <c r="L417" s="190">
        <v>2.4392049562153035</v>
      </c>
      <c r="M417" s="4"/>
      <c r="N417" s="4">
        <v>1.56</v>
      </c>
      <c r="O417" s="187">
        <v>0.17677760837708245</v>
      </c>
      <c r="P417" s="190">
        <v>2.2566903947509798</v>
      </c>
      <c r="Q417" s="4"/>
      <c r="R417" s="4">
        <v>1.56</v>
      </c>
      <c r="S417" s="187">
        <v>0.1262678447406591</v>
      </c>
      <c r="T417" s="190">
        <v>1.8122095941795995</v>
      </c>
      <c r="U417" s="4"/>
      <c r="V417" s="4">
        <v>1.56</v>
      </c>
      <c r="W417" s="187">
        <v>0.18315941756849052</v>
      </c>
      <c r="X417" s="190">
        <v>2.3185492452212975</v>
      </c>
      <c r="Y417" s="4"/>
      <c r="Z417" s="4">
        <v>1.56</v>
      </c>
      <c r="AA417" s="187">
        <v>0.06330128972214766</v>
      </c>
      <c r="AB417" s="190">
        <v>1.3591947965976154</v>
      </c>
      <c r="AC417" s="4"/>
      <c r="AD417" s="4">
        <v>1.56</v>
      </c>
      <c r="AE417" s="187">
        <v>0.18274144896058253</v>
      </c>
      <c r="AF417" s="190">
        <v>2.3144568281576317</v>
      </c>
      <c r="AG417" s="4"/>
      <c r="AH417" s="4"/>
    </row>
    <row r="418" ht="12.75" hidden="1" outlineLevel="1">
      <c r="A418" s="4"/>
      <c r="B418" s="4">
        <v>1.58</v>
      </c>
      <c r="C418" s="187">
        <v>0.17988571988240443</v>
      </c>
      <c r="D418" s="190">
        <v>2.2866501526062777</v>
      </c>
      <c r="E418" s="4"/>
      <c r="F418" s="4">
        <v>1.58</v>
      </c>
      <c r="G418" s="187">
        <v>0.15709231067443774</v>
      </c>
      <c r="H418" s="190">
        <v>2.0741494119272774</v>
      </c>
      <c r="I418" s="4"/>
      <c r="J418" s="4">
        <v>1.58</v>
      </c>
      <c r="K418" s="187">
        <v>0.1950072912336851</v>
      </c>
      <c r="L418" s="190">
        <v>2.436984548092434</v>
      </c>
      <c r="M418" s="4"/>
      <c r="N418" s="4">
        <v>1.58</v>
      </c>
      <c r="O418" s="187">
        <v>0.17630161510275855</v>
      </c>
      <c r="P418" s="190">
        <v>2.2521300563529225</v>
      </c>
      <c r="Q418" s="4"/>
      <c r="R418" s="4">
        <v>1.58</v>
      </c>
      <c r="S418" s="187">
        <v>0.12498980049115782</v>
      </c>
      <c r="T418" s="190">
        <v>1.8019507839793476</v>
      </c>
      <c r="U418" s="4"/>
      <c r="V418" s="4">
        <v>1.58</v>
      </c>
      <c r="W418" s="187">
        <v>0.1827746780058661</v>
      </c>
      <c r="X418" s="190">
        <v>2.31478196900876</v>
      </c>
      <c r="Y418" s="4"/>
      <c r="Z418" s="4">
        <v>1.58</v>
      </c>
      <c r="AA418" s="187">
        <v>0.06077551648258783</v>
      </c>
      <c r="AB418" s="190">
        <v>1.3431281043770822</v>
      </c>
      <c r="AC418" s="4"/>
      <c r="AD418" s="4">
        <v>1.58</v>
      </c>
      <c r="AE418" s="187">
        <v>0.18239675889600804</v>
      </c>
      <c r="AF418" s="190">
        <v>2.311086246124074</v>
      </c>
      <c r="AG418" s="4"/>
      <c r="AH418" s="4"/>
    </row>
    <row r="419" ht="12.75" hidden="1" outlineLevel="1">
      <c r="A419" s="4"/>
      <c r="B419" s="4">
        <v>1.6</v>
      </c>
      <c r="C419" s="187">
        <v>0.17947548796815482</v>
      </c>
      <c r="D419" s="190">
        <v>2.2826777136727587</v>
      </c>
      <c r="E419" s="4"/>
      <c r="F419" s="4">
        <v>1.6</v>
      </c>
      <c r="G419" s="187">
        <v>0.15636281036629418</v>
      </c>
      <c r="H419" s="190">
        <v>2.0676193108489698</v>
      </c>
      <c r="I419" s="4"/>
      <c r="J419" s="4">
        <v>1.6</v>
      </c>
      <c r="K419" s="187">
        <v>0.19478945058589958</v>
      </c>
      <c r="L419" s="190">
        <v>2.4347641399695608</v>
      </c>
      <c r="M419" s="4"/>
      <c r="N419" s="4">
        <v>1.6</v>
      </c>
      <c r="O419" s="187">
        <v>0.17582485013175542</v>
      </c>
      <c r="P419" s="190">
        <v>2.2475697179548693</v>
      </c>
      <c r="Q419" s="4"/>
      <c r="R419" s="4">
        <v>1.6</v>
      </c>
      <c r="S419" s="187">
        <v>0.12370592202410347</v>
      </c>
      <c r="T419" s="190">
        <v>1.7916919737790964</v>
      </c>
      <c r="U419" s="4"/>
      <c r="V419" s="4">
        <v>1.6</v>
      </c>
      <c r="W419" s="187">
        <v>0.1823894371899597</v>
      </c>
      <c r="X419" s="190">
        <v>2.3110146927962227</v>
      </c>
      <c r="Y419" s="4"/>
      <c r="Z419" s="4">
        <v>1.6</v>
      </c>
      <c r="AA419" s="187">
        <v>0.05822545547270064</v>
      </c>
      <c r="AB419" s="190">
        <v>1.3270614121565487</v>
      </c>
      <c r="AC419" s="4"/>
      <c r="AD419" s="4">
        <v>1.6</v>
      </c>
      <c r="AE419" s="187">
        <v>0.18205269282040248</v>
      </c>
      <c r="AF419" s="190">
        <v>2.3077256832155975</v>
      </c>
      <c r="AG419" s="4"/>
      <c r="AH419" s="4"/>
    </row>
    <row r="420" ht="12.75" hidden="1" outlineLevel="1">
      <c r="A420" s="4"/>
      <c r="B420" s="4">
        <v>1.62</v>
      </c>
      <c r="C420" s="187">
        <v>0.1790650676852732</v>
      </c>
      <c r="D420" s="190">
        <v>2.2787089772479754</v>
      </c>
      <c r="E420" s="4"/>
      <c r="F420" s="4">
        <v>1.62</v>
      </c>
      <c r="G420" s="187">
        <v>0.15563224155913202</v>
      </c>
      <c r="H420" s="190">
        <v>2.0610961387746998</v>
      </c>
      <c r="I420" s="4"/>
      <c r="J420" s="4">
        <v>1.62</v>
      </c>
      <c r="K420" s="187">
        <v>0.19457145095048434</v>
      </c>
      <c r="L420" s="190">
        <v>2.432543731846691</v>
      </c>
      <c r="M420" s="4"/>
      <c r="N420" s="4">
        <v>1.62</v>
      </c>
      <c r="O420" s="187">
        <v>0.17534731064337739</v>
      </c>
      <c r="P420" s="190">
        <v>2.243009379556815</v>
      </c>
      <c r="Q420" s="4"/>
      <c r="R420" s="4">
        <v>1.62</v>
      </c>
      <c r="S420" s="187">
        <v>0.12241614907124831</v>
      </c>
      <c r="T420" s="190">
        <v>1.781433163578845</v>
      </c>
      <c r="U420" s="4"/>
      <c r="V420" s="4">
        <v>1.62</v>
      </c>
      <c r="W420" s="187">
        <v>0.18200369364900792</v>
      </c>
      <c r="X420" s="190">
        <v>2.3072474165836847</v>
      </c>
      <c r="Y420" s="4"/>
      <c r="Z420" s="4">
        <v>1.62</v>
      </c>
      <c r="AA420" s="187">
        <v>0.0556505748026197</v>
      </c>
      <c r="AB420" s="190">
        <v>1.310994719936015</v>
      </c>
      <c r="AC420" s="4"/>
      <c r="AD420" s="4">
        <v>1.62</v>
      </c>
      <c r="AE420" s="187">
        <v>0.1817092486921359</v>
      </c>
      <c r="AF420" s="190">
        <v>2.3043750948254176</v>
      </c>
      <c r="AG420" s="4"/>
      <c r="AH420" s="4"/>
    </row>
    <row r="421" ht="12.75" hidden="1" outlineLevel="1">
      <c r="A421" s="4"/>
      <c r="B421" s="4">
        <v>1.64</v>
      </c>
      <c r="C421" s="187">
        <v>0.17865445857368</v>
      </c>
      <c r="D421" s="190">
        <v>2.27474394073102</v>
      </c>
      <c r="E421" s="4"/>
      <c r="F421" s="4">
        <v>1.64</v>
      </c>
      <c r="G421" s="187">
        <v>0.1549005990161314</v>
      </c>
      <c r="H421" s="190">
        <v>2.054579890211478</v>
      </c>
      <c r="I421" s="4"/>
      <c r="J421" s="4">
        <v>1.64</v>
      </c>
      <c r="K421" s="187">
        <v>0.19435329206612284</v>
      </c>
      <c r="L421" s="190">
        <v>2.4303233237238215</v>
      </c>
      <c r="M421" s="4"/>
      <c r="N421" s="4">
        <v>1.64</v>
      </c>
      <c r="O421" s="187">
        <v>0.17486899380085852</v>
      </c>
      <c r="P421" s="190">
        <v>2.23844904115876</v>
      </c>
      <c r="Q421" s="4"/>
      <c r="R421" s="4">
        <v>1.64</v>
      </c>
      <c r="S421" s="187">
        <v>0.12112042039029469</v>
      </c>
      <c r="T421" s="190">
        <v>1.771174353378593</v>
      </c>
      <c r="U421" s="4"/>
      <c r="V421" s="4">
        <v>1.64</v>
      </c>
      <c r="W421" s="187">
        <v>0.18161744590451345</v>
      </c>
      <c r="X421" s="190">
        <v>2.3034801403711467</v>
      </c>
      <c r="Y421" s="4"/>
      <c r="Z421" s="4">
        <v>1.64</v>
      </c>
      <c r="AA421" s="187">
        <v>0.05305032423974332</v>
      </c>
      <c r="AB421" s="190">
        <v>1.2949280277154815</v>
      </c>
      <c r="AC421" s="4"/>
      <c r="AD421" s="4">
        <v>1.64</v>
      </c>
      <c r="AE421" s="187">
        <v>0.1813664244792692</v>
      </c>
      <c r="AF421" s="190">
        <v>2.3010344366111446</v>
      </c>
      <c r="AG421" s="4"/>
      <c r="AH421" s="4"/>
    </row>
    <row r="422" ht="12.75" hidden="1" outlineLevel="1">
      <c r="A422" s="4"/>
      <c r="B422" s="4">
        <v>1.66</v>
      </c>
      <c r="C422" s="187">
        <v>0.17824366017172188</v>
      </c>
      <c r="D422" s="190">
        <v>2.2707826015221895</v>
      </c>
      <c r="E422" s="4"/>
      <c r="F422" s="4">
        <v>1.66</v>
      </c>
      <c r="G422" s="187">
        <v>0.15416787746211913</v>
      </c>
      <c r="H422" s="190">
        <v>2.0480705596691924</v>
      </c>
      <c r="I422" s="4"/>
      <c r="J422" s="4">
        <v>1.66</v>
      </c>
      <c r="K422" s="187">
        <v>0.19413497367082977</v>
      </c>
      <c r="L422" s="190">
        <v>2.4281029156009493</v>
      </c>
      <c r="M422" s="4"/>
      <c r="N422" s="4">
        <v>1.66</v>
      </c>
      <c r="O422" s="187">
        <v>0.17438989675123784</v>
      </c>
      <c r="P422" s="190">
        <v>2.233888702760705</v>
      </c>
      <c r="Q422" s="4"/>
      <c r="R422" s="4">
        <v>1.66</v>
      </c>
      <c r="S422" s="187">
        <v>0.11981867374340727</v>
      </c>
      <c r="T422" s="190">
        <v>1.7609155431783414</v>
      </c>
      <c r="U422" s="4"/>
      <c r="V422" s="4">
        <v>1.66</v>
      </c>
      <c r="W422" s="187">
        <v>0.18123069247120505</v>
      </c>
      <c r="X422" s="190">
        <v>2.299712864158609</v>
      </c>
      <c r="Y422" s="4"/>
      <c r="Z422" s="4">
        <v>1.66</v>
      </c>
      <c r="AA422" s="187">
        <v>0.05042413433953197</v>
      </c>
      <c r="AB422" s="190">
        <v>1.2788613354949476</v>
      </c>
      <c r="AC422" s="4"/>
      <c r="AD422" s="4">
        <v>1.66</v>
      </c>
      <c r="AE422" s="187">
        <v>0.18102421815949565</v>
      </c>
      <c r="AF422" s="190">
        <v>2.297703664492844</v>
      </c>
      <c r="AG422" s="4"/>
      <c r="AH422" s="4"/>
    </row>
    <row r="423" ht="12.75" hidden="1" outlineLevel="1">
      <c r="A423" s="4"/>
      <c r="B423" s="4">
        <v>1.68</v>
      </c>
      <c r="C423" s="187">
        <v>0.17783267201616626</v>
      </c>
      <c r="D423" s="190">
        <v>2.266824957022996</v>
      </c>
      <c r="E423" s="4"/>
      <c r="F423" s="4">
        <v>1.68</v>
      </c>
      <c r="G423" s="187">
        <v>0.153434071583193</v>
      </c>
      <c r="H423" s="190">
        <v>2.0415681416606315</v>
      </c>
      <c r="I423" s="4"/>
      <c r="J423" s="4">
        <v>1.68</v>
      </c>
      <c r="K423" s="187">
        <v>0.19391649550194923</v>
      </c>
      <c r="L423" s="190">
        <v>2.4258825074780797</v>
      </c>
      <c r="M423" s="4"/>
      <c r="N423" s="4">
        <v>1.68</v>
      </c>
      <c r="O423" s="187">
        <v>0.17391001662523364</v>
      </c>
      <c r="P423" s="190">
        <v>2.229328364362652</v>
      </c>
      <c r="Q423" s="4"/>
      <c r="R423" s="4">
        <v>1.68</v>
      </c>
      <c r="S423" s="187">
        <v>0.11851084587512051</v>
      </c>
      <c r="T423" s="190">
        <v>1.7506567329780902</v>
      </c>
      <c r="U423" s="4"/>
      <c r="V423" s="4">
        <v>1.68</v>
      </c>
      <c r="W423" s="187">
        <v>0.1808434318569936</v>
      </c>
      <c r="X423" s="190">
        <v>2.2959455879460715</v>
      </c>
      <c r="Y423" s="4"/>
      <c r="Z423" s="4">
        <v>1.68</v>
      </c>
      <c r="AA423" s="187">
        <v>0.04777141552362041</v>
      </c>
      <c r="AB423" s="190">
        <v>1.2627946432744144</v>
      </c>
      <c r="AC423" s="4"/>
      <c r="AD423" s="4">
        <v>1.68</v>
      </c>
      <c r="AE423" s="187">
        <v>0.1806826277200806</v>
      </c>
      <c r="AF423" s="190">
        <v>2.294382734651084</v>
      </c>
      <c r="AG423" s="4"/>
      <c r="AH423" s="4"/>
    </row>
    <row r="424" ht="12.75" hidden="1" outlineLevel="1">
      <c r="A424" s="4"/>
      <c r="B424" s="4">
        <v>1.7</v>
      </c>
      <c r="C424" s="187">
        <v>0.17742149364219317</v>
      </c>
      <c r="D424" s="190">
        <v>2.2628710046361564</v>
      </c>
      <c r="E424" s="4"/>
      <c r="F424" s="4">
        <v>1.7</v>
      </c>
      <c r="G424" s="187">
        <v>0.1526991760263352</v>
      </c>
      <c r="H424" s="190">
        <v>2.0350726307014653</v>
      </c>
      <c r="I424" s="4"/>
      <c r="J424" s="4">
        <v>1.7</v>
      </c>
      <c r="K424" s="187">
        <v>0.1936978572961512</v>
      </c>
      <c r="L424" s="190">
        <v>2.423662099355208</v>
      </c>
      <c r="M424" s="4"/>
      <c r="N424" s="4">
        <v>1.7</v>
      </c>
      <c r="O424" s="187">
        <v>0.17342935053711583</v>
      </c>
      <c r="P424" s="190">
        <v>2.2247680259645977</v>
      </c>
      <c r="Q424" s="4"/>
      <c r="R424" s="4">
        <v>1.7</v>
      </c>
      <c r="S424" s="187">
        <v>0.11719687248962485</v>
      </c>
      <c r="T424" s="190">
        <v>1.740397922777838</v>
      </c>
      <c r="U424" s="4"/>
      <c r="V424" s="4">
        <v>1.7</v>
      </c>
      <c r="W424" s="187">
        <v>0.18045566256293055</v>
      </c>
      <c r="X424" s="190">
        <v>2.2921783117335344</v>
      </c>
      <c r="Y424" s="4"/>
      <c r="Z424" s="4">
        <v>1.7</v>
      </c>
      <c r="AA424" s="187">
        <v>0.0450915571013355</v>
      </c>
      <c r="AB424" s="190">
        <v>1.2467279510538807</v>
      </c>
      <c r="AC424" s="4"/>
      <c r="AD424" s="4">
        <v>1.7</v>
      </c>
      <c r="AE424" s="187">
        <v>0.18034165115780132</v>
      </c>
      <c r="AF424" s="190">
        <v>2.2910716035250203</v>
      </c>
      <c r="AG424" s="4"/>
      <c r="AH424" s="4"/>
    </row>
    <row r="425" ht="12.75" hidden="1" outlineLevel="1">
      <c r="A425" s="4"/>
      <c r="B425" s="4">
        <v>1.72</v>
      </c>
      <c r="C425" s="187">
        <v>0.17701012458338816</v>
      </c>
      <c r="D425" s="190">
        <v>2.258920741765596</v>
      </c>
      <c r="E425" s="4"/>
      <c r="F425" s="4">
        <v>1.72</v>
      </c>
      <c r="G425" s="187">
        <v>0.15196318539902443</v>
      </c>
      <c r="H425" s="190">
        <v>2.0285840213102544</v>
      </c>
      <c r="I425" s="4"/>
      <c r="J425" s="4">
        <v>1.72</v>
      </c>
      <c r="K425" s="187">
        <v>0.1934790587894304</v>
      </c>
      <c r="L425" s="190">
        <v>2.421441691232336</v>
      </c>
      <c r="M425" s="4"/>
      <c r="N425" s="4">
        <v>1.72</v>
      </c>
      <c r="O425" s="187">
        <v>0.17294789558457824</v>
      </c>
      <c r="P425" s="190">
        <v>2.2202076875665413</v>
      </c>
      <c r="Q425" s="4"/>
      <c r="R425" s="4">
        <v>1.72</v>
      </c>
      <c r="S425" s="187">
        <v>0.11587668822740893</v>
      </c>
      <c r="T425" s="190">
        <v>1.7301391125775865</v>
      </c>
      <c r="U425" s="4"/>
      <c r="V425" s="4">
        <v>1.72</v>
      </c>
      <c r="W425" s="187">
        <v>0.18006738308316472</v>
      </c>
      <c r="X425" s="190">
        <v>2.2884110355209972</v>
      </c>
      <c r="Y425" s="4"/>
      <c r="Z425" s="4">
        <v>1.72</v>
      </c>
      <c r="AA425" s="187">
        <v>0.0423839262303678</v>
      </c>
      <c r="AB425" s="190">
        <v>1.2306612588333465</v>
      </c>
      <c r="AC425" s="4"/>
      <c r="AD425" s="4">
        <v>1.72</v>
      </c>
      <c r="AE425" s="187">
        <v>0.1800012864788898</v>
      </c>
      <c r="AF425" s="190">
        <v>2.287770227810494</v>
      </c>
      <c r="AG425" s="4"/>
      <c r="AH425" s="4"/>
    </row>
    <row r="426" ht="12.75" hidden="1" outlineLevel="1">
      <c r="A426" s="4"/>
      <c r="B426" s="4">
        <v>1.74</v>
      </c>
      <c r="C426" s="187">
        <v>0.1765985643717356</v>
      </c>
      <c r="D426" s="190">
        <v>2.2549741658164497</v>
      </c>
      <c r="E426" s="4"/>
      <c r="F426" s="4">
        <v>1.74</v>
      </c>
      <c r="G426" s="187">
        <v>0.15122609426884104</v>
      </c>
      <c r="H426" s="190">
        <v>2.02210230800844</v>
      </c>
      <c r="I426" s="4"/>
      <c r="J426" s="4">
        <v>1.74</v>
      </c>
      <c r="K426" s="187">
        <v>0.1932600997171039</v>
      </c>
      <c r="L426" s="190">
        <v>2.419221283109466</v>
      </c>
      <c r="M426" s="4"/>
      <c r="N426" s="4">
        <v>1.74</v>
      </c>
      <c r="O426" s="187">
        <v>0.17246564884860982</v>
      </c>
      <c r="P426" s="190">
        <v>2.215647349168487</v>
      </c>
      <c r="Q426" s="4"/>
      <c r="R426" s="4">
        <v>1.74</v>
      </c>
      <c r="S426" s="187">
        <v>0.11455022664123438</v>
      </c>
      <c r="T426" s="190">
        <v>1.7198803023773344</v>
      </c>
      <c r="U426" s="4"/>
      <c r="V426" s="4">
        <v>1.74</v>
      </c>
      <c r="W426" s="187">
        <v>0.1796785919048991</v>
      </c>
      <c r="X426" s="190">
        <v>2.2846437593084583</v>
      </c>
      <c r="Y426" s="4"/>
      <c r="Z426" s="4">
        <v>1.74</v>
      </c>
      <c r="AA426" s="187">
        <v>0.039647866811965526</v>
      </c>
      <c r="AB426" s="190">
        <v>1.214594566612814</v>
      </c>
      <c r="AC426" s="4"/>
      <c r="AD426" s="4">
        <v>1.74</v>
      </c>
      <c r="AE426" s="187">
        <v>0.17966153169897248</v>
      </c>
      <c r="AF426" s="190">
        <v>2.284478564458137</v>
      </c>
      <c r="AG426" s="4"/>
      <c r="AH426" s="4"/>
    </row>
    <row r="427" ht="12.75" hidden="1" outlineLevel="1">
      <c r="A427" s="4"/>
      <c r="B427" s="4">
        <v>1.76</v>
      </c>
      <c r="C427" s="187">
        <v>0.17618681253761048</v>
      </c>
      <c r="D427" s="190">
        <v>2.2510312741950607</v>
      </c>
      <c r="E427" s="4"/>
      <c r="F427" s="4">
        <v>1.76</v>
      </c>
      <c r="G427" s="187">
        <v>0.15048789716306965</v>
      </c>
      <c r="H427" s="190">
        <v>2.0156274853203553</v>
      </c>
      <c r="I427" s="4"/>
      <c r="J427" s="4">
        <v>1.76</v>
      </c>
      <c r="K427" s="187">
        <v>0.19304097981380752</v>
      </c>
      <c r="L427" s="190">
        <v>2.4170008749865954</v>
      </c>
      <c r="M427" s="4"/>
      <c r="N427" s="4">
        <v>1.76</v>
      </c>
      <c r="O427" s="187">
        <v>0.17198260739336213</v>
      </c>
      <c r="P427" s="190">
        <v>2.211087010770434</v>
      </c>
      <c r="Q427" s="4"/>
      <c r="R427" s="4">
        <v>1.76</v>
      </c>
      <c r="S427" s="187">
        <v>0.11321742017142156</v>
      </c>
      <c r="T427" s="190">
        <v>1.7096214921770827</v>
      </c>
      <c r="U427" s="4"/>
      <c r="V427" s="4">
        <v>1.76</v>
      </c>
      <c r="W427" s="187">
        <v>0.17928928750834783</v>
      </c>
      <c r="X427" s="190">
        <v>2.2808764830959207</v>
      </c>
      <c r="Y427" s="4"/>
      <c r="Z427" s="4">
        <v>1.76</v>
      </c>
      <c r="AA427" s="187">
        <v>0.03688269831559765</v>
      </c>
      <c r="AB427" s="190">
        <v>1.1985278743922798</v>
      </c>
      <c r="AC427" s="4"/>
      <c r="AD427" s="4">
        <v>1.76</v>
      </c>
      <c r="AE427" s="187">
        <v>0.17932238484301277</v>
      </c>
      <c r="AF427" s="190">
        <v>2.2811965706715034</v>
      </c>
      <c r="AG427" s="4"/>
      <c r="AH427" s="4"/>
    </row>
    <row r="428" ht="12.75" hidden="1" outlineLevel="1">
      <c r="A428" s="4"/>
      <c r="B428" s="4">
        <v>1.78</v>
      </c>
      <c r="C428" s="187">
        <v>0.17577486860977198</v>
      </c>
      <c r="D428" s="190">
        <v>2.247092064308978</v>
      </c>
      <c r="E428" s="4"/>
      <c r="F428" s="4">
        <v>1.78</v>
      </c>
      <c r="G428" s="187">
        <v>0.14974858856829365</v>
      </c>
      <c r="H428" s="190">
        <v>2.0091595477732116</v>
      </c>
      <c r="I428" s="4"/>
      <c r="J428" s="4">
        <v>1.78</v>
      </c>
      <c r="K428" s="187">
        <v>0.1928216988134943</v>
      </c>
      <c r="L428" s="190">
        <v>2.414780466863724</v>
      </c>
      <c r="M428" s="4"/>
      <c r="N428" s="4">
        <v>1.78</v>
      </c>
      <c r="O428" s="187">
        <v>0.17149876826601873</v>
      </c>
      <c r="P428" s="190">
        <v>2.2065266723723784</v>
      </c>
      <c r="Q428" s="4"/>
      <c r="R428" s="4">
        <v>1.78</v>
      </c>
      <c r="S428" s="187">
        <v>0.1118782001204226</v>
      </c>
      <c r="T428" s="190">
        <v>1.6993626819768324</v>
      </c>
      <c r="U428" s="4"/>
      <c r="V428" s="4">
        <v>1.78</v>
      </c>
      <c r="W428" s="187">
        <v>0.17889946836669135</v>
      </c>
      <c r="X428" s="190">
        <v>2.2771092068833836</v>
      </c>
      <c r="Y428" s="4"/>
      <c r="Z428" s="4">
        <v>1.78</v>
      </c>
      <c r="AA428" s="187">
        <v>0.03408771452757553</v>
      </c>
      <c r="AB428" s="190">
        <v>1.1824611821717463</v>
      </c>
      <c r="AC428" s="4"/>
      <c r="AD428" s="4">
        <v>1.78</v>
      </c>
      <c r="AE428" s="187">
        <v>0.1789838439452549</v>
      </c>
      <c r="AF428" s="190">
        <v>2.2779242039052208</v>
      </c>
      <c r="AG428" s="4"/>
      <c r="AH428" s="4"/>
    </row>
    <row r="429" ht="12.75" hidden="1" outlineLevel="1">
      <c r="A429" s="4"/>
      <c r="B429" s="4">
        <v>1.8</v>
      </c>
      <c r="C429" s="187">
        <v>0.17536273211535613</v>
      </c>
      <c r="D429" s="190">
        <v>2.2431565335669625</v>
      </c>
      <c r="E429" s="4"/>
      <c r="F429" s="4">
        <v>1.8</v>
      </c>
      <c r="G429" s="187">
        <v>0.14900816292998753</v>
      </c>
      <c r="H429" s="190">
        <v>2.0026984898971123</v>
      </c>
      <c r="I429" s="4"/>
      <c r="J429" s="4">
        <v>1.8</v>
      </c>
      <c r="K429" s="187">
        <v>0.19260225644943274</v>
      </c>
      <c r="L429" s="190">
        <v>2.412560058740852</v>
      </c>
      <c r="M429" s="4"/>
      <c r="N429" s="4">
        <v>1.8</v>
      </c>
      <c r="O429" s="187">
        <v>0.17101412849666175</v>
      </c>
      <c r="P429" s="190">
        <v>2.201966333974324</v>
      </c>
      <c r="Q429" s="4"/>
      <c r="R429" s="4">
        <v>1.8</v>
      </c>
      <c r="S429" s="187">
        <v>0.11053249662665277</v>
      </c>
      <c r="T429" s="190">
        <v>1.6891038717765794</v>
      </c>
      <c r="U429" s="4"/>
      <c r="V429" s="4">
        <v>1.8</v>
      </c>
      <c r="W429" s="187">
        <v>0.17850913294603243</v>
      </c>
      <c r="X429" s="190">
        <v>2.2733419306708456</v>
      </c>
      <c r="Y429" s="4"/>
      <c r="Z429" s="4">
        <v>1.8</v>
      </c>
      <c r="AA429" s="187">
        <v>0.031262182217603574</v>
      </c>
      <c r="AB429" s="190">
        <v>1.166394489951213</v>
      </c>
      <c r="AC429" s="4"/>
      <c r="AD429" s="4">
        <v>1.8</v>
      </c>
      <c r="AE429" s="187">
        <v>0.1786459070491646</v>
      </c>
      <c r="AF429" s="190">
        <v>2.2746614218631396</v>
      </c>
      <c r="AG429" s="4"/>
      <c r="AH429" s="4"/>
    </row>
    <row r="430" ht="12.75" hidden="1" outlineLevel="1">
      <c r="A430" s="4"/>
      <c r="B430" s="4">
        <v>1.82</v>
      </c>
      <c r="C430" s="187">
        <v>0.17495040257986672</v>
      </c>
      <c r="D430" s="190">
        <v>2.239224679378973</v>
      </c>
      <c r="E430" s="4"/>
      <c r="F430" s="4">
        <v>1.82</v>
      </c>
      <c r="G430" s="187">
        <v>0.1482666146521019</v>
      </c>
      <c r="H430" s="190">
        <v>1.996244306225035</v>
      </c>
      <c r="I430" s="4"/>
      <c r="J430" s="4">
        <v>1.82</v>
      </c>
      <c r="K430" s="187">
        <v>0.19238265245420294</v>
      </c>
      <c r="L430" s="190">
        <v>2.410339650617983</v>
      </c>
      <c r="M430" s="4"/>
      <c r="N430" s="4">
        <v>1.82</v>
      </c>
      <c r="O430" s="187">
        <v>0.17052868509813623</v>
      </c>
      <c r="P430" s="190">
        <v>2.19740599557627</v>
      </c>
      <c r="Q430" s="4"/>
      <c r="R430" s="4">
        <v>1.82</v>
      </c>
      <c r="S430" s="187">
        <v>0.10918023863756243</v>
      </c>
      <c r="T430" s="190">
        <v>1.678845061576327</v>
      </c>
      <c r="U430" s="4"/>
      <c r="V430" s="4">
        <v>1.82</v>
      </c>
      <c r="W430" s="187">
        <v>0.17811827970535288</v>
      </c>
      <c r="X430" s="190">
        <v>2.2695746544583084</v>
      </c>
      <c r="Y430" s="4"/>
      <c r="Z430" s="4">
        <v>1.82</v>
      </c>
      <c r="AA430" s="187">
        <v>0.028405339716666367</v>
      </c>
      <c r="AB430" s="190">
        <v>1.1503277977306792</v>
      </c>
      <c r="AC430" s="4"/>
      <c r="AD430" s="4">
        <v>1.82</v>
      </c>
      <c r="AE430" s="187">
        <v>0.17830857220737384</v>
      </c>
      <c r="AF430" s="190">
        <v>2.271408182496525</v>
      </c>
      <c r="AG430" s="4"/>
      <c r="AH430" s="4"/>
    </row>
    <row r="431" ht="12.75" hidden="1" outlineLevel="1">
      <c r="A431" s="4"/>
      <c r="B431" s="4">
        <v>1.84</v>
      </c>
      <c r="C431" s="187">
        <v>0.17453787952717081</v>
      </c>
      <c r="D431" s="190">
        <v>2.2352964991561874</v>
      </c>
      <c r="E431" s="4"/>
      <c r="F431" s="4">
        <v>1.84</v>
      </c>
      <c r="G431" s="187">
        <v>0.147523938096644</v>
      </c>
      <c r="H431" s="190">
        <v>1.989796991292843</v>
      </c>
      <c r="I431" s="4"/>
      <c r="J431" s="4">
        <v>1.84</v>
      </c>
      <c r="K431" s="187">
        <v>0.1921628865596956</v>
      </c>
      <c r="L431" s="190">
        <v>2.4081192424951117</v>
      </c>
      <c r="M431" s="4"/>
      <c r="N431" s="4">
        <v>1.84</v>
      </c>
      <c r="O431" s="187">
        <v>0.17004243506591488</v>
      </c>
      <c r="P431" s="190">
        <v>2.1928456571782156</v>
      </c>
      <c r="Q431" s="4"/>
      <c r="R431" s="4">
        <v>1.84</v>
      </c>
      <c r="S431" s="187">
        <v>0.10782135388191239</v>
      </c>
      <c r="T431" s="190">
        <v>1.6685862513760759</v>
      </c>
      <c r="U431" s="4"/>
      <c r="V431" s="4">
        <v>1.84</v>
      </c>
      <c r="W431" s="187">
        <v>0.177726907096466</v>
      </c>
      <c r="X431" s="190">
        <v>2.2658073782457704</v>
      </c>
      <c r="Y431" s="4"/>
      <c r="Z431" s="4">
        <v>1.84</v>
      </c>
      <c r="AA431" s="187">
        <v>0.025516395399030056</v>
      </c>
      <c r="AB431" s="190">
        <v>1.1342611055101457</v>
      </c>
      <c r="AC431" s="4"/>
      <c r="AD431" s="4">
        <v>1.84</v>
      </c>
      <c r="AE431" s="187">
        <v>0.17797183748162437</v>
      </c>
      <c r="AF431" s="190">
        <v>2.2681644440022364</v>
      </c>
      <c r="AG431" s="4"/>
      <c r="AH431" s="4"/>
    </row>
    <row r="432" ht="12.75" hidden="1" outlineLevel="1">
      <c r="A432" s="4"/>
      <c r="B432" s="4">
        <v>1.86</v>
      </c>
      <c r="C432" s="187">
        <v>0.17412516247948817</v>
      </c>
      <c r="D432" s="190">
        <v>2.2313719903109788</v>
      </c>
      <c r="E432" s="4"/>
      <c r="F432" s="4">
        <v>1.86</v>
      </c>
      <c r="G432" s="187">
        <v>0.14678012758325387</v>
      </c>
      <c r="H432" s="190">
        <v>1.983356539639285</v>
      </c>
      <c r="I432" s="4"/>
      <c r="J432" s="4">
        <v>1.86</v>
      </c>
      <c r="K432" s="187">
        <v>0.1919429584971084</v>
      </c>
      <c r="L432" s="190">
        <v>2.4058988343722407</v>
      </c>
      <c r="M432" s="4"/>
      <c r="N432" s="4">
        <v>1.86</v>
      </c>
      <c r="O432" s="187">
        <v>0.16955537537796017</v>
      </c>
      <c r="P432" s="190">
        <v>2.1882853187801596</v>
      </c>
      <c r="Q432" s="4"/>
      <c r="R432" s="4">
        <v>1.86</v>
      </c>
      <c r="S432" s="187">
        <v>0.10645576884122976</v>
      </c>
      <c r="T432" s="190">
        <v>1.6583274411758238</v>
      </c>
      <c r="U432" s="4"/>
      <c r="V432" s="4">
        <v>1.86</v>
      </c>
      <c r="W432" s="187">
        <v>0.17733501356397396</v>
      </c>
      <c r="X432" s="190">
        <v>2.2620401020332332</v>
      </c>
      <c r="Y432" s="4"/>
      <c r="Z432" s="4">
        <v>1.86</v>
      </c>
      <c r="AA432" s="187">
        <v>0.022594526060430775</v>
      </c>
      <c r="AB432" s="190">
        <v>1.1181944132896118</v>
      </c>
      <c r="AC432" s="4"/>
      <c r="AD432" s="4">
        <v>1.86</v>
      </c>
      <c r="AE432" s="187">
        <v>0.1776357009427112</v>
      </c>
      <c r="AF432" s="190">
        <v>2.26493016482095</v>
      </c>
      <c r="AG432" s="4"/>
      <c r="AH432" s="4"/>
    </row>
    <row r="433" ht="12.75" hidden="1" outlineLevel="1">
      <c r="A433" s="4"/>
      <c r="B433" s="4">
        <v>1.88</v>
      </c>
      <c r="C433" s="187">
        <v>0.17371225095738585</v>
      </c>
      <c r="D433" s="190">
        <v>2.227451150256934</v>
      </c>
      <c r="E433" s="4"/>
      <c r="F433" s="4">
        <v>1.88</v>
      </c>
      <c r="G433" s="187">
        <v>0.14603517738877247</v>
      </c>
      <c r="H433" s="190">
        <v>1.9769229458059816</v>
      </c>
      <c r="I433" s="4"/>
      <c r="J433" s="4">
        <v>1.88</v>
      </c>
      <c r="K433" s="187">
        <v>0.1917228679969445</v>
      </c>
      <c r="L433" s="190">
        <v>2.4036784262493707</v>
      </c>
      <c r="M433" s="4"/>
      <c r="N433" s="4">
        <v>1.88</v>
      </c>
      <c r="O433" s="187">
        <v>0.1690675029945865</v>
      </c>
      <c r="P433" s="190">
        <v>2.1837249803821055</v>
      </c>
      <c r="Q433" s="4"/>
      <c r="R433" s="4">
        <v>1.88</v>
      </c>
      <c r="S433" s="187">
        <v>0.1050834087204171</v>
      </c>
      <c r="T433" s="190">
        <v>1.6480686309755717</v>
      </c>
      <c r="U433" s="4"/>
      <c r="V433" s="4">
        <v>1.88</v>
      </c>
      <c r="W433" s="187">
        <v>0.17694259754522035</v>
      </c>
      <c r="X433" s="190">
        <v>2.258272825820695</v>
      </c>
      <c r="Y433" s="4"/>
      <c r="Z433" s="4">
        <v>1.88</v>
      </c>
      <c r="AA433" s="187">
        <v>0.01963887518375107</v>
      </c>
      <c r="AB433" s="190">
        <v>1.1021277210690787</v>
      </c>
      <c r="AC433" s="4"/>
      <c r="AD433" s="4">
        <v>1.88</v>
      </c>
      <c r="AE433" s="187">
        <v>0.1773001606704283</v>
      </c>
      <c r="AF433" s="190">
        <v>2.2617053036353734</v>
      </c>
      <c r="AG433" s="4"/>
      <c r="AH433" s="4"/>
    </row>
    <row r="434" ht="12.75" hidden="1" outlineLevel="1">
      <c r="A434" s="4"/>
      <c r="B434" s="4">
        <v>1.9</v>
      </c>
      <c r="C434" s="187">
        <v>0.17329914447976913</v>
      </c>
      <c r="D434" s="190">
        <v>2.223533976408839</v>
      </c>
      <c r="E434" s="4"/>
      <c r="F434" s="4">
        <v>1.9</v>
      </c>
      <c r="G434" s="187">
        <v>0.14528908174680755</v>
      </c>
      <c r="H434" s="190">
        <v>1.970496204337442</v>
      </c>
      <c r="I434" s="4"/>
      <c r="J434" s="4">
        <v>1.9</v>
      </c>
      <c r="K434" s="187">
        <v>0.19150261478900976</v>
      </c>
      <c r="L434" s="190">
        <v>2.4014580181264993</v>
      </c>
      <c r="M434" s="4"/>
      <c r="N434" s="4">
        <v>1.9</v>
      </c>
      <c r="O434" s="187">
        <v>0.16857881485831872</v>
      </c>
      <c r="P434" s="190">
        <v>2.1791646419840514</v>
      </c>
      <c r="Q434" s="4"/>
      <c r="R434" s="4">
        <v>1.9</v>
      </c>
      <c r="S434" s="187">
        <v>0.1037041974174786</v>
      </c>
      <c r="T434" s="190">
        <v>1.6378098207753218</v>
      </c>
      <c r="U434" s="4"/>
      <c r="V434" s="4">
        <v>1.9</v>
      </c>
      <c r="W434" s="187">
        <v>0.17654965747024498</v>
      </c>
      <c r="X434" s="190">
        <v>2.254505549608158</v>
      </c>
      <c r="Y434" s="4"/>
      <c r="Z434" s="4">
        <v>1.9</v>
      </c>
      <c r="AA434" s="187">
        <v>0.016648551082610208</v>
      </c>
      <c r="AB434" s="190">
        <v>1.086061028848545</v>
      </c>
      <c r="AC434" s="4"/>
      <c r="AD434" s="4">
        <v>1.9</v>
      </c>
      <c r="AE434" s="187">
        <v>0.17696521475351212</v>
      </c>
      <c r="AF434" s="190">
        <v>2.2584898193684912</v>
      </c>
      <c r="AG434" s="4"/>
      <c r="AH434" s="4"/>
    </row>
    <row r="435" ht="12.75" hidden="1" outlineLevel="1">
      <c r="A435" s="4"/>
      <c r="B435" s="4">
        <v>1.92</v>
      </c>
      <c r="C435" s="187">
        <v>0.1728858425638755</v>
      </c>
      <c r="D435" s="190">
        <v>2.219620466182691</v>
      </c>
      <c r="E435" s="4"/>
      <c r="F435" s="4">
        <v>1.92</v>
      </c>
      <c r="G435" s="187">
        <v>0.14454183484729066</v>
      </c>
      <c r="H435" s="190">
        <v>1.9640763097810456</v>
      </c>
      <c r="I435" s="4"/>
      <c r="J435" s="4">
        <v>1.92</v>
      </c>
      <c r="K435" s="187">
        <v>0.19128219860241025</v>
      </c>
      <c r="L435" s="190">
        <v>2.3992376100036283</v>
      </c>
      <c r="M435" s="4"/>
      <c r="N435" s="4">
        <v>1.92</v>
      </c>
      <c r="O435" s="187">
        <v>0.1680893078937511</v>
      </c>
      <c r="P435" s="190">
        <v>2.1746043035859963</v>
      </c>
      <c r="Q435" s="4"/>
      <c r="R435" s="4">
        <v>1.92</v>
      </c>
      <c r="S435" s="187">
        <v>0.10231805749233258</v>
      </c>
      <c r="T435" s="190">
        <v>1.6275510105750692</v>
      </c>
      <c r="U435" s="4"/>
      <c r="V435" s="4">
        <v>1.92</v>
      </c>
      <c r="W435" s="187">
        <v>0.1761561917617369</v>
      </c>
      <c r="X435" s="190">
        <v>2.2507382733956196</v>
      </c>
      <c r="Y435" s="4"/>
      <c r="Z435" s="4">
        <v>1.92</v>
      </c>
      <c r="AA435" s="187">
        <v>0.013622624912335679</v>
      </c>
      <c r="AB435" s="190">
        <v>1.0699943366280116</v>
      </c>
      <c r="AC435" s="4"/>
      <c r="AD435" s="4">
        <v>1.92</v>
      </c>
      <c r="AE435" s="187">
        <v>0.17663086128958883</v>
      </c>
      <c r="AF435" s="190">
        <v>2.255283671181823</v>
      </c>
      <c r="AG435" s="4"/>
      <c r="AH435" s="4"/>
    </row>
    <row r="436" ht="12.75" hidden="1" outlineLevel="1">
      <c r="A436" s="4"/>
      <c r="B436" s="4">
        <v>1.94</v>
      </c>
      <c r="C436" s="187">
        <v>0.17247234472526562</v>
      </c>
      <c r="D436" s="190">
        <v>2.215710616995693</v>
      </c>
      <c r="E436" s="4"/>
      <c r="F436" s="4">
        <v>1.94</v>
      </c>
      <c r="G436" s="187">
        <v>0.14379343083603136</v>
      </c>
      <c r="H436" s="190">
        <v>1.9576632566870567</v>
      </c>
      <c r="I436" s="4"/>
      <c r="J436" s="4">
        <v>1.94</v>
      </c>
      <c r="K436" s="187">
        <v>0.19106161916554942</v>
      </c>
      <c r="L436" s="190">
        <v>2.397017201880757</v>
      </c>
      <c r="M436" s="4"/>
      <c r="N436" s="4">
        <v>1.94</v>
      </c>
      <c r="O436" s="187">
        <v>0.16759897900740528</v>
      </c>
      <c r="P436" s="190">
        <v>2.1700439651879417</v>
      </c>
      <c r="Q436" s="4"/>
      <c r="R436" s="4">
        <v>1.94</v>
      </c>
      <c r="S436" s="187">
        <v>0.10092491013468208</v>
      </c>
      <c r="T436" s="190">
        <v>1.6172922003748171</v>
      </c>
      <c r="U436" s="4"/>
      <c r="V436" s="4">
        <v>1.94</v>
      </c>
      <c r="W436" s="187">
        <v>0.17576219883498845</v>
      </c>
      <c r="X436" s="190">
        <v>2.2469709971830816</v>
      </c>
      <c r="Y436" s="4"/>
      <c r="Z436" s="4">
        <v>1.94</v>
      </c>
      <c r="AA436" s="187">
        <v>0.010560128536684976</v>
      </c>
      <c r="AB436" s="190">
        <v>1.0539276444074779</v>
      </c>
      <c r="AC436" s="4"/>
      <c r="AD436" s="4">
        <v>1.94</v>
      </c>
      <c r="AE436" s="187">
        <v>0.17629709838511864</v>
      </c>
      <c r="AF436" s="190">
        <v>2.2520868184736873</v>
      </c>
      <c r="AG436" s="4"/>
      <c r="AH436" s="4"/>
    </row>
    <row r="437" ht="12.75" hidden="1" outlineLevel="1">
      <c r="A437" s="4"/>
      <c r="B437" s="4">
        <v>1.96</v>
      </c>
      <c r="C437" s="187">
        <v>0.17205865047781566</v>
      </c>
      <c r="D437" s="190">
        <v>2.2118044262662444</v>
      </c>
      <c r="E437" s="4"/>
      <c r="F437" s="4">
        <v>1.96</v>
      </c>
      <c r="G437" s="187">
        <v>0.1430438638142637</v>
      </c>
      <c r="H437" s="190">
        <v>1.9512570396086122</v>
      </c>
      <c r="I437" s="4"/>
      <c r="J437" s="4">
        <v>1.96</v>
      </c>
      <c r="K437" s="187">
        <v>0.19084087620612689</v>
      </c>
      <c r="L437" s="190">
        <v>2.3947967937578865</v>
      </c>
      <c r="M437" s="4"/>
      <c r="N437" s="4">
        <v>1.96</v>
      </c>
      <c r="O437" s="187">
        <v>0.16710782508758415</v>
      </c>
      <c r="P437" s="190">
        <v>2.165483626789888</v>
      </c>
      <c r="Q437" s="4"/>
      <c r="R437" s="4">
        <v>1.96</v>
      </c>
      <c r="S437" s="187">
        <v>0.09952467513090157</v>
      </c>
      <c r="T437" s="190">
        <v>1.6070333901745655</v>
      </c>
      <c r="U437" s="4"/>
      <c r="V437" s="4">
        <v>1.96</v>
      </c>
      <c r="W437" s="187">
        <v>0.17536767709784717</v>
      </c>
      <c r="X437" s="190">
        <v>2.243203720970545</v>
      </c>
      <c r="Y437" s="4"/>
      <c r="Z437" s="4">
        <v>1.96</v>
      </c>
      <c r="AA437" s="187">
        <v>0.007460052237493464</v>
      </c>
      <c r="AB437" s="190">
        <v>1.0378609521869442</v>
      </c>
      <c r="AC437" s="4"/>
      <c r="AD437" s="4">
        <v>1.96</v>
      </c>
      <c r="AE437" s="187">
        <v>0.17596392415534257</v>
      </c>
      <c r="AF437" s="190">
        <v>2.248899220877497</v>
      </c>
      <c r="AG437" s="4"/>
      <c r="AH437" s="4"/>
    </row>
    <row r="438" ht="12.75" hidden="1" outlineLevel="1">
      <c r="A438" s="4"/>
      <c r="B438" s="4">
        <v>1.98</v>
      </c>
      <c r="C438" s="187">
        <v>0.1716447593337107</v>
      </c>
      <c r="D438" s="190">
        <v>2.2079018914139588</v>
      </c>
      <c r="E438" s="4"/>
      <c r="F438" s="4">
        <v>1.98</v>
      </c>
      <c r="G438" s="187">
        <v>0.14229312783818826</v>
      </c>
      <c r="H438" s="190">
        <v>1.9448576531017319</v>
      </c>
      <c r="I438" s="4"/>
      <c r="J438" s="4">
        <v>1.98</v>
      </c>
      <c r="K438" s="187">
        <v>0.19061996945113435</v>
      </c>
      <c r="L438" s="190">
        <v>2.392576385635016</v>
      </c>
      <c r="M438" s="4"/>
      <c r="N438" s="4">
        <v>1.98</v>
      </c>
      <c r="O438" s="187">
        <v>0.1666158430042266</v>
      </c>
      <c r="P438" s="190">
        <v>2.160923288391834</v>
      </c>
      <c r="Q438" s="4"/>
      <c r="R438" s="4">
        <v>1.98</v>
      </c>
      <c r="S438" s="187">
        <v>0.09811727082990607</v>
      </c>
      <c r="T438" s="190">
        <v>1.596774579974314</v>
      </c>
      <c r="U438" s="4"/>
      <c r="V438" s="4">
        <v>1.98</v>
      </c>
      <c r="W438" s="187">
        <v>0.17497262495066868</v>
      </c>
      <c r="X438" s="190">
        <v>2.2394364447580073</v>
      </c>
      <c r="Y438" s="4"/>
      <c r="Z438" s="4">
        <v>1.98</v>
      </c>
      <c r="AA438" s="187">
        <v>0.004321342253045923</v>
      </c>
      <c r="AB438" s="190">
        <v>1.021794259966411</v>
      </c>
      <c r="AC438" s="4"/>
      <c r="AD438" s="4">
        <v>1.98</v>
      </c>
      <c r="AE438" s="187">
        <v>0.1756313367242297</v>
      </c>
      <c r="AF438" s="190">
        <v>2.245720838260052</v>
      </c>
      <c r="AG438" s="4"/>
      <c r="AH438" s="4"/>
    </row>
    <row r="439" ht="12.75" hidden="1" outlineLevel="1">
      <c r="A439" s="4"/>
      <c r="B439" s="4">
        <v>2</v>
      </c>
      <c r="C439" s="187">
        <v>0.17123067080343568</v>
      </c>
      <c r="D439" s="190">
        <v>2.204003009859648</v>
      </c>
      <c r="E439" s="4"/>
      <c r="F439" s="4">
        <v>2</v>
      </c>
      <c r="G439" s="187">
        <v>0.14154121691850574</v>
      </c>
      <c r="H439" s="190">
        <v>1.9384650917253012</v>
      </c>
      <c r="I439" s="4"/>
      <c r="J439" s="4">
        <v>2</v>
      </c>
      <c r="K439" s="187">
        <v>0.19039889862685389</v>
      </c>
      <c r="L439" s="190">
        <v>2.3903559775121446</v>
      </c>
      <c r="M439" s="4"/>
      <c r="N439" s="4">
        <v>2</v>
      </c>
      <c r="O439" s="187">
        <v>0.16612302960876058</v>
      </c>
      <c r="P439" s="190">
        <v>2.1563629499937775</v>
      </c>
      <c r="Q439" s="4"/>
      <c r="R439" s="4">
        <v>2</v>
      </c>
      <c r="S439" s="187">
        <v>0.09670261410796765</v>
      </c>
      <c r="T439" s="190">
        <v>1.586515769774063</v>
      </c>
      <c r="U439" s="4"/>
      <c r="V439" s="4">
        <v>2</v>
      </c>
      <c r="W439" s="187">
        <v>0.1745770407862688</v>
      </c>
      <c r="X439" s="190">
        <v>2.2356691685454697</v>
      </c>
      <c r="Y439" s="4"/>
      <c r="Z439" s="4">
        <v>2</v>
      </c>
      <c r="AA439" s="187">
        <v>0.0011428981294563378</v>
      </c>
      <c r="AB439" s="190">
        <v>1.0057275677458775</v>
      </c>
      <c r="AC439" s="4"/>
      <c r="AD439" s="4">
        <v>2</v>
      </c>
      <c r="AE439" s="187">
        <v>0.1752993342244229</v>
      </c>
      <c r="AF439" s="190">
        <v>2.2425516307198565</v>
      </c>
      <c r="AG439" s="4"/>
      <c r="AH439" s="4"/>
    </row>
    <row r="440" ht="12.75" hidden="1" outlineLevel="1">
      <c r="A440" s="4"/>
      <c r="B440" s="4">
        <v>2.02</v>
      </c>
      <c r="C440" s="187">
        <v>0.17081638439576863</v>
      </c>
      <c r="D440" s="190">
        <v>2.200107779025332</v>
      </c>
      <c r="E440" s="4"/>
      <c r="F440" s="4">
        <v>2.02</v>
      </c>
      <c r="G440" s="187">
        <v>0.14078812501994786</v>
      </c>
      <c r="H440" s="190">
        <v>1.9320793500410898</v>
      </c>
      <c r="I440" s="4"/>
      <c r="J440" s="4">
        <v>2.02</v>
      </c>
      <c r="K440" s="187">
        <v>0.19017766345885545</v>
      </c>
      <c r="L440" s="190">
        <v>2.388135569389274</v>
      </c>
      <c r="M440" s="4"/>
      <c r="N440" s="4">
        <v>2.02</v>
      </c>
      <c r="O440" s="187">
        <v>0.16562938173395447</v>
      </c>
      <c r="P440" s="190">
        <v>2.1518026115957234</v>
      </c>
      <c r="Q440" s="4"/>
      <c r="R440" s="4">
        <v>2.02</v>
      </c>
      <c r="S440" s="187">
        <v>0.0952806203324339</v>
      </c>
      <c r="T440" s="190">
        <v>1.57625695957381</v>
      </c>
      <c r="U440" s="4"/>
      <c r="V440" s="4">
        <v>2.02</v>
      </c>
      <c r="W440" s="187">
        <v>0.17418092298987542</v>
      </c>
      <c r="X440" s="190">
        <v>2.231901892332932</v>
      </c>
      <c r="Y440" s="4"/>
      <c r="Z440" s="4">
        <v>2.02</v>
      </c>
      <c r="AA440" s="187">
        <v>-0.0021861958136056847</v>
      </c>
      <c r="AB440" s="190">
        <v>0.9891167110793091</v>
      </c>
      <c r="AC440" s="4"/>
      <c r="AD440" s="4">
        <v>2.02</v>
      </c>
      <c r="AE440" s="187">
        <v>0.17496791479718765</v>
      </c>
      <c r="AF440" s="190">
        <v>2.239391558585457</v>
      </c>
      <c r="AG440" s="4"/>
      <c r="AH440" s="4"/>
    </row>
    <row r="441" ht="12.75" hidden="1" outlineLevel="1">
      <c r="A441" s="4"/>
      <c r="B441" s="4">
        <v>2.04</v>
      </c>
      <c r="C441" s="187">
        <v>0.1704018996177712</v>
      </c>
      <c r="D441" s="190">
        <v>2.1962161963342317</v>
      </c>
      <c r="E441" s="4"/>
      <c r="F441" s="4">
        <v>2.04</v>
      </c>
      <c r="G441" s="187">
        <v>0.14003384606079927</v>
      </c>
      <c r="H441" s="190">
        <v>1.9257004226137329</v>
      </c>
      <c r="I441" s="4"/>
      <c r="J441" s="4">
        <v>2.04</v>
      </c>
      <c r="K441" s="187">
        <v>0.18995626367199447</v>
      </c>
      <c r="L441" s="190">
        <v>2.385915161266402</v>
      </c>
      <c r="M441" s="4"/>
      <c r="N441" s="4">
        <v>2.04</v>
      </c>
      <c r="O441" s="187">
        <v>0.1651348961937651</v>
      </c>
      <c r="P441" s="190">
        <v>2.1472422731976692</v>
      </c>
      <c r="Q441" s="4"/>
      <c r="R441" s="4">
        <v>2.04</v>
      </c>
      <c r="S441" s="187">
        <v>0.09385120332431329</v>
      </c>
      <c r="T441" s="190">
        <v>1.565998149373559</v>
      </c>
      <c r="U441" s="4"/>
      <c r="V441" s="4">
        <v>2.04</v>
      </c>
      <c r="W441" s="187">
        <v>0.17378426993907903</v>
      </c>
      <c r="X441" s="190">
        <v>2.228134616120394</v>
      </c>
      <c r="Y441" s="4"/>
      <c r="Z441" s="4">
        <v>2.04</v>
      </c>
      <c r="AA441" s="187">
        <v>-0.005621978196113209</v>
      </c>
      <c r="AB441" s="190">
        <v>0.9722044034787477</v>
      </c>
      <c r="AC441" s="4"/>
      <c r="AD441" s="4">
        <v>2.04</v>
      </c>
      <c r="AE441" s="187">
        <v>0.17463707659235883</v>
      </c>
      <c r="AF441" s="190">
        <v>2.236240582413776</v>
      </c>
      <c r="AG441" s="4"/>
      <c r="AH441" s="4"/>
    </row>
    <row r="442" ht="12.75" hidden="1" outlineLevel="1">
      <c r="A442" s="4"/>
      <c r="B442" s="4">
        <v>2.06</v>
      </c>
      <c r="C442" s="187">
        <v>0.1699872159747826</v>
      </c>
      <c r="D442" s="190">
        <v>2.1923282592107727</v>
      </c>
      <c r="E442" s="4"/>
      <c r="F442" s="4">
        <v>2.06</v>
      </c>
      <c r="G442" s="187">
        <v>0.13927837391241638</v>
      </c>
      <c r="H442" s="190">
        <v>1.9193283040107507</v>
      </c>
      <c r="I442" s="4"/>
      <c r="J442" s="4">
        <v>2.06</v>
      </c>
      <c r="K442" s="187">
        <v>0.1897346989904094</v>
      </c>
      <c r="L442" s="190">
        <v>2.3836947531435313</v>
      </c>
      <c r="M442" s="4"/>
      <c r="N442" s="4">
        <v>2.06</v>
      </c>
      <c r="O442" s="187">
        <v>0.16463956978318728</v>
      </c>
      <c r="P442" s="190">
        <v>2.1426819347996147</v>
      </c>
      <c r="Q442" s="4"/>
      <c r="R442" s="4">
        <v>2.06</v>
      </c>
      <c r="S442" s="187">
        <v>0.09241427531967727</v>
      </c>
      <c r="T442" s="190">
        <v>1.555739339173307</v>
      </c>
      <c r="U442" s="4"/>
      <c r="V442" s="4">
        <v>2.06</v>
      </c>
      <c r="W442" s="187">
        <v>0.17338708000378467</v>
      </c>
      <c r="X442" s="190">
        <v>2.2243673399078556</v>
      </c>
      <c r="Y442" s="4"/>
      <c r="Z442" s="4">
        <v>2.06</v>
      </c>
      <c r="AA442" s="187">
        <v>-0.009105912905051694</v>
      </c>
      <c r="AB442" s="190">
        <v>0.9552920958781858</v>
      </c>
      <c r="AC442" s="4"/>
      <c r="AD442" s="4">
        <v>2.06</v>
      </c>
      <c r="AE442" s="187">
        <v>0.17430681776828938</v>
      </c>
      <c r="AF442" s="190">
        <v>2.233098662988475</v>
      </c>
      <c r="AG442" s="4"/>
      <c r="AH442" s="4"/>
    </row>
    <row r="443" ht="12.75" hidden="1" outlineLevel="1">
      <c r="A443" s="4"/>
      <c r="B443" s="4">
        <v>2.08</v>
      </c>
      <c r="C443" s="187">
        <v>0.16957233297040997</v>
      </c>
      <c r="D443" s="190">
        <v>2.1884439650805794</v>
      </c>
      <c r="E443" s="4"/>
      <c r="F443" s="4">
        <v>2.08</v>
      </c>
      <c r="G443" s="187">
        <v>0.13852170239873418</v>
      </c>
      <c r="H443" s="190">
        <v>1.9129629888025208</v>
      </c>
      <c r="I443" s="4"/>
      <c r="J443" s="4">
        <v>2.08</v>
      </c>
      <c r="K443" s="187">
        <v>0.18951296913751836</v>
      </c>
      <c r="L443" s="190">
        <v>2.3814743450206626</v>
      </c>
      <c r="M443" s="4"/>
      <c r="N443" s="4">
        <v>2.08</v>
      </c>
      <c r="O443" s="187">
        <v>0.16414339927809984</v>
      </c>
      <c r="P443" s="190">
        <v>2.13812159640156</v>
      </c>
      <c r="Q443" s="4"/>
      <c r="R443" s="4">
        <v>2.08</v>
      </c>
      <c r="S443" s="187">
        <v>0.09096974692984072</v>
      </c>
      <c r="T443" s="190">
        <v>1.5454805289730555</v>
      </c>
      <c r="U443" s="4"/>
      <c r="V443" s="4">
        <v>2.08</v>
      </c>
      <c r="W443" s="187">
        <v>0.17298935154616202</v>
      </c>
      <c r="X443" s="190">
        <v>2.220600063695319</v>
      </c>
      <c r="Y443" s="4"/>
      <c r="Z443" s="4">
        <v>2.08</v>
      </c>
      <c r="AA443" s="187">
        <v>-0.012639545482840076</v>
      </c>
      <c r="AB443" s="190">
        <v>0.9383797882776239</v>
      </c>
      <c r="AC443" s="4"/>
      <c r="AD443" s="4">
        <v>2.08</v>
      </c>
      <c r="AE443" s="187">
        <v>0.1739771364917997</v>
      </c>
      <c r="AF443" s="190">
        <v>2.2299657613183346</v>
      </c>
      <c r="AG443" s="4"/>
      <c r="AH443" s="4"/>
    </row>
    <row r="444" ht="12.75" hidden="1" outlineLevel="1">
      <c r="A444" s="4"/>
      <c r="B444" s="4">
        <v>2.1</v>
      </c>
      <c r="C444" s="187">
        <v>0.16915725010652172</v>
      </c>
      <c r="D444" s="190">
        <v>2.184563311370487</v>
      </c>
      <c r="E444" s="4"/>
      <c r="F444" s="4">
        <v>2.1</v>
      </c>
      <c r="G444" s="187">
        <v>0.13776382529577336</v>
      </c>
      <c r="H444" s="190">
        <v>1.9066044715622996</v>
      </c>
      <c r="I444" s="4"/>
      <c r="J444" s="4">
        <v>2.1</v>
      </c>
      <c r="K444" s="187">
        <v>0.18929107383601718</v>
      </c>
      <c r="L444" s="190">
        <v>2.37925393689779</v>
      </c>
      <c r="M444" s="4"/>
      <c r="N444" s="4">
        <v>2.1</v>
      </c>
      <c r="O444" s="187">
        <v>0.16364638143511057</v>
      </c>
      <c r="P444" s="190">
        <v>2.1335612580035064</v>
      </c>
      <c r="Q444" s="4"/>
      <c r="R444" s="4">
        <v>2.1</v>
      </c>
      <c r="S444" s="187">
        <v>0.08951752710026817</v>
      </c>
      <c r="T444" s="190">
        <v>1.5352217187728034</v>
      </c>
      <c r="U444" s="4"/>
      <c r="V444" s="4">
        <v>2.1</v>
      </c>
      <c r="W444" s="187">
        <v>0.17259108292059455</v>
      </c>
      <c r="X444" s="190">
        <v>2.2168327874827813</v>
      </c>
      <c r="Y444" s="4"/>
      <c r="Z444" s="4">
        <v>2.1</v>
      </c>
      <c r="AA444" s="187">
        <v>-0.016224500042209877</v>
      </c>
      <c r="AB444" s="190">
        <v>0.9214674806770625</v>
      </c>
      <c r="AC444" s="4"/>
      <c r="AD444" s="4">
        <v>2.1</v>
      </c>
      <c r="AE444" s="187">
        <v>0.1736480309381243</v>
      </c>
      <c r="AF444" s="190">
        <v>2.2268418386356275</v>
      </c>
      <c r="AG444" s="4"/>
      <c r="AH444" s="4"/>
    </row>
    <row r="445" ht="12.75" hidden="1" outlineLevel="1">
      <c r="A445" s="4"/>
      <c r="B445" s="4">
        <v>2.12</v>
      </c>
      <c r="C445" s="187">
        <v>0.16874196688323884</v>
      </c>
      <c r="D445" s="190">
        <v>2.18068629550853</v>
      </c>
      <c r="E445" s="4"/>
      <c r="F445" s="4">
        <v>2.12</v>
      </c>
      <c r="G445" s="187">
        <v>0.1370047363311373</v>
      </c>
      <c r="H445" s="190">
        <v>1.900252746866219</v>
      </c>
      <c r="I445" s="4"/>
      <c r="J445" s="4">
        <v>2.12</v>
      </c>
      <c r="K445" s="187">
        <v>0.1890690128078769</v>
      </c>
      <c r="L445" s="190">
        <v>2.3770335287749194</v>
      </c>
      <c r="M445" s="4"/>
      <c r="N445" s="4">
        <v>2.12</v>
      </c>
      <c r="O445" s="187">
        <v>0.1631485129913992</v>
      </c>
      <c r="P445" s="190">
        <v>2.1290009196054522</v>
      </c>
      <c r="Q445" s="4"/>
      <c r="R445" s="4">
        <v>2.12</v>
      </c>
      <c r="S445" s="187">
        <v>0.08805752306815973</v>
      </c>
      <c r="T445" s="190">
        <v>1.524962908572552</v>
      </c>
      <c r="U445" s="4"/>
      <c r="V445" s="4">
        <v>2.12</v>
      </c>
      <c r="W445" s="187">
        <v>0.1721922724736309</v>
      </c>
      <c r="X445" s="190">
        <v>2.213065511270243</v>
      </c>
      <c r="Y445" s="4"/>
      <c r="Z445" s="4">
        <v>2.12</v>
      </c>
      <c r="AA445" s="187">
        <v>-0.019862484787411816</v>
      </c>
      <c r="AB445" s="190">
        <v>0.9045551730765007</v>
      </c>
      <c r="AC445" s="4"/>
      <c r="AD445" s="4">
        <v>2.12</v>
      </c>
      <c r="AE445" s="187">
        <v>0.17331949929086443</v>
      </c>
      <c r="AF445" s="190">
        <v>2.223726856394535</v>
      </c>
      <c r="AG445" s="4"/>
      <c r="AH445" s="4"/>
    </row>
    <row r="446" ht="12.75" hidden="1" outlineLevel="1">
      <c r="A446" s="4"/>
      <c r="B446" s="4">
        <v>2.14</v>
      </c>
      <c r="C446" s="187">
        <v>0.1683264827989257</v>
      </c>
      <c r="D446" s="190">
        <v>2.17681291492394</v>
      </c>
      <c r="E446" s="4"/>
      <c r="F446" s="4">
        <v>2.14</v>
      </c>
      <c r="G446" s="187">
        <v>0.13624442918350166</v>
      </c>
      <c r="H446" s="190">
        <v>1.8939078092932737</v>
      </c>
      <c r="I446" s="4"/>
      <c r="J446" s="4">
        <v>2.14</v>
      </c>
      <c r="K446" s="187">
        <v>0.18884678577434166</v>
      </c>
      <c r="L446" s="190">
        <v>2.3748131206520493</v>
      </c>
      <c r="M446" s="4"/>
      <c r="N446" s="4">
        <v>2.14</v>
      </c>
      <c r="O446" s="187">
        <v>0.16264979066455965</v>
      </c>
      <c r="P446" s="190">
        <v>2.124440581207396</v>
      </c>
      <c r="Q446" s="4"/>
      <c r="R446" s="4">
        <v>2.14</v>
      </c>
      <c r="S446" s="187">
        <v>0.08658964031866123</v>
      </c>
      <c r="T446" s="190">
        <v>1.5147040983723</v>
      </c>
      <c r="U446" s="4"/>
      <c r="V446" s="4">
        <v>2.14</v>
      </c>
      <c r="W446" s="187">
        <v>0.17179291854393286</v>
      </c>
      <c r="X446" s="190">
        <v>2.209298235057705</v>
      </c>
      <c r="Y446" s="4"/>
      <c r="Z446" s="4">
        <v>2.14</v>
      </c>
      <c r="AA446" s="187">
        <v>-0.02355529803475165</v>
      </c>
      <c r="AB446" s="190">
        <v>0.8876428654759392</v>
      </c>
      <c r="AC446" s="4"/>
      <c r="AD446" s="4">
        <v>2.14</v>
      </c>
      <c r="AE446" s="187">
        <v>0.17299153974193504</v>
      </c>
      <c r="AF446" s="190">
        <v>2.220620776269546</v>
      </c>
      <c r="AG446" s="4"/>
      <c r="AH446" s="4"/>
    </row>
    <row r="447" ht="12.75" hidden="1" outlineLevel="1">
      <c r="A447" s="4"/>
      <c r="B447" s="4">
        <v>2.16</v>
      </c>
      <c r="C447" s="187">
        <v>0.16791079735018388</v>
      </c>
      <c r="D447" s="190">
        <v>2.172943167047155</v>
      </c>
      <c r="E447" s="4"/>
      <c r="F447" s="4">
        <v>2.16</v>
      </c>
      <c r="G447" s="187">
        <v>0.13548289748209918</v>
      </c>
      <c r="H447" s="190">
        <v>1.8875696534253301</v>
      </c>
      <c r="I447" s="4"/>
      <c r="J447" s="4">
        <v>2.16</v>
      </c>
      <c r="K447" s="187">
        <v>0.18862439245592477</v>
      </c>
      <c r="L447" s="190">
        <v>2.372592712529178</v>
      </c>
      <c r="M447" s="4"/>
      <c r="N447" s="4">
        <v>2.16</v>
      </c>
      <c r="O447" s="187">
        <v>0.16215021115244066</v>
      </c>
      <c r="P447" s="190">
        <v>2.1198802428093417</v>
      </c>
      <c r="Q447" s="4"/>
      <c r="R447" s="4">
        <v>2.16</v>
      </c>
      <c r="S447" s="187">
        <v>0.0851137825396513</v>
      </c>
      <c r="T447" s="190">
        <v>1.5044452881720485</v>
      </c>
      <c r="U447" s="4"/>
      <c r="V447" s="4">
        <v>2.16</v>
      </c>
      <c r="W447" s="187">
        <v>0.17139301946222507</v>
      </c>
      <c r="X447" s="190">
        <v>2.205530958845168</v>
      </c>
      <c r="Y447" s="4"/>
      <c r="Z447" s="4">
        <v>2.16</v>
      </c>
      <c r="AA447" s="187">
        <v>-0.027304834788076993</v>
      </c>
      <c r="AB447" s="190">
        <v>0.8707305578753773</v>
      </c>
      <c r="AC447" s="4"/>
      <c r="AD447" s="4">
        <v>2.16</v>
      </c>
      <c r="AE447" s="187">
        <v>0.17266415049151673</v>
      </c>
      <c r="AF447" s="190">
        <v>2.2175235601539014</v>
      </c>
      <c r="AG447" s="4"/>
      <c r="AH447" s="4"/>
    </row>
    <row r="448" ht="12.75" hidden="1" outlineLevel="1">
      <c r="A448" s="4"/>
      <c r="B448" s="4">
        <v>2.18</v>
      </c>
      <c r="C448" s="187">
        <v>0.16749491003184258</v>
      </c>
      <c r="D448" s="190">
        <v>2.169077049309815</v>
      </c>
      <c r="E448" s="4"/>
      <c r="F448" s="4">
        <v>2.18</v>
      </c>
      <c r="G448" s="187">
        <v>0.1347201348061966</v>
      </c>
      <c r="H448" s="190">
        <v>1.8812382738471214</v>
      </c>
      <c r="I448" s="4"/>
      <c r="J448" s="4">
        <v>2.18</v>
      </c>
      <c r="K448" s="187">
        <v>0.1884018325724075</v>
      </c>
      <c r="L448" s="190">
        <v>2.3703723044063083</v>
      </c>
      <c r="M448" s="4"/>
      <c r="N448" s="4">
        <v>2.18</v>
      </c>
      <c r="O448" s="187">
        <v>0.1616497711329825</v>
      </c>
      <c r="P448" s="190">
        <v>2.115319904411288</v>
      </c>
      <c r="Q448" s="4"/>
      <c r="R448" s="4">
        <v>2.18</v>
      </c>
      <c r="S448" s="187">
        <v>0.08362985157503933</v>
      </c>
      <c r="T448" s="190">
        <v>1.4941864779717968</v>
      </c>
      <c r="U448" s="4"/>
      <c r="V448" s="4">
        <v>2.18</v>
      </c>
      <c r="W448" s="187">
        <v>0.17099257355124253</v>
      </c>
      <c r="X448" s="190">
        <v>2.2017636826326306</v>
      </c>
      <c r="Y448" s="4"/>
      <c r="Z448" s="4">
        <v>2.18</v>
      </c>
      <c r="AA448" s="187">
        <v>-0.031113093932231828</v>
      </c>
      <c r="AB448" s="190">
        <v>0.853818250274816</v>
      </c>
      <c r="AC448" s="4"/>
      <c r="AD448" s="4">
        <v>2.18</v>
      </c>
      <c r="AE448" s="187">
        <v>0.17233732974800464</v>
      </c>
      <c r="AF448" s="190">
        <v>2.21443517015802</v>
      </c>
      <c r="AG448" s="4"/>
      <c r="AH448" s="4"/>
    </row>
    <row r="449" ht="12.75" hidden="1" outlineLevel="1">
      <c r="A449" s="4"/>
      <c r="B449" s="4">
        <v>2.2</v>
      </c>
      <c r="C449" s="187">
        <v>0.16707882033695087</v>
      </c>
      <c r="D449" s="190">
        <v>2.165214559144758</v>
      </c>
      <c r="E449" s="4"/>
      <c r="F449" s="4">
        <v>2.2</v>
      </c>
      <c r="G449" s="187">
        <v>0.1339561346845648</v>
      </c>
      <c r="H449" s="190">
        <v>1.8749136651462492</v>
      </c>
      <c r="I449" s="4"/>
      <c r="J449" s="4">
        <v>2.2</v>
      </c>
      <c r="K449" s="187">
        <v>0.18817910584283482</v>
      </c>
      <c r="L449" s="190">
        <v>2.368151896283436</v>
      </c>
      <c r="M449" s="4"/>
      <c r="N449" s="4">
        <v>2.2</v>
      </c>
      <c r="O449" s="187">
        <v>0.16114846726405507</v>
      </c>
      <c r="P449" s="190">
        <v>2.110759566013233</v>
      </c>
      <c r="Q449" s="4"/>
      <c r="R449" s="4">
        <v>2.2</v>
      </c>
      <c r="S449" s="187">
        <v>0.08213774737652435</v>
      </c>
      <c r="T449" s="190">
        <v>1.4839276677715454</v>
      </c>
      <c r="U449" s="4"/>
      <c r="V449" s="4">
        <v>2.2</v>
      </c>
      <c r="W449" s="187">
        <v>0.17059157912567935</v>
      </c>
      <c r="X449" s="190">
        <v>2.197996406420093</v>
      </c>
      <c r="Y449" s="4"/>
      <c r="Z449" s="4">
        <v>2.2</v>
      </c>
      <c r="AA449" s="187">
        <v>-0.03498218611606552</v>
      </c>
      <c r="AB449" s="190">
        <v>0.8369059426742544</v>
      </c>
      <c r="AC449" s="4"/>
      <c r="AD449" s="4">
        <v>2.2</v>
      </c>
      <c r="AE449" s="187">
        <v>0.17201107572796093</v>
      </c>
      <c r="AF449" s="190">
        <v>2.211355568607964</v>
      </c>
      <c r="AG449" s="4"/>
      <c r="AH449" s="4"/>
    </row>
    <row r="450" ht="12.75" hidden="1" outlineLevel="1">
      <c r="A450" s="4"/>
      <c r="B450" s="4">
        <v>2.22</v>
      </c>
      <c r="C450" s="187">
        <v>0.16666252775676926</v>
      </c>
      <c r="D450" s="190">
        <v>2.1613556939860294</v>
      </c>
      <c r="E450" s="4"/>
      <c r="F450" s="4">
        <v>2.22</v>
      </c>
      <c r="G450" s="187">
        <v>0.13319089059494194</v>
      </c>
      <c r="H450" s="190">
        <v>1.868595821913182</v>
      </c>
      <c r="I450" s="4"/>
      <c r="J450" s="4">
        <v>2.22</v>
      </c>
      <c r="K450" s="187">
        <v>0.18795621198551538</v>
      </c>
      <c r="L450" s="190">
        <v>2.3659314881605646</v>
      </c>
      <c r="M450" s="4"/>
      <c r="N450" s="4">
        <v>2.22</v>
      </c>
      <c r="O450" s="187">
        <v>0.16064629618329307</v>
      </c>
      <c r="P450" s="190">
        <v>2.1061992276151784</v>
      </c>
      <c r="Q450" s="4"/>
      <c r="R450" s="4">
        <v>2.22</v>
      </c>
      <c r="S450" s="187">
        <v>0.08063736795374532</v>
      </c>
      <c r="T450" s="190">
        <v>1.4736688575712926</v>
      </c>
      <c r="U450" s="4"/>
      <c r="V450" s="4">
        <v>2.22</v>
      </c>
      <c r="W450" s="187">
        <v>0.17019003449213654</v>
      </c>
      <c r="X450" s="190">
        <v>2.1942291302075554</v>
      </c>
      <c r="Y450" s="4"/>
      <c r="Z450" s="4">
        <v>2.22</v>
      </c>
      <c r="AA450" s="187">
        <v>-0.03891434240649172</v>
      </c>
      <c r="AB450" s="190">
        <v>0.8199936350736926</v>
      </c>
      <c r="AC450" s="4"/>
      <c r="AD450" s="4">
        <v>2.22</v>
      </c>
      <c r="AE450" s="187">
        <v>0.17168538665606525</v>
      </c>
      <c r="AF450" s="190">
        <v>2.2082847180439056</v>
      </c>
      <c r="AG450" s="4"/>
      <c r="AH450" s="4"/>
    </row>
    <row r="451" ht="12.75" hidden="1" outlineLevel="1">
      <c r="A451" s="4"/>
      <c r="B451" s="4">
        <v>2.24</v>
      </c>
      <c r="C451" s="187">
        <v>0.16624603178076036</v>
      </c>
      <c r="D451" s="190">
        <v>2.157500451268863</v>
      </c>
      <c r="E451" s="4"/>
      <c r="F451" s="4">
        <v>2.24</v>
      </c>
      <c r="G451" s="187">
        <v>0.13242439596348943</v>
      </c>
      <c r="H451" s="190">
        <v>1.8622847387412536</v>
      </c>
      <c r="I451" s="4"/>
      <c r="J451" s="4">
        <v>2.24</v>
      </c>
      <c r="K451" s="187">
        <v>0.18773315071801644</v>
      </c>
      <c r="L451" s="190">
        <v>2.363711080037694</v>
      </c>
      <c r="M451" s="4"/>
      <c r="N451" s="4">
        <v>2.24</v>
      </c>
      <c r="O451" s="187">
        <v>0.16014325450792866</v>
      </c>
      <c r="P451" s="190">
        <v>2.1016388892171243</v>
      </c>
      <c r="Q451" s="4"/>
      <c r="R451" s="4">
        <v>2.24</v>
      </c>
      <c r="S451" s="187">
        <v>0.07912860932276455</v>
      </c>
      <c r="T451" s="190">
        <v>1.4634100473710423</v>
      </c>
      <c r="U451" s="4"/>
      <c r="V451" s="4">
        <v>2.24</v>
      </c>
      <c r="W451" s="187">
        <v>0.16978793794906855</v>
      </c>
      <c r="X451" s="190">
        <v>2.190461853995018</v>
      </c>
      <c r="Y451" s="4"/>
      <c r="Z451" s="4">
        <v>2.24</v>
      </c>
      <c r="AA451" s="187">
        <v>-0.04291192380663167</v>
      </c>
      <c r="AB451" s="190">
        <v>0.8030813274731308</v>
      </c>
      <c r="AC451" s="4"/>
      <c r="AD451" s="4">
        <v>2.24</v>
      </c>
      <c r="AE451" s="187">
        <v>0.17136026076506572</v>
      </c>
      <c r="AF451" s="190">
        <v>2.2052225812186017</v>
      </c>
      <c r="AG451" s="4"/>
      <c r="AH451" s="4"/>
    </row>
    <row r="452" ht="12.75" hidden="1" outlineLevel="1">
      <c r="A452" s="4"/>
      <c r="B452" s="4">
        <v>2.26</v>
      </c>
      <c r="C452" s="187">
        <v>0.16582933189658355</v>
      </c>
      <c r="D452" s="190">
        <v>2.1536488284297106</v>
      </c>
      <c r="E452" s="4"/>
      <c r="F452" s="4">
        <v>2.26</v>
      </c>
      <c r="G452" s="187">
        <v>0.13165664416423972</v>
      </c>
      <c r="H452" s="190">
        <v>1.8559804102266635</v>
      </c>
      <c r="I452" s="4"/>
      <c r="J452" s="4">
        <v>2.26</v>
      </c>
      <c r="K452" s="187">
        <v>0.18750992175716186</v>
      </c>
      <c r="L452" s="190">
        <v>2.361490671914822</v>
      </c>
      <c r="M452" s="4"/>
      <c r="N452" s="4">
        <v>2.26</v>
      </c>
      <c r="O452" s="187">
        <v>0.15963933883462333</v>
      </c>
      <c r="P452" s="190">
        <v>2.0970785508190706</v>
      </c>
      <c r="Q452" s="4"/>
      <c r="R452" s="4">
        <v>2.26</v>
      </c>
      <c r="S452" s="187">
        <v>0.07761136545280745</v>
      </c>
      <c r="T452" s="190">
        <v>1.4531512371707898</v>
      </c>
      <c r="U452" s="4"/>
      <c r="V452" s="4">
        <v>2.26</v>
      </c>
      <c r="W452" s="187">
        <v>0.16938528778672968</v>
      </c>
      <c r="X452" s="190">
        <v>2.1866945777824798</v>
      </c>
      <c r="Y452" s="4"/>
      <c r="Z452" s="4">
        <v>2.26</v>
      </c>
      <c r="AA452" s="187">
        <v>-0.046977431744508524</v>
      </c>
      <c r="AB452" s="190">
        <v>0.7861690198725697</v>
      </c>
      <c r="AC452" s="4"/>
      <c r="AD452" s="4">
        <v>2.26</v>
      </c>
      <c r="AE452" s="187">
        <v>0.17103569629573245</v>
      </c>
      <c r="AF452" s="190">
        <v>2.2021691210958987</v>
      </c>
      <c r="AG452" s="4"/>
      <c r="AH452" s="4"/>
    </row>
    <row r="453" ht="12.75" hidden="1" outlineLevel="1">
      <c r="A453" s="4"/>
      <c r="B453" s="4">
        <v>2.28</v>
      </c>
      <c r="C453" s="187">
        <v>0.1654124275900819</v>
      </c>
      <c r="D453" s="190">
        <v>2.1498008229062076</v>
      </c>
      <c r="E453" s="4"/>
      <c r="F453" s="4">
        <v>2.28</v>
      </c>
      <c r="G453" s="187">
        <v>0.1308876285185383</v>
      </c>
      <c r="H453" s="190">
        <v>1.8496828309684732</v>
      </c>
      <c r="I453" s="4"/>
      <c r="J453" s="4">
        <v>2.28</v>
      </c>
      <c r="K453" s="187">
        <v>0.18728652481903074</v>
      </c>
      <c r="L453" s="190">
        <v>2.3592702637919527</v>
      </c>
      <c r="M453" s="4"/>
      <c r="N453" s="4">
        <v>2.28</v>
      </c>
      <c r="O453" s="187">
        <v>0.15913454573929764</v>
      </c>
      <c r="P453" s="190">
        <v>2.092518212421014</v>
      </c>
      <c r="Q453" s="4"/>
      <c r="R453" s="4">
        <v>2.28</v>
      </c>
      <c r="S453" s="187">
        <v>0.07608552821119896</v>
      </c>
      <c r="T453" s="190">
        <v>1.4428924269705379</v>
      </c>
      <c r="U453" s="4"/>
      <c r="V453" s="4">
        <v>2.28</v>
      </c>
      <c r="W453" s="187">
        <v>0.16898208228712197</v>
      </c>
      <c r="X453" s="190">
        <v>2.1829273015699426</v>
      </c>
      <c r="Y453" s="4"/>
      <c r="Z453" s="4">
        <v>2.28</v>
      </c>
      <c r="AA453" s="187">
        <v>-0.05111351965448019</v>
      </c>
      <c r="AB453" s="190">
        <v>0.7692567122720079</v>
      </c>
      <c r="AC453" s="4"/>
      <c r="AD453" s="4">
        <v>2.28</v>
      </c>
      <c r="AE453" s="187">
        <v>0.17071169149680832</v>
      </c>
      <c r="AF453" s="190">
        <v>2.1991243008492285</v>
      </c>
      <c r="AG453" s="4"/>
      <c r="AH453" s="4"/>
    </row>
    <row r="454" ht="12.75" hidden="1" outlineLevel="1">
      <c r="A454" s="4"/>
      <c r="B454" s="4">
        <v>2.3</v>
      </c>
      <c r="C454" s="187">
        <v>0.16499531834527703</v>
      </c>
      <c r="D454" s="190">
        <v>2.145956432137196</v>
      </c>
      <c r="E454" s="4"/>
      <c r="F454" s="4">
        <v>2.3</v>
      </c>
      <c r="G454" s="187">
        <v>0.13011734229447613</v>
      </c>
      <c r="H454" s="190">
        <v>1.8433919955686096</v>
      </c>
      <c r="I454" s="4"/>
      <c r="J454" s="4">
        <v>2.3</v>
      </c>
      <c r="K454" s="187">
        <v>0.18706295961895214</v>
      </c>
      <c r="L454" s="190">
        <v>2.357049855669081</v>
      </c>
      <c r="M454" s="4"/>
      <c r="N454" s="4">
        <v>2.3</v>
      </c>
      <c r="O454" s="187">
        <v>0.1586288717769604</v>
      </c>
      <c r="P454" s="190">
        <v>2.0879578740229605</v>
      </c>
      <c r="Q454" s="4"/>
      <c r="R454" s="4">
        <v>2.3</v>
      </c>
      <c r="S454" s="187">
        <v>0.07455098730640985</v>
      </c>
      <c r="T454" s="190">
        <v>1.4326336167702864</v>
      </c>
      <c r="U454" s="4"/>
      <c r="V454" s="4">
        <v>2.3</v>
      </c>
      <c r="W454" s="187">
        <v>0.168578319723939</v>
      </c>
      <c r="X454" s="190">
        <v>2.179160025357405</v>
      </c>
      <c r="Y454" s="4"/>
      <c r="Z454" s="4">
        <v>2.3</v>
      </c>
      <c r="AA454" s="187">
        <v>-0.05532300579202776</v>
      </c>
      <c r="AB454" s="190">
        <v>0.752344404671446</v>
      </c>
      <c r="AC454" s="4"/>
      <c r="AD454" s="4">
        <v>2.3</v>
      </c>
      <c r="AE454" s="187">
        <v>0.17038824462496227</v>
      </c>
      <c r="AF454" s="190">
        <v>2.1960880838601335</v>
      </c>
      <c r="AG454" s="4"/>
      <c r="AH454" s="4"/>
    </row>
    <row r="455" ht="12.75" hidden="1" outlineLevel="1">
      <c r="A455" s="4"/>
      <c r="B455" s="4">
        <v>2.32</v>
      </c>
      <c r="C455" s="187">
        <v>0.16457800364436026</v>
      </c>
      <c r="D455" s="190">
        <v>2.1421156535627186</v>
      </c>
      <c r="E455" s="4"/>
      <c r="F455" s="4">
        <v>2.32</v>
      </c>
      <c r="G455" s="187">
        <v>0.12934577870631636</v>
      </c>
      <c r="H455" s="190">
        <v>1.8371078986318623</v>
      </c>
      <c r="I455" s="4"/>
      <c r="J455" s="4">
        <v>2.32</v>
      </c>
      <c r="K455" s="187">
        <v>0.18683922587150548</v>
      </c>
      <c r="L455" s="190">
        <v>2.3548294475462113</v>
      </c>
      <c r="M455" s="4"/>
      <c r="N455" s="4">
        <v>2.32</v>
      </c>
      <c r="O455" s="187">
        <v>0.15812231348153283</v>
      </c>
      <c r="P455" s="190">
        <v>2.0833975356249055</v>
      </c>
      <c r="Q455" s="4"/>
      <c r="R455" s="4">
        <v>2.32</v>
      </c>
      <c r="S455" s="187">
        <v>0.07300763022914247</v>
      </c>
      <c r="T455" s="190">
        <v>1.4223748065700343</v>
      </c>
      <c r="U455" s="4"/>
      <c r="V455" s="4">
        <v>2.32</v>
      </c>
      <c r="W455" s="187">
        <v>0.1681739983625128</v>
      </c>
      <c r="X455" s="190">
        <v>2.175392749144867</v>
      </c>
      <c r="Y455" s="4"/>
      <c r="Z455" s="4">
        <v>2.32</v>
      </c>
      <c r="AA455" s="187">
        <v>-0.05960888744422155</v>
      </c>
      <c r="AB455" s="190">
        <v>0.7354320970708846</v>
      </c>
      <c r="AC455" s="4"/>
      <c r="AD455" s="4">
        <v>2.32</v>
      </c>
      <c r="AE455" s="187">
        <v>0.1700653539447421</v>
      </c>
      <c r="AF455" s="190">
        <v>2.1930604337168003</v>
      </c>
      <c r="AG455" s="4"/>
      <c r="AH455" s="4"/>
    </row>
    <row r="456" ht="12.75" hidden="1" outlineLevel="1">
      <c r="A456" s="4"/>
      <c r="B456" s="4">
        <v>2.34</v>
      </c>
      <c r="C456" s="187">
        <v>0.1641604829676826</v>
      </c>
      <c r="D456" s="190">
        <v>2.1382784846240153</v>
      </c>
      <c r="E456" s="4"/>
      <c r="F456" s="4">
        <v>2.34</v>
      </c>
      <c r="G456" s="187">
        <v>0.1285729309139112</v>
      </c>
      <c r="H456" s="190">
        <v>1.8308305347658786</v>
      </c>
      <c r="I456" s="4"/>
      <c r="J456" s="4">
        <v>2.34</v>
      </c>
      <c r="K456" s="187">
        <v>0.18661532329051544</v>
      </c>
      <c r="L456" s="190">
        <v>2.35260903942334</v>
      </c>
      <c r="M456" s="4"/>
      <c r="N456" s="4">
        <v>2.34</v>
      </c>
      <c r="O456" s="187">
        <v>0.15761486736567543</v>
      </c>
      <c r="P456" s="190">
        <v>2.0788371972268513</v>
      </c>
      <c r="Q456" s="4"/>
      <c r="R456" s="4">
        <v>2.34</v>
      </c>
      <c r="S456" s="187">
        <v>0.07145534219136973</v>
      </c>
      <c r="T456" s="190">
        <v>1.4121159963697827</v>
      </c>
      <c r="U456" s="4"/>
      <c r="V456" s="4">
        <v>2.34</v>
      </c>
      <c r="W456" s="187">
        <v>0.16776911645975812</v>
      </c>
      <c r="X456" s="190">
        <v>2.171625472932329</v>
      </c>
      <c r="Y456" s="4"/>
      <c r="Z456" s="4">
        <v>2.34</v>
      </c>
      <c r="AA456" s="187">
        <v>-0.06397435672381158</v>
      </c>
      <c r="AB456" s="190">
        <v>0.7185197894703231</v>
      </c>
      <c r="AC456" s="4"/>
      <c r="AD456" s="4">
        <v>2.34</v>
      </c>
      <c r="AE456" s="187">
        <v>0.16974301772852818</v>
      </c>
      <c r="AF456" s="190">
        <v>2.190041314212599</v>
      </c>
      <c r="AG456" s="4"/>
      <c r="AH456" s="4"/>
    </row>
    <row r="457" ht="12.75" hidden="1" outlineLevel="1">
      <c r="A457" s="4"/>
      <c r="B457" s="4">
        <v>2.36</v>
      </c>
      <c r="C457" s="187">
        <v>0.16374275579374697</v>
      </c>
      <c r="D457" s="190">
        <v>2.1344449227635276</v>
      </c>
      <c r="E457" s="4"/>
      <c r="F457" s="4">
        <v>2.36</v>
      </c>
      <c r="G457" s="187">
        <v>0.1277987920221133</v>
      </c>
      <c r="H457" s="190">
        <v>1.8245598985811757</v>
      </c>
      <c r="I457" s="4"/>
      <c r="J457" s="4">
        <v>2.36</v>
      </c>
      <c r="K457" s="187">
        <v>0.18639125158905023</v>
      </c>
      <c r="L457" s="190">
        <v>2.350388631300468</v>
      </c>
      <c r="M457" s="4"/>
      <c r="N457" s="4">
        <v>2.36</v>
      </c>
      <c r="O457" s="187">
        <v>0.15710652992060847</v>
      </c>
      <c r="P457" s="190">
        <v>2.0742768588287968</v>
      </c>
      <c r="Q457" s="4"/>
      <c r="R457" s="4">
        <v>2.36</v>
      </c>
      <c r="S457" s="187">
        <v>0.06989400606324403</v>
      </c>
      <c r="T457" s="190">
        <v>1.401857186169532</v>
      </c>
      <c r="U457" s="4"/>
      <c r="V457" s="4">
        <v>2.36</v>
      </c>
      <c r="W457" s="187">
        <v>0.16736367226411697</v>
      </c>
      <c r="X457" s="190">
        <v>2.167858196719792</v>
      </c>
      <c r="Y457" s="4"/>
      <c r="Z457" s="4">
        <v>2.36</v>
      </c>
      <c r="AA457" s="187">
        <v>-0.06842281816526663</v>
      </c>
      <c r="AB457" s="190">
        <v>0.7016074818697613</v>
      </c>
      <c r="AC457" s="4"/>
      <c r="AD457" s="4">
        <v>2.36</v>
      </c>
      <c r="AE457" s="187">
        <v>0.16942123425648714</v>
      </c>
      <c r="AF457" s="190">
        <v>2.1870306893446454</v>
      </c>
      <c r="AG457" s="4"/>
      <c r="AH457" s="4"/>
    </row>
    <row r="458" ht="12.75" hidden="1" outlineLevel="1">
      <c r="A458" s="4"/>
      <c r="B458" s="4">
        <v>2.38</v>
      </c>
      <c r="C458" s="187">
        <v>0.16332482159919848</v>
      </c>
      <c r="D458" s="190">
        <v>2.130614965424887</v>
      </c>
      <c r="E458" s="4"/>
      <c r="F458" s="4">
        <v>2.38</v>
      </c>
      <c r="G458" s="187">
        <v>0.12702335508017537</v>
      </c>
      <c r="H458" s="190">
        <v>1.818295984691119</v>
      </c>
      <c r="I458" s="4"/>
      <c r="J458" s="4">
        <v>2.38</v>
      </c>
      <c r="K458" s="187">
        <v>0.18616701047941975</v>
      </c>
      <c r="L458" s="190">
        <v>2.348168223177599</v>
      </c>
      <c r="M458" s="4"/>
      <c r="N458" s="4">
        <v>2.38</v>
      </c>
      <c r="O458" s="187">
        <v>0.15659729761593377</v>
      </c>
      <c r="P458" s="190">
        <v>2.069716520430743</v>
      </c>
      <c r="Q458" s="4"/>
      <c r="R458" s="4">
        <v>2.38</v>
      </c>
      <c r="S458" s="187">
        <v>0.0683235023077795</v>
      </c>
      <c r="T458" s="190">
        <v>1.3915983759692798</v>
      </c>
      <c r="U458" s="4"/>
      <c r="V458" s="4">
        <v>2.38</v>
      </c>
      <c r="W458" s="187">
        <v>0.16695766401550283</v>
      </c>
      <c r="X458" s="190">
        <v>2.1640909205072543</v>
      </c>
      <c r="Y458" s="4"/>
      <c r="Z458" s="4">
        <v>2.38</v>
      </c>
      <c r="AA458" s="187">
        <v>-0.07295790837724458</v>
      </c>
      <c r="AB458" s="190">
        <v>0.6846951742691999</v>
      </c>
      <c r="AC458" s="4"/>
      <c r="AD458" s="4">
        <v>2.38</v>
      </c>
      <c r="AE458" s="187">
        <v>0.16910000181652518</v>
      </c>
      <c r="AF458" s="190">
        <v>2.1840285233123646</v>
      </c>
      <c r="AG458" s="4"/>
      <c r="AH458" s="4"/>
    </row>
    <row r="459" ht="12.75" hidden="1" outlineLevel="1">
      <c r="A459" s="4"/>
      <c r="B459" s="4">
        <v>2.4</v>
      </c>
      <c r="C459" s="187">
        <v>0.16290667985881813</v>
      </c>
      <c r="D459" s="190">
        <v>2.1267886100529343</v>
      </c>
      <c r="E459" s="4"/>
      <c r="F459" s="4">
        <v>2.4</v>
      </c>
      <c r="G459" s="187">
        <v>0.12624661308114682</v>
      </c>
      <c r="H459" s="190">
        <v>1.8120387877119424</v>
      </c>
      <c r="I459" s="4"/>
      <c r="J459" s="4">
        <v>2.4</v>
      </c>
      <c r="K459" s="187">
        <v>0.18594259967317028</v>
      </c>
      <c r="L459" s="190">
        <v>2.3459478150547266</v>
      </c>
      <c r="M459" s="4"/>
      <c r="N459" s="4">
        <v>2.4</v>
      </c>
      <c r="O459" s="187">
        <v>0.15608716689945368</v>
      </c>
      <c r="P459" s="190">
        <v>2.0651561820326885</v>
      </c>
      <c r="Q459" s="4"/>
      <c r="R459" s="4">
        <v>2.4</v>
      </c>
      <c r="S459" s="187">
        <v>0.06674370891322123</v>
      </c>
      <c r="T459" s="190">
        <v>1.381339565769028</v>
      </c>
      <c r="U459" s="4"/>
      <c r="V459" s="4">
        <v>2.4</v>
      </c>
      <c r="W459" s="187">
        <v>0.16655108994524404</v>
      </c>
      <c r="X459" s="190">
        <v>2.1603236442947167</v>
      </c>
      <c r="Y459" s="4"/>
      <c r="Z459" s="4">
        <v>2.4</v>
      </c>
      <c r="AA459" s="187">
        <v>-0.0775835180491602</v>
      </c>
      <c r="AB459" s="190">
        <v>0.6677828666686381</v>
      </c>
      <c r="AC459" s="4"/>
      <c r="AD459" s="4">
        <v>2.4</v>
      </c>
      <c r="AE459" s="187">
        <v>0.168779318704243</v>
      </c>
      <c r="AF459" s="190">
        <v>2.181034780516075</v>
      </c>
      <c r="AG459" s="4"/>
      <c r="AH459" s="4"/>
    </row>
    <row r="460" ht="12.75" hidden="1" outlineLevel="1">
      <c r="A460" s="4"/>
      <c r="B460" s="4">
        <v>2.42</v>
      </c>
      <c r="C460" s="187">
        <v>0.16248833004551133</v>
      </c>
      <c r="D460" s="190">
        <v>2.122965854093704</v>
      </c>
      <c r="E460" s="4"/>
      <c r="F460" s="4">
        <v>2.42</v>
      </c>
      <c r="G460" s="187">
        <v>0.12546855896125586</v>
      </c>
      <c r="H460" s="190">
        <v>1.8057883022627321</v>
      </c>
      <c r="I460" s="4"/>
      <c r="J460" s="4">
        <v>2.42</v>
      </c>
      <c r="K460" s="187">
        <v>0.18571801888108475</v>
      </c>
      <c r="L460" s="190">
        <v>2.343727406931856</v>
      </c>
      <c r="M460" s="4"/>
      <c r="N460" s="4">
        <v>2.42</v>
      </c>
      <c r="O460" s="187">
        <v>0.15557613419698746</v>
      </c>
      <c r="P460" s="190">
        <v>2.060595843634632</v>
      </c>
      <c r="Q460" s="4"/>
      <c r="R460" s="4">
        <v>2.42</v>
      </c>
      <c r="S460" s="187">
        <v>0.06515450132299239</v>
      </c>
      <c r="T460" s="190">
        <v>1.3710807555687763</v>
      </c>
      <c r="U460" s="4"/>
      <c r="V460" s="4">
        <v>2.42</v>
      </c>
      <c r="W460" s="187">
        <v>0.1661439482760263</v>
      </c>
      <c r="X460" s="190">
        <v>2.156556368082179</v>
      </c>
      <c r="Y460" s="4"/>
      <c r="Z460" s="4">
        <v>2.42</v>
      </c>
      <c r="AA460" s="187">
        <v>-0.08230381666132813</v>
      </c>
      <c r="AB460" s="190">
        <v>0.6508705590680766</v>
      </c>
      <c r="AC460" s="4"/>
      <c r="AD460" s="4">
        <v>2.42</v>
      </c>
      <c r="AE460" s="187">
        <v>0.16845918322289033</v>
      </c>
      <c r="AF460" s="190">
        <v>2.178049425555582</v>
      </c>
      <c r="AG460" s="4"/>
      <c r="AH460" s="4"/>
    </row>
    <row r="461" ht="12.75" hidden="1" outlineLevel="1">
      <c r="A461" s="4"/>
      <c r="B461" s="4">
        <v>2.44</v>
      </c>
      <c r="C461" s="187">
        <v>0.16206977163029967</v>
      </c>
      <c r="D461" s="190">
        <v>2.119146694994424</v>
      </c>
      <c r="E461" s="4"/>
      <c r="F461" s="4">
        <v>2.44</v>
      </c>
      <c r="G461" s="187">
        <v>0.12468918559928888</v>
      </c>
      <c r="H461" s="190">
        <v>1.7995445229654363</v>
      </c>
      <c r="I461" s="4"/>
      <c r="J461" s="4">
        <v>2.44</v>
      </c>
      <c r="K461" s="187">
        <v>0.18549326781317754</v>
      </c>
      <c r="L461" s="190">
        <v>2.3415069988089847</v>
      </c>
      <c r="M461" s="4"/>
      <c r="N461" s="4">
        <v>2.44</v>
      </c>
      <c r="O461" s="187">
        <v>0.15506419591218723</v>
      </c>
      <c r="P461" s="190">
        <v>2.056035505236578</v>
      </c>
      <c r="Q461" s="4"/>
      <c r="R461" s="4">
        <v>2.44</v>
      </c>
      <c r="S461" s="187">
        <v>0.06355575236311872</v>
      </c>
      <c r="T461" s="190">
        <v>1.3608219453685246</v>
      </c>
      <c r="U461" s="4"/>
      <c r="V461" s="4">
        <v>2.44</v>
      </c>
      <c r="W461" s="187">
        <v>0.16573623722183695</v>
      </c>
      <c r="X461" s="190">
        <v>2.1527890918696415</v>
      </c>
      <c r="Y461" s="4"/>
      <c r="Z461" s="4">
        <v>2.44</v>
      </c>
      <c r="AA461" s="187">
        <v>-0.08712328031059546</v>
      </c>
      <c r="AB461" s="190">
        <v>0.6339582514675147</v>
      </c>
      <c r="AC461" s="4"/>
      <c r="AD461" s="4">
        <v>2.44</v>
      </c>
      <c r="AE461" s="187">
        <v>0.16813959368332143</v>
      </c>
      <c r="AF461" s="190">
        <v>2.1750724232287784</v>
      </c>
      <c r="AG461" s="4"/>
      <c r="AH461" s="4"/>
    </row>
    <row r="462" ht="12.75" hidden="1" outlineLevel="1">
      <c r="A462" s="4"/>
      <c r="B462" s="4">
        <v>2.46</v>
      </c>
      <c r="C462" s="187">
        <v>0.1616510040823127</v>
      </c>
      <c r="D462" s="190">
        <v>2.1153311302035207</v>
      </c>
      <c r="E462" s="4"/>
      <c r="F462" s="4">
        <v>2.46</v>
      </c>
      <c r="G462" s="187">
        <v>0.12390848581595759</v>
      </c>
      <c r="H462" s="190">
        <v>1.7933074444448605</v>
      </c>
      <c r="I462" s="4"/>
      <c r="J462" s="4">
        <v>2.46</v>
      </c>
      <c r="K462" s="187">
        <v>0.18526834617869414</v>
      </c>
      <c r="L462" s="190">
        <v>2.3392865906861147</v>
      </c>
      <c r="M462" s="4"/>
      <c r="N462" s="4">
        <v>2.46</v>
      </c>
      <c r="O462" s="187">
        <v>0.154551348426349</v>
      </c>
      <c r="P462" s="190">
        <v>2.0514751668385243</v>
      </c>
      <c r="Q462" s="4"/>
      <c r="R462" s="4">
        <v>2.46</v>
      </c>
      <c r="S462" s="187">
        <v>0.06194733216701964</v>
      </c>
      <c r="T462" s="190">
        <v>1.350563135168273</v>
      </c>
      <c r="U462" s="4"/>
      <c r="V462" s="4">
        <v>2.46</v>
      </c>
      <c r="W462" s="187">
        <v>0.16532795498790476</v>
      </c>
      <c r="X462" s="190">
        <v>2.1490218156571035</v>
      </c>
      <c r="Y462" s="4"/>
      <c r="Z462" s="4">
        <v>2.46</v>
      </c>
      <c r="AA462" s="187">
        <v>-0.09204672313893658</v>
      </c>
      <c r="AB462" s="190">
        <v>0.6170459438669529</v>
      </c>
      <c r="AC462" s="4"/>
      <c r="AD462" s="4">
        <v>2.46</v>
      </c>
      <c r="AE462" s="187">
        <v>0.1678205484039499</v>
      </c>
      <c r="AF462" s="190">
        <v>2.1721037385302684</v>
      </c>
      <c r="AG462" s="4"/>
      <c r="AH462" s="4"/>
    </row>
    <row r="463" ht="12.75" hidden="1" outlineLevel="1">
      <c r="A463" s="4"/>
      <c r="B463" s="4">
        <v>2.48</v>
      </c>
      <c r="C463" s="187">
        <v>0.1612320268687788</v>
      </c>
      <c r="D463" s="190">
        <v>2.111519157170626</v>
      </c>
      <c r="E463" s="4"/>
      <c r="F463" s="4">
        <v>2.48</v>
      </c>
      <c r="G463" s="187">
        <v>0.12312645237325737</v>
      </c>
      <c r="H463" s="190">
        <v>1.7870770613286628</v>
      </c>
      <c r="I463" s="4"/>
      <c r="J463" s="4">
        <v>2.48</v>
      </c>
      <c r="K463" s="187">
        <v>0.1850432536861053</v>
      </c>
      <c r="L463" s="190">
        <v>2.337066182563243</v>
      </c>
      <c r="M463" s="4"/>
      <c r="N463" s="4">
        <v>2.48</v>
      </c>
      <c r="O463" s="187">
        <v>0.15403758809822543</v>
      </c>
      <c r="P463" s="190">
        <v>2.0469148284404697</v>
      </c>
      <c r="Q463" s="4"/>
      <c r="R463" s="4">
        <v>2.48</v>
      </c>
      <c r="S463" s="187">
        <v>0.0603291080975481</v>
      </c>
      <c r="T463" s="190">
        <v>1.3403043249680207</v>
      </c>
      <c r="U463" s="4"/>
      <c r="V463" s="4">
        <v>2.48</v>
      </c>
      <c r="W463" s="187">
        <v>0.16491909977064356</v>
      </c>
      <c r="X463" s="190">
        <v>2.1452545394445663</v>
      </c>
      <c r="Y463" s="4"/>
      <c r="Z463" s="4">
        <v>2.48</v>
      </c>
      <c r="AA463" s="187">
        <v>-0.09707933294440552</v>
      </c>
      <c r="AB463" s="190">
        <v>0.6001336362663915</v>
      </c>
      <c r="AC463" s="4"/>
      <c r="AD463" s="4">
        <v>2.48</v>
      </c>
      <c r="AE463" s="187">
        <v>0.1675020457107037</v>
      </c>
      <c r="AF463" s="190">
        <v>2.169143336649986</v>
      </c>
      <c r="AG463" s="4"/>
      <c r="AH463" s="4"/>
    </row>
    <row r="464" ht="12.75" hidden="1" outlineLevel="1">
      <c r="A464" s="4"/>
      <c r="B464" s="4">
        <v>2.5</v>
      </c>
      <c r="C464" s="187">
        <v>0.1608128394550159</v>
      </c>
      <c r="D464" s="190">
        <v>2.1077107733465597</v>
      </c>
      <c r="E464" s="4"/>
      <c r="F464" s="4">
        <v>2.5</v>
      </c>
      <c r="G464" s="187">
        <v>0.12234307797381883</v>
      </c>
      <c r="H464" s="190">
        <v>1.7808533682473555</v>
      </c>
      <c r="I464" s="4"/>
      <c r="J464" s="4">
        <v>2.5</v>
      </c>
      <c r="K464" s="187">
        <v>0.18481799004310728</v>
      </c>
      <c r="L464" s="190">
        <v>2.334845774440372</v>
      </c>
      <c r="M464" s="4"/>
      <c r="N464" s="4">
        <v>2.5</v>
      </c>
      <c r="O464" s="187">
        <v>0.15352291126383455</v>
      </c>
      <c r="P464" s="190">
        <v>2.0423544900424146</v>
      </c>
      <c r="Q464" s="4"/>
      <c r="R464" s="4">
        <v>2.5</v>
      </c>
      <c r="S464" s="187">
        <v>0.058700944666157495</v>
      </c>
      <c r="T464" s="190">
        <v>1.3300455147677697</v>
      </c>
      <c r="U464" s="4"/>
      <c r="V464" s="4">
        <v>2.5</v>
      </c>
      <c r="W464" s="187">
        <v>0.1645096697575925</v>
      </c>
      <c r="X464" s="190">
        <v>2.1414872632320288</v>
      </c>
      <c r="Y464" s="4"/>
      <c r="Z464" s="4">
        <v>2.5</v>
      </c>
      <c r="AA464" s="187">
        <v>-0.10222671166619379</v>
      </c>
      <c r="AB464" s="190">
        <v>0.5832213286658297</v>
      </c>
      <c r="AC464" s="4"/>
      <c r="AD464" s="4">
        <v>2.5</v>
      </c>
      <c r="AE464" s="187">
        <v>0.16718408393698292</v>
      </c>
      <c r="AF464" s="190">
        <v>2.1661911829718403</v>
      </c>
      <c r="AG464" s="4"/>
      <c r="AH464" s="4"/>
    </row>
    <row r="465" ht="12.75" hidden="1" outlineLevel="1">
      <c r="A465" s="4"/>
      <c r="B465" s="4">
        <v>2.52</v>
      </c>
      <c r="C465" s="187">
        <v>0.16039344130442146</v>
      </c>
      <c r="D465" s="190">
        <v>2.1039059761833374</v>
      </c>
      <c r="E465" s="4"/>
      <c r="F465" s="4">
        <v>2.52</v>
      </c>
      <c r="G465" s="187">
        <v>0.12155835526024972</v>
      </c>
      <c r="H465" s="190">
        <v>1.7746363598343098</v>
      </c>
      <c r="I465" s="4"/>
      <c r="J465" s="4">
        <v>2.52</v>
      </c>
      <c r="K465" s="187">
        <v>0.18459255495661742</v>
      </c>
      <c r="L465" s="190">
        <v>2.3326253663175027</v>
      </c>
      <c r="M465" s="4"/>
      <c r="N465" s="4">
        <v>2.52</v>
      </c>
      <c r="O465" s="187">
        <v>0.15300731423626646</v>
      </c>
      <c r="P465" s="190">
        <v>2.037794151644361</v>
      </c>
      <c r="Q465" s="4"/>
      <c r="R465" s="4">
        <v>2.52</v>
      </c>
      <c r="S465" s="187">
        <v>0.05706270344906561</v>
      </c>
      <c r="T465" s="190">
        <v>1.3197867045675176</v>
      </c>
      <c r="U465" s="4"/>
      <c r="V465" s="4">
        <v>2.52</v>
      </c>
      <c r="W465" s="187">
        <v>0.16409966312735635</v>
      </c>
      <c r="X465" s="190">
        <v>2.1377199870194907</v>
      </c>
      <c r="Y465" s="4"/>
      <c r="Z465" s="4">
        <v>2.52</v>
      </c>
      <c r="AA465" s="187">
        <v>-0.1074949215736325</v>
      </c>
      <c r="AB465" s="190">
        <v>0.5663090210652681</v>
      </c>
      <c r="AC465" s="4"/>
      <c r="AD465" s="4">
        <v>2.52</v>
      </c>
      <c r="AE465" s="187">
        <v>0.16686666142361473</v>
      </c>
      <c r="AF465" s="190">
        <v>2.1632472430723677</v>
      </c>
      <c r="AG465" s="4"/>
      <c r="AH465" s="4"/>
    </row>
    <row r="466" ht="12.75" hidden="1" outlineLevel="1">
      <c r="A466" s="4"/>
      <c r="B466" s="4">
        <v>2.54</v>
      </c>
      <c r="C466" s="187">
        <v>0.1599738318784658</v>
      </c>
      <c r="D466" s="190">
        <v>2.1001047631341794</v>
      </c>
      <c r="E466" s="4"/>
      <c r="F466" s="4">
        <v>2.54</v>
      </c>
      <c r="G466" s="187">
        <v>0.12077227681446501</v>
      </c>
      <c r="H466" s="190">
        <v>1.7684260307257444</v>
      </c>
      <c r="I466" s="4"/>
      <c r="J466" s="4">
        <v>2.54</v>
      </c>
      <c r="K466" s="187">
        <v>0.18436694813277077</v>
      </c>
      <c r="L466" s="190">
        <v>2.33040495819463</v>
      </c>
      <c r="M466" s="4"/>
      <c r="N466" s="4">
        <v>2.54</v>
      </c>
      <c r="O466" s="187">
        <v>0.1524907933054871</v>
      </c>
      <c r="P466" s="190">
        <v>2.033233813246307</v>
      </c>
      <c r="Q466" s="4"/>
      <c r="R466" s="4">
        <v>2.54</v>
      </c>
      <c r="S466" s="187">
        <v>0.055414243000283525</v>
      </c>
      <c r="T466" s="190">
        <v>1.3095278943672661</v>
      </c>
      <c r="U466" s="4"/>
      <c r="V466" s="4">
        <v>2.54</v>
      </c>
      <c r="W466" s="187">
        <v>0.16368907804954635</v>
      </c>
      <c r="X466" s="190">
        <v>2.133952710806953</v>
      </c>
      <c r="Y466" s="4"/>
      <c r="Z466" s="4">
        <v>2.54</v>
      </c>
      <c r="AA466" s="187">
        <v>-0.11289053815965067</v>
      </c>
      <c r="AB466" s="190">
        <v>0.5493967134647068</v>
      </c>
      <c r="AC466" s="4"/>
      <c r="AD466" s="4">
        <v>2.54</v>
      </c>
      <c r="AE466" s="187">
        <v>0.1665497765188102</v>
      </c>
      <c r="AF466" s="190">
        <v>2.160311482719389</v>
      </c>
      <c r="AG466" s="4"/>
      <c r="AH466" s="4"/>
    </row>
    <row r="467" ht="12.75" hidden="1" outlineLevel="1">
      <c r="A467" s="4"/>
      <c r="B467" s="4">
        <v>2.56</v>
      </c>
      <c r="C467" s="187">
        <v>0.1595540106366795</v>
      </c>
      <c r="D467" s="190">
        <v>2.09630713165349</v>
      </c>
      <c r="E467" s="4"/>
      <c r="F467" s="4">
        <v>2.56</v>
      </c>
      <c r="G467" s="187">
        <v>0.11998483515701164</v>
      </c>
      <c r="H467" s="190">
        <v>1.7622223755607365</v>
      </c>
      <c r="I467" s="4"/>
      <c r="J467" s="4">
        <v>2.56</v>
      </c>
      <c r="K467" s="187">
        <v>0.18414116927691926</v>
      </c>
      <c r="L467" s="190">
        <v>2.328184550071759</v>
      </c>
      <c r="M467" s="4"/>
      <c r="N467" s="4">
        <v>2.56</v>
      </c>
      <c r="O467" s="187">
        <v>0.15197334473814283</v>
      </c>
      <c r="P467" s="190">
        <v>2.0286734748482504</v>
      </c>
      <c r="Q467" s="4"/>
      <c r="R467" s="4">
        <v>2.56</v>
      </c>
      <c r="S467" s="187">
        <v>0.053755418761359364</v>
      </c>
      <c r="T467" s="190">
        <v>1.2992690841670136</v>
      </c>
      <c r="U467" s="4"/>
      <c r="V467" s="4">
        <v>2.56</v>
      </c>
      <c r="W467" s="187">
        <v>0.16327791268471947</v>
      </c>
      <c r="X467" s="190">
        <v>2.130185434594416</v>
      </c>
      <c r="Y467" s="4"/>
      <c r="Z467" s="4">
        <v>2.56</v>
      </c>
      <c r="AA467" s="187">
        <v>-0.11842071095138496</v>
      </c>
      <c r="AB467" s="190">
        <v>0.5324844058641449</v>
      </c>
      <c r="AC467" s="4"/>
      <c r="AD467" s="4">
        <v>2.56</v>
      </c>
      <c r="AE467" s="187">
        <v>0.16623342757812098</v>
      </c>
      <c r="AF467" s="190">
        <v>2.157383867870683</v>
      </c>
      <c r="AG467" s="4"/>
      <c r="AH467" s="4"/>
    </row>
    <row r="468" ht="12.75" hidden="1" outlineLevel="1">
      <c r="A468" s="4"/>
      <c r="B468" s="4">
        <v>2.58</v>
      </c>
      <c r="C468" s="187">
        <v>0.15913397703664733</v>
      </c>
      <c r="D468" s="190">
        <v>2.0925130791968787</v>
      </c>
      <c r="E468" s="4"/>
      <c r="F468" s="4">
        <v>2.58</v>
      </c>
      <c r="G468" s="187">
        <v>0.11919602274638064</v>
      </c>
      <c r="H468" s="190">
        <v>1.756025388981214</v>
      </c>
      <c r="I468" s="4"/>
      <c r="J468" s="4">
        <v>2.58</v>
      </c>
      <c r="K468" s="187">
        <v>0.1839152180936272</v>
      </c>
      <c r="L468" s="190">
        <v>2.325964141948891</v>
      </c>
      <c r="M468" s="4"/>
      <c r="N468" s="4">
        <v>2.58</v>
      </c>
      <c r="O468" s="187">
        <v>0.15145496477736065</v>
      </c>
      <c r="P468" s="190">
        <v>2.0241131364501963</v>
      </c>
      <c r="Q468" s="4"/>
      <c r="R468" s="4">
        <v>2.58</v>
      </c>
      <c r="S468" s="187">
        <v>0.05208608296769501</v>
      </c>
      <c r="T468" s="190">
        <v>1.2890102739667626</v>
      </c>
      <c r="U468" s="4"/>
      <c r="V468" s="4">
        <v>2.58</v>
      </c>
      <c r="W468" s="187">
        <v>0.1628661651843175</v>
      </c>
      <c r="X468" s="190">
        <v>2.1264181583818775</v>
      </c>
      <c r="Y468" s="4"/>
      <c r="Z468" s="4">
        <v>2.58</v>
      </c>
      <c r="AA468" s="187">
        <v>-0.12409323371611813</v>
      </c>
      <c r="AB468" s="190">
        <v>0.5155720982635831</v>
      </c>
      <c r="AC468" s="4"/>
      <c r="AD468" s="4">
        <v>2.58</v>
      </c>
      <c r="AE468" s="187">
        <v>0.16591761296439844</v>
      </c>
      <c r="AF468" s="190">
        <v>2.1544643646726787</v>
      </c>
      <c r="AG468" s="4"/>
      <c r="AH468" s="4"/>
    </row>
    <row r="469" ht="12.75" hidden="1" outlineLevel="1">
      <c r="A469" s="4"/>
      <c r="B469" s="4">
        <v>2.6</v>
      </c>
      <c r="C469" s="187">
        <v>0.15871373053399762</v>
      </c>
      <c r="D469" s="190">
        <v>2.0887226032211483</v>
      </c>
      <c r="E469" s="4"/>
      <c r="F469" s="4">
        <v>2.6</v>
      </c>
      <c r="G469" s="187">
        <v>0.11840583197831034</v>
      </c>
      <c r="H469" s="190">
        <v>1.749835065631956</v>
      </c>
      <c r="I469" s="4"/>
      <c r="J469" s="4">
        <v>2.6</v>
      </c>
      <c r="K469" s="187">
        <v>0.18368909428666846</v>
      </c>
      <c r="L469" s="190">
        <v>2.3237437338260167</v>
      </c>
      <c r="M469" s="4"/>
      <c r="N469" s="4">
        <v>2.6</v>
      </c>
      <c r="O469" s="187">
        <v>0.15093564964254536</v>
      </c>
      <c r="P469" s="190">
        <v>2.019552798052143</v>
      </c>
      <c r="Q469" s="4"/>
      <c r="R469" s="4">
        <v>2.6</v>
      </c>
      <c r="S469" s="187">
        <v>0.05040608455126794</v>
      </c>
      <c r="T469" s="190">
        <v>1.2787514637665105</v>
      </c>
      <c r="U469" s="4"/>
      <c r="V469" s="4">
        <v>2.6</v>
      </c>
      <c r="W469" s="187">
        <v>0.16245383369060584</v>
      </c>
      <c r="X469" s="190">
        <v>2.1226508821693404</v>
      </c>
      <c r="Y469" s="4"/>
      <c r="Z469" s="4">
        <v>2.6</v>
      </c>
      <c r="AA469" s="187">
        <v>-0.12991662587509145</v>
      </c>
      <c r="AB469" s="190">
        <v>0.4986597906630216</v>
      </c>
      <c r="AC469" s="4"/>
      <c r="AD469" s="4">
        <v>2.6</v>
      </c>
      <c r="AE469" s="187">
        <v>0.1656023310477479</v>
      </c>
      <c r="AF469" s="190">
        <v>2.151552939459137</v>
      </c>
      <c r="AG469" s="4"/>
      <c r="AH469" s="4"/>
    </row>
    <row r="470" ht="12.75" hidden="1" outlineLevel="1">
      <c r="A470" s="4"/>
      <c r="B470" s="4">
        <v>2.62</v>
      </c>
      <c r="C470" s="187">
        <v>0.15829327058239118</v>
      </c>
      <c r="D470" s="190">
        <v>2.084935701184288</v>
      </c>
      <c r="E470" s="4"/>
      <c r="F470" s="4">
        <v>2.62</v>
      </c>
      <c r="G470" s="187">
        <v>0.11761425518507984</v>
      </c>
      <c r="H470" s="190">
        <v>1.7436514001605876</v>
      </c>
      <c r="I470" s="4"/>
      <c r="J470" s="4">
        <v>2.62</v>
      </c>
      <c r="K470" s="187">
        <v>0.18346279755902506</v>
      </c>
      <c r="L470" s="190">
        <v>2.321523325703147</v>
      </c>
      <c r="M470" s="4"/>
      <c r="N470" s="4">
        <v>2.62</v>
      </c>
      <c r="O470" s="187">
        <v>0.1504153955291765</v>
      </c>
      <c r="P470" s="190">
        <v>2.014992459654087</v>
      </c>
      <c r="Q470" s="4"/>
      <c r="R470" s="4">
        <v>2.62</v>
      </c>
      <c r="S470" s="187">
        <v>0.04871526903959955</v>
      </c>
      <c r="T470" s="190">
        <v>1.268492653566259</v>
      </c>
      <c r="U470" s="4"/>
      <c r="V470" s="4">
        <v>2.62</v>
      </c>
      <c r="W470" s="187">
        <v>0.16204091633661122</v>
      </c>
      <c r="X470" s="190">
        <v>2.118883605956803</v>
      </c>
      <c r="Y470" s="4"/>
      <c r="Z470" s="4">
        <v>2.62</v>
      </c>
      <c r="AA470" s="187">
        <v>-0.1359002273618496</v>
      </c>
      <c r="AB470" s="190">
        <v>0.48174748306245974</v>
      </c>
      <c r="AC470" s="4"/>
      <c r="AD470" s="4">
        <v>2.62</v>
      </c>
      <c r="AE470" s="187">
        <v>0.16528758020548984</v>
      </c>
      <c r="AF470" s="190">
        <v>2.1486495587498706</v>
      </c>
      <c r="AG470" s="4"/>
      <c r="AH470" s="4"/>
    </row>
    <row r="471" ht="12.75" hidden="1" outlineLevel="1">
      <c r="A471" s="4"/>
      <c r="B471" s="4">
        <v>2.64</v>
      </c>
      <c r="C471" s="187">
        <v>0.15787259663351616</v>
      </c>
      <c r="D471" s="190">
        <v>2.0811523705454977</v>
      </c>
      <c r="E471" s="4"/>
      <c r="F471" s="4">
        <v>2.64</v>
      </c>
      <c r="G471" s="187">
        <v>0.11682128463479335</v>
      </c>
      <c r="H471" s="190">
        <v>1.737474387217586</v>
      </c>
      <c r="I471" s="4"/>
      <c r="J471" s="4">
        <v>2.64</v>
      </c>
      <c r="K471" s="187">
        <v>0.18323632761288233</v>
      </c>
      <c r="L471" s="190">
        <v>2.3193029175802757</v>
      </c>
      <c r="M471" s="4"/>
      <c r="N471" s="4">
        <v>2.64</v>
      </c>
      <c r="O471" s="187">
        <v>0.14989419860860376</v>
      </c>
      <c r="P471" s="190">
        <v>2.0104321212560334</v>
      </c>
      <c r="Q471" s="4"/>
      <c r="R471" s="4">
        <v>2.64</v>
      </c>
      <c r="S471" s="187">
        <v>0.04701347845078385</v>
      </c>
      <c r="T471" s="190">
        <v>1.2582338433660074</v>
      </c>
      <c r="U471" s="4"/>
      <c r="V471" s="4">
        <v>2.64</v>
      </c>
      <c r="W471" s="187">
        <v>0.1616274112460594</v>
      </c>
      <c r="X471" s="190">
        <v>2.1151163297442643</v>
      </c>
      <c r="Y471" s="4"/>
      <c r="Z471" s="4">
        <v>2.64</v>
      </c>
      <c r="AA471" s="187">
        <v>-0.1420543097038074</v>
      </c>
      <c r="AB471" s="190">
        <v>0.4648351754618983</v>
      </c>
      <c r="AC471" s="4"/>
      <c r="AD471" s="4">
        <v>2.64</v>
      </c>
      <c r="AE471" s="187">
        <v>0.1649733588221154</v>
      </c>
      <c r="AF471" s="190">
        <v>2.1457541892494474</v>
      </c>
      <c r="AG471" s="4"/>
      <c r="AH471" s="4"/>
    </row>
    <row r="472" ht="12.75" hidden="1" outlineLevel="1">
      <c r="A472" s="4"/>
      <c r="B472" s="4">
        <v>2.66</v>
      </c>
      <c r="C472" s="187">
        <v>0.15745170813707343</v>
      </c>
      <c r="D472" s="190">
        <v>2.077372608765155</v>
      </c>
      <c r="E472" s="4"/>
      <c r="F472" s="4">
        <v>2.66</v>
      </c>
      <c r="G472" s="187">
        <v>0.116026912530653</v>
      </c>
      <c r="H472" s="190">
        <v>1.7313040214562814</v>
      </c>
      <c r="I472" s="4"/>
      <c r="J472" s="4">
        <v>2.66</v>
      </c>
      <c r="K472" s="187">
        <v>0.1830096841496276</v>
      </c>
      <c r="L472" s="190">
        <v>2.317082509457406</v>
      </c>
      <c r="M472" s="4"/>
      <c r="N472" s="4">
        <v>2.66</v>
      </c>
      <c r="O472" s="187">
        <v>0.14937205502783635</v>
      </c>
      <c r="P472" s="190">
        <v>2.005871782857979</v>
      </c>
      <c r="Q472" s="4"/>
      <c r="R472" s="4">
        <v>2.66</v>
      </c>
      <c r="S472" s="187">
        <v>0.045300551184398685</v>
      </c>
      <c r="T472" s="190">
        <v>1.2479750331657562</v>
      </c>
      <c r="U472" s="4"/>
      <c r="V472" s="4">
        <v>2.66</v>
      </c>
      <c r="W472" s="187">
        <v>0.1612133165333125</v>
      </c>
      <c r="X472" s="190">
        <v>2.1113490535317276</v>
      </c>
      <c r="Y472" s="4"/>
      <c r="Z472" s="4">
        <v>2.66</v>
      </c>
      <c r="AA472" s="187">
        <v>-0.1483902068040096</v>
      </c>
      <c r="AB472" s="190">
        <v>0.44792286786133645</v>
      </c>
      <c r="AC472" s="4"/>
      <c r="AD472" s="4">
        <v>2.66</v>
      </c>
      <c r="AE472" s="187">
        <v>0.16465966528924714</v>
      </c>
      <c r="AF472" s="190">
        <v>2.142866797845931</v>
      </c>
      <c r="AG472" s="4"/>
      <c r="AH472" s="4"/>
    </row>
    <row r="473" ht="12.75" hidden="1" outlineLevel="1">
      <c r="A473" s="4"/>
      <c r="B473" s="4">
        <v>2.68</v>
      </c>
      <c r="C473" s="187">
        <v>0.15703060454077056</v>
      </c>
      <c r="D473" s="190">
        <v>2.0735964133048395</v>
      </c>
      <c r="E473" s="4"/>
      <c r="F473" s="4">
        <v>2.68</v>
      </c>
      <c r="G473" s="187">
        <v>0.11523113101022053</v>
      </c>
      <c r="H473" s="190">
        <v>1.725140297532844</v>
      </c>
      <c r="I473" s="4"/>
      <c r="J473" s="4">
        <v>2.68</v>
      </c>
      <c r="K473" s="187">
        <v>0.18278286686984635</v>
      </c>
      <c r="L473" s="190">
        <v>2.314862101334535</v>
      </c>
      <c r="M473" s="4"/>
      <c r="N473" s="4">
        <v>2.68</v>
      </c>
      <c r="O473" s="187">
        <v>0.14884896090933464</v>
      </c>
      <c r="P473" s="190">
        <v>2.0013114444599256</v>
      </c>
      <c r="Q473" s="4"/>
      <c r="R473" s="4">
        <v>2.68</v>
      </c>
      <c r="S473" s="187">
        <v>0.04357632190809424</v>
      </c>
      <c r="T473" s="190">
        <v>1.2377162229655034</v>
      </c>
      <c r="U473" s="4"/>
      <c r="V473" s="4">
        <v>2.68</v>
      </c>
      <c r="W473" s="187">
        <v>0.16079863030330532</v>
      </c>
      <c r="X473" s="190">
        <v>2.10758177731919</v>
      </c>
      <c r="Y473" s="4"/>
      <c r="Z473" s="4">
        <v>2.68</v>
      </c>
      <c r="AA473" s="187">
        <v>-0.15492046980737373</v>
      </c>
      <c r="AB473" s="190">
        <v>0.431010560260775</v>
      </c>
      <c r="AC473" s="4"/>
      <c r="AD473" s="4">
        <v>2.68</v>
      </c>
      <c r="AE473" s="187">
        <v>0.16434649800559598</v>
      </c>
      <c r="AF473" s="190">
        <v>2.1399873516096064</v>
      </c>
      <c r="AG473" s="4"/>
      <c r="AH473" s="4"/>
    </row>
    <row r="474" ht="12.75" hidden="1" outlineLevel="1">
      <c r="A474" s="4"/>
      <c r="B474" s="4">
        <v>2.7</v>
      </c>
      <c r="C474" s="187">
        <v>0.15660928529031226</v>
      </c>
      <c r="D474" s="190">
        <v>2.06982378162733</v>
      </c>
      <c r="E474" s="4"/>
      <c r="F474" s="4">
        <v>2.7</v>
      </c>
      <c r="G474" s="187">
        <v>0.1144339321446719</v>
      </c>
      <c r="H474" s="190">
        <v>1.7189832101062965</v>
      </c>
      <c r="I474" s="4"/>
      <c r="J474" s="4">
        <v>2.7</v>
      </c>
      <c r="K474" s="187">
        <v>0.18255587547331942</v>
      </c>
      <c r="L474" s="190">
        <v>2.312641693211664</v>
      </c>
      <c r="M474" s="4"/>
      <c r="N474" s="4">
        <v>2.7</v>
      </c>
      <c r="O474" s="187">
        <v>0.1483249123507957</v>
      </c>
      <c r="P474" s="190">
        <v>1.9967511060618683</v>
      </c>
      <c r="Q474" s="4"/>
      <c r="R474" s="4">
        <v>2.7</v>
      </c>
      <c r="S474" s="187">
        <v>0.0418406214396585</v>
      </c>
      <c r="T474" s="190">
        <v>1.2274574127652529</v>
      </c>
      <c r="U474" s="4"/>
      <c r="V474" s="4">
        <v>2.7</v>
      </c>
      <c r="W474" s="187">
        <v>0.16038335065148046</v>
      </c>
      <c r="X474" s="190">
        <v>2.103814501106652</v>
      </c>
      <c r="Y474" s="4"/>
      <c r="Z474" s="4">
        <v>2.7</v>
      </c>
      <c r="AA474" s="187">
        <v>-0.16165905162550642</v>
      </c>
      <c r="AB474" s="190">
        <v>0.41409825266021316</v>
      </c>
      <c r="AC474" s="4"/>
      <c r="AD474" s="4">
        <v>2.7</v>
      </c>
      <c r="AE474" s="187">
        <v>0.16403385537692072</v>
      </c>
      <c r="AF474" s="190">
        <v>2.137115817791734</v>
      </c>
      <c r="AG474" s="4"/>
      <c r="AH474" s="4"/>
    </row>
    <row r="475" ht="12.75" hidden="1" outlineLevel="1">
      <c r="A475" s="4"/>
      <c r="B475" s="4">
        <v>2.72</v>
      </c>
      <c r="C475" s="187">
        <v>0.15618774982938777</v>
      </c>
      <c r="D475" s="190">
        <v>2.0660547111965855</v>
      </c>
      <c r="E475" s="4"/>
      <c r="F475" s="4">
        <v>2.72</v>
      </c>
      <c r="G475" s="187">
        <v>0.11363530793803611</v>
      </c>
      <c r="H475" s="190">
        <v>1.7128327538385082</v>
      </c>
      <c r="I475" s="4"/>
      <c r="J475" s="4">
        <v>2.72</v>
      </c>
      <c r="K475" s="187">
        <v>0.18232870965902093</v>
      </c>
      <c r="L475" s="190">
        <v>2.310421285088792</v>
      </c>
      <c r="M475" s="4"/>
      <c r="N475" s="4">
        <v>2.72</v>
      </c>
      <c r="O475" s="187">
        <v>0.1477999054249406</v>
      </c>
      <c r="P475" s="190">
        <v>1.9921907676638146</v>
      </c>
      <c r="Q475" s="4"/>
      <c r="R475" s="4">
        <v>2.72</v>
      </c>
      <c r="S475" s="187">
        <v>0.04009327662433093</v>
      </c>
      <c r="T475" s="190">
        <v>1.2171986025650003</v>
      </c>
      <c r="U475" s="4"/>
      <c r="V475" s="4">
        <v>2.72</v>
      </c>
      <c r="W475" s="187">
        <v>0.15996747566372505</v>
      </c>
      <c r="X475" s="190">
        <v>2.1000472248941144</v>
      </c>
      <c r="Y475" s="4"/>
      <c r="Z475" s="4">
        <v>2.72</v>
      </c>
      <c r="AA475" s="187">
        <v>-0.16862152826978793</v>
      </c>
      <c r="AB475" s="190">
        <v>0.3971859450596517</v>
      </c>
      <c r="AC475" s="4"/>
      <c r="AD475" s="4">
        <v>2.72</v>
      </c>
      <c r="AE475" s="187">
        <v>0.1637217358159886</v>
      </c>
      <c r="AF475" s="190">
        <v>2.1342521638233114</v>
      </c>
      <c r="AG475" s="4"/>
      <c r="AH475" s="4"/>
    </row>
    <row r="476" ht="12.75" hidden="1" outlineLevel="1">
      <c r="A476" s="4"/>
      <c r="B476" s="4">
        <v>2.74</v>
      </c>
      <c r="C476" s="187">
        <v>0.15576599759966347</v>
      </c>
      <c r="D476" s="190">
        <v>2.0622891994777652</v>
      </c>
      <c r="E476" s="4"/>
      <c r="F476" s="4">
        <v>2.74</v>
      </c>
      <c r="G476" s="187">
        <v>0.1128352503264276</v>
      </c>
      <c r="H476" s="190">
        <v>1.7066889233941882</v>
      </c>
      <c r="I476" s="4"/>
      <c r="J476" s="4">
        <v>2.74</v>
      </c>
      <c r="K476" s="187">
        <v>0.1821013691251141</v>
      </c>
      <c r="L476" s="190">
        <v>2.308200876965921</v>
      </c>
      <c r="M476" s="4"/>
      <c r="N476" s="4">
        <v>2.74</v>
      </c>
      <c r="O476" s="187">
        <v>0.14727393617929385</v>
      </c>
      <c r="P476" s="190">
        <v>1.987630429265761</v>
      </c>
      <c r="Q476" s="4"/>
      <c r="R476" s="4">
        <v>2.74</v>
      </c>
      <c r="S476" s="187">
        <v>0.03833411020714017</v>
      </c>
      <c r="T476" s="190">
        <v>1.2069397923647485</v>
      </c>
      <c r="U476" s="4"/>
      <c r="V476" s="4">
        <v>2.74</v>
      </c>
      <c r="W476" s="187">
        <v>0.15955100341630435</v>
      </c>
      <c r="X476" s="190">
        <v>2.096279948681577</v>
      </c>
      <c r="Y476" s="4"/>
      <c r="Z476" s="4">
        <v>2.74</v>
      </c>
      <c r="AA476" s="187">
        <v>-0.17582536625117906</v>
      </c>
      <c r="AB476" s="190">
        <v>0.3802736374590899</v>
      </c>
      <c r="AC476" s="4"/>
      <c r="AD476" s="4">
        <v>2.74</v>
      </c>
      <c r="AE476" s="187">
        <v>0.16341013774253277</v>
      </c>
      <c r="AF476" s="190">
        <v>2.1313963573138333</v>
      </c>
      <c r="AG476" s="4"/>
      <c r="AH476" s="4"/>
    </row>
    <row r="477" ht="12.75" hidden="1" outlineLevel="1">
      <c r="A477" s="4"/>
      <c r="B477" s="4">
        <v>2.76</v>
      </c>
      <c r="C477" s="187">
        <v>0.1553440280407743</v>
      </c>
      <c r="D477" s="190">
        <v>2.058527243937226</v>
      </c>
      <c r="E477" s="4"/>
      <c r="F477" s="4">
        <v>2.76</v>
      </c>
      <c r="G477" s="187">
        <v>0.11203375117726377</v>
      </c>
      <c r="H477" s="190">
        <v>1.7005517134408925</v>
      </c>
      <c r="I477" s="4"/>
      <c r="J477" s="4">
        <v>2.76</v>
      </c>
      <c r="K477" s="187">
        <v>0.18187385356894903</v>
      </c>
      <c r="L477" s="190">
        <v>2.3059804688430514</v>
      </c>
      <c r="M477" s="4"/>
      <c r="N477" s="4">
        <v>2.76</v>
      </c>
      <c r="O477" s="187">
        <v>0.14674700063596569</v>
      </c>
      <c r="P477" s="190">
        <v>1.9830700908677057</v>
      </c>
      <c r="Q477" s="4"/>
      <c r="R477" s="4">
        <v>2.76</v>
      </c>
      <c r="S477" s="187">
        <v>0.03656294070001187</v>
      </c>
      <c r="T477" s="190">
        <v>1.1966809821644975</v>
      </c>
      <c r="U477" s="4"/>
      <c r="V477" s="4">
        <v>2.76</v>
      </c>
      <c r="W477" s="187">
        <v>0.15913393197579695</v>
      </c>
      <c r="X477" s="190">
        <v>2.0925126724690393</v>
      </c>
      <c r="Y477" s="4"/>
      <c r="Z477" s="4">
        <v>2.76</v>
      </c>
      <c r="AA477" s="187">
        <v>-0.1832902481598615</v>
      </c>
      <c r="AB477" s="190">
        <v>0.3633613298585288</v>
      </c>
      <c r="AC477" s="4"/>
      <c r="AD477" s="4">
        <v>2.76</v>
      </c>
      <c r="AE477" s="187">
        <v>0.16309905958321447</v>
      </c>
      <c r="AF477" s="190">
        <v>2.12854836605008</v>
      </c>
      <c r="AG477" s="4"/>
      <c r="AH477" s="4"/>
    </row>
    <row r="478" ht="12.75" hidden="1" outlineLevel="1">
      <c r="A478" s="4"/>
      <c r="B478" s="4">
        <v>2.78</v>
      </c>
      <c r="C478" s="187">
        <v>0.1549218405903099</v>
      </c>
      <c r="D478" s="190">
        <v>2.054768842042505</v>
      </c>
      <c r="E478" s="4"/>
      <c r="F478" s="4">
        <v>2.78</v>
      </c>
      <c r="G478" s="187">
        <v>0.11123080228847648</v>
      </c>
      <c r="H478" s="190">
        <v>1.6944211186490301</v>
      </c>
      <c r="I478" s="4"/>
      <c r="J478" s="4">
        <v>2.78</v>
      </c>
      <c r="K478" s="187">
        <v>0.18164616268705913</v>
      </c>
      <c r="L478" s="190">
        <v>2.303760060720179</v>
      </c>
      <c r="M478" s="4"/>
      <c r="N478" s="4">
        <v>2.78</v>
      </c>
      <c r="O478" s="187">
        <v>0.1462190947914288</v>
      </c>
      <c r="P478" s="190">
        <v>1.9785097524696507</v>
      </c>
      <c r="Q478" s="4"/>
      <c r="R478" s="4">
        <v>2.78</v>
      </c>
      <c r="S478" s="187">
        <v>0.03477958224339006</v>
      </c>
      <c r="T478" s="190">
        <v>1.1864221719642454</v>
      </c>
      <c r="U478" s="4"/>
      <c r="V478" s="4">
        <v>2.78</v>
      </c>
      <c r="W478" s="187">
        <v>0.15871625939902767</v>
      </c>
      <c r="X478" s="190">
        <v>2.0887453962565017</v>
      </c>
      <c r="Y478" s="4"/>
      <c r="Z478" s="4">
        <v>2.78</v>
      </c>
      <c r="AA478" s="187">
        <v>-0.19103847245031547</v>
      </c>
      <c r="AB478" s="190">
        <v>0.346449022257967</v>
      </c>
      <c r="AC478" s="4"/>
      <c r="AD478" s="4">
        <v>2.78</v>
      </c>
      <c r="AE478" s="187">
        <v>0.1627884997715816</v>
      </c>
      <c r="AF478" s="190">
        <v>2.1257081579948967</v>
      </c>
      <c r="AG478" s="4"/>
      <c r="AH478" s="4"/>
    </row>
    <row r="479" ht="12.75" hidden="1" outlineLevel="1">
      <c r="A479" s="4"/>
      <c r="B479" s="4">
        <v>2.8</v>
      </c>
      <c r="C479" s="187">
        <v>0.15449943468380867</v>
      </c>
      <c r="D479" s="190">
        <v>2.051013991262342</v>
      </c>
      <c r="E479" s="4"/>
      <c r="F479" s="4">
        <v>2.8</v>
      </c>
      <c r="G479" s="187">
        <v>0.11042639538770249</v>
      </c>
      <c r="H479" s="190">
        <v>1.6882971336918322</v>
      </c>
      <c r="I479" s="4"/>
      <c r="J479" s="4">
        <v>2.8</v>
      </c>
      <c r="K479" s="187">
        <v>0.1814182961751596</v>
      </c>
      <c r="L479" s="190">
        <v>2.3015396525973095</v>
      </c>
      <c r="M479" s="4"/>
      <c r="N479" s="4">
        <v>2.8</v>
      </c>
      <c r="O479" s="187">
        <v>0.14569021461629483</v>
      </c>
      <c r="P479" s="190">
        <v>1.9739494140715974</v>
      </c>
      <c r="Q479" s="4"/>
      <c r="R479" s="4">
        <v>2.8</v>
      </c>
      <c r="S479" s="187">
        <v>0.032983844462097345</v>
      </c>
      <c r="T479" s="190">
        <v>1.176163361763994</v>
      </c>
      <c r="U479" s="4"/>
      <c r="V479" s="4">
        <v>2.8</v>
      </c>
      <c r="W479" s="187">
        <v>0.15829798373300097</v>
      </c>
      <c r="X479" s="190">
        <v>2.084978120043964</v>
      </c>
      <c r="Y479" s="4"/>
      <c r="Z479" s="4">
        <v>2.8</v>
      </c>
      <c r="AA479" s="187">
        <v>-0.19909544889212372</v>
      </c>
      <c r="AB479" s="190">
        <v>0.32953671465740514</v>
      </c>
      <c r="AC479" s="4"/>
      <c r="AD479" s="4">
        <v>2.8</v>
      </c>
      <c r="AE479" s="187">
        <v>0.16247845674802974</v>
      </c>
      <c r="AF479" s="190">
        <v>2.1228757012859982</v>
      </c>
      <c r="AG479" s="4"/>
      <c r="AH479" s="4"/>
    </row>
    <row r="480" ht="12.75" hidden="1" outlineLevel="1">
      <c r="A480" s="4"/>
      <c r="B480" s="4">
        <v>2.82</v>
      </c>
      <c r="C480" s="187">
        <v>0.15407680975474558</v>
      </c>
      <c r="D480" s="190">
        <v>2.047262689066665</v>
      </c>
      <c r="E480" s="4"/>
      <c r="F480" s="4">
        <v>2.82</v>
      </c>
      <c r="G480" s="187">
        <v>0.10962052213147566</v>
      </c>
      <c r="H480" s="190">
        <v>1.6821797532453966</v>
      </c>
      <c r="I480" s="4"/>
      <c r="J480" s="4">
        <v>2.82</v>
      </c>
      <c r="K480" s="187">
        <v>0.18119025372814201</v>
      </c>
      <c r="L480" s="190">
        <v>2.2993192444744395</v>
      </c>
      <c r="M480" s="4"/>
      <c r="N480" s="4">
        <v>2.82</v>
      </c>
      <c r="O480" s="187">
        <v>0.14516035605508537</v>
      </c>
      <c r="P480" s="190">
        <v>1.9693890756735433</v>
      </c>
      <c r="Q480" s="4"/>
      <c r="R480" s="4">
        <v>2.82</v>
      </c>
      <c r="S480" s="187">
        <v>0.031175532315133925</v>
      </c>
      <c r="T480" s="190">
        <v>1.1659045515637418</v>
      </c>
      <c r="U480" s="4"/>
      <c r="V480" s="4">
        <v>2.82</v>
      </c>
      <c r="W480" s="187">
        <v>0.1578791030148341</v>
      </c>
      <c r="X480" s="190">
        <v>2.081210843831426</v>
      </c>
      <c r="Y480" s="4"/>
      <c r="Z480" s="4">
        <v>2.82</v>
      </c>
      <c r="AA480" s="187">
        <v>-0.20749031880716273</v>
      </c>
      <c r="AB480" s="190">
        <v>0.3126244070568437</v>
      </c>
      <c r="AC480" s="4"/>
      <c r="AD480" s="4">
        <v>2.82</v>
      </c>
      <c r="AE480" s="187">
        <v>0.16216892895976343</v>
      </c>
      <c r="AF480" s="190">
        <v>2.120050964234779</v>
      </c>
      <c r="AG480" s="4"/>
      <c r="AH480" s="4"/>
    </row>
    <row r="481" ht="12.75" hidden="1" outlineLevel="1">
      <c r="A481" s="4"/>
      <c r="B481" s="4">
        <v>2.84</v>
      </c>
      <c r="C481" s="187">
        <v>0.15365396523452368</v>
      </c>
      <c r="D481" s="190">
        <v>2.0435149329265947</v>
      </c>
      <c r="E481" s="4"/>
      <c r="F481" s="4">
        <v>2.84</v>
      </c>
      <c r="G481" s="187">
        <v>0.10881317410439251</v>
      </c>
      <c r="H481" s="190">
        <v>1.6760689719886428</v>
      </c>
      <c r="I481" s="4"/>
      <c r="J481" s="4">
        <v>2.84</v>
      </c>
      <c r="K481" s="187">
        <v>0.18096203504007313</v>
      </c>
      <c r="L481" s="190">
        <v>2.2970988363515663</v>
      </c>
      <c r="M481" s="4"/>
      <c r="N481" s="4">
        <v>2.84</v>
      </c>
      <c r="O481" s="187">
        <v>0.14462951502600285</v>
      </c>
      <c r="P481" s="190">
        <v>1.9648287372754867</v>
      </c>
      <c r="Q481" s="4"/>
      <c r="R481" s="4">
        <v>2.84</v>
      </c>
      <c r="S481" s="187">
        <v>0.02935444593911596</v>
      </c>
      <c r="T481" s="190">
        <v>1.1556457413634902</v>
      </c>
      <c r="U481" s="4"/>
      <c r="V481" s="4">
        <v>2.84</v>
      </c>
      <c r="W481" s="187">
        <v>0.15745961527168761</v>
      </c>
      <c r="X481" s="190">
        <v>2.0774435676188885</v>
      </c>
      <c r="Y481" s="4"/>
      <c r="Z481" s="4">
        <v>2.84</v>
      </c>
      <c r="AA481" s="187">
        <v>-0.21625674018548846</v>
      </c>
      <c r="AB481" s="190">
        <v>0.29571209945628185</v>
      </c>
      <c r="AC481" s="4"/>
      <c r="AD481" s="4">
        <v>2.84</v>
      </c>
      <c r="AE481" s="187">
        <v>0.16185991486075624</v>
      </c>
      <c r="AF481" s="190">
        <v>2.117233915325124</v>
      </c>
      <c r="AG481" s="4"/>
      <c r="AH481" s="4"/>
    </row>
    <row r="482" ht="12.75" hidden="1" outlineLevel="1">
      <c r="A482" s="4"/>
      <c r="B482" s="4">
        <v>2.86</v>
      </c>
      <c r="C482" s="187">
        <v>0.1532309005524619</v>
      </c>
      <c r="D482" s="190">
        <v>2.039770720314439</v>
      </c>
      <c r="E482" s="4"/>
      <c r="F482" s="4">
        <v>2.86</v>
      </c>
      <c r="G482" s="187">
        <v>0.10800434281827864</v>
      </c>
      <c r="H482" s="190">
        <v>1.6699647846033447</v>
      </c>
      <c r="I482" s="4"/>
      <c r="J482" s="4">
        <v>2.86</v>
      </c>
      <c r="K482" s="187">
        <v>0.1807336398041921</v>
      </c>
      <c r="L482" s="190">
        <v>2.2948784282286967</v>
      </c>
      <c r="M482" s="4"/>
      <c r="N482" s="4">
        <v>2.86</v>
      </c>
      <c r="O482" s="187">
        <v>0.1440976874206994</v>
      </c>
      <c r="P482" s="190">
        <v>1.9602683988774325</v>
      </c>
      <c r="Q482" s="4"/>
      <c r="R482" s="4">
        <v>2.86</v>
      </c>
      <c r="S482" s="187">
        <v>0.027520380485014817</v>
      </c>
      <c r="T482" s="190">
        <v>1.1453869311632388</v>
      </c>
      <c r="U482" s="4"/>
      <c r="V482" s="4">
        <v>2.86</v>
      </c>
      <c r="W482" s="187">
        <v>0.15703951852069808</v>
      </c>
      <c r="X482" s="190">
        <v>2.073676291406351</v>
      </c>
      <c r="Y482" s="4"/>
      <c r="Z482" s="4">
        <v>2.86</v>
      </c>
      <c r="AA482" s="187">
        <v>-0.22543389376536926</v>
      </c>
      <c r="AB482" s="190">
        <v>0.2787997918557204</v>
      </c>
      <c r="AC482" s="4"/>
      <c r="AD482" s="4">
        <v>2.86</v>
      </c>
      <c r="AE482" s="187">
        <v>0.1615514129117135</v>
      </c>
      <c r="AF482" s="190">
        <v>2.1144245232122456</v>
      </c>
      <c r="AG482" s="4"/>
      <c r="AH482" s="4"/>
    </row>
    <row r="483" ht="12.75" hidden="1" outlineLevel="1">
      <c r="A483" s="4"/>
      <c r="B483" s="4">
        <v>2.88</v>
      </c>
      <c r="C483" s="187">
        <v>0.15280761513578667</v>
      </c>
      <c r="D483" s="190">
        <v>2.0360300487037013</v>
      </c>
      <c r="E483" s="4"/>
      <c r="F483" s="4">
        <v>2.88</v>
      </c>
      <c r="G483" s="187">
        <v>0.10719401971133191</v>
      </c>
      <c r="H483" s="190">
        <v>1.6638671857741039</v>
      </c>
      <c r="I483" s="4"/>
      <c r="J483" s="4">
        <v>2.88</v>
      </c>
      <c r="K483" s="187">
        <v>0.18050506771290564</v>
      </c>
      <c r="L483" s="190">
        <v>2.2926580201058253</v>
      </c>
      <c r="M483" s="4"/>
      <c r="N483" s="4">
        <v>2.88</v>
      </c>
      <c r="O483" s="187">
        <v>0.14356486910404032</v>
      </c>
      <c r="P483" s="190">
        <v>1.9557080604793788</v>
      </c>
      <c r="Q483" s="4"/>
      <c r="R483" s="4">
        <v>2.88</v>
      </c>
      <c r="S483" s="187">
        <v>0.025673125947851982</v>
      </c>
      <c r="T483" s="190">
        <v>1.1351281209629869</v>
      </c>
      <c r="U483" s="4"/>
      <c r="V483" s="4">
        <v>2.88</v>
      </c>
      <c r="W483" s="187">
        <v>0.15661881076890816</v>
      </c>
      <c r="X483" s="190">
        <v>2.0699090151938138</v>
      </c>
      <c r="Y483" s="4"/>
      <c r="Z483" s="4">
        <v>2.88</v>
      </c>
      <c r="AA483" s="187">
        <v>-0.23506778993311062</v>
      </c>
      <c r="AB483" s="190">
        <v>0.26188748425515895</v>
      </c>
      <c r="AC483" s="4"/>
      <c r="AD483" s="4">
        <v>2.88</v>
      </c>
      <c r="AE483" s="187">
        <v>0.16124342158003202</v>
      </c>
      <c r="AF483" s="190">
        <v>2.1116227567215127</v>
      </c>
      <c r="AG483" s="4"/>
      <c r="AH483" s="4"/>
    </row>
    <row r="484" ht="12.75" hidden="1" outlineLevel="1">
      <c r="A484" s="4"/>
      <c r="B484" s="4">
        <v>2.9</v>
      </c>
      <c r="C484" s="187">
        <v>0.15238410840962224</v>
      </c>
      <c r="D484" s="190">
        <v>2.032292915569077</v>
      </c>
      <c r="E484" s="4"/>
      <c r="F484" s="4">
        <v>2.9</v>
      </c>
      <c r="G484" s="187">
        <v>0.10638219614726219</v>
      </c>
      <c r="H484" s="190">
        <v>1.6577761701883715</v>
      </c>
      <c r="I484" s="4"/>
      <c r="J484" s="4">
        <v>2.9</v>
      </c>
      <c r="K484" s="187">
        <v>0.1802763184577867</v>
      </c>
      <c r="L484" s="190">
        <v>2.2904376119829535</v>
      </c>
      <c r="M484" s="4"/>
      <c r="N484" s="4">
        <v>2.9</v>
      </c>
      <c r="O484" s="187">
        <v>0.14303105591386678</v>
      </c>
      <c r="P484" s="190">
        <v>1.9511477220813245</v>
      </c>
      <c r="Q484" s="4"/>
      <c r="R484" s="4">
        <v>2.9</v>
      </c>
      <c r="S484" s="187">
        <v>0.023812466988981873</v>
      </c>
      <c r="T484" s="190">
        <v>1.1248693107627343</v>
      </c>
      <c r="U484" s="4"/>
      <c r="V484" s="4">
        <v>2.9</v>
      </c>
      <c r="W484" s="187">
        <v>0.15619749001319683</v>
      </c>
      <c r="X484" s="190">
        <v>2.0661417389812753</v>
      </c>
      <c r="Y484" s="4"/>
      <c r="Z484" s="4">
        <v>2.9</v>
      </c>
      <c r="AA484" s="187">
        <v>-0.2452129923978097</v>
      </c>
      <c r="AB484" s="190">
        <v>0.2449751766545971</v>
      </c>
      <c r="AC484" s="4"/>
      <c r="AD484" s="4">
        <v>2.9</v>
      </c>
      <c r="AE484" s="187">
        <v>0.16093593933976358</v>
      </c>
      <c r="AF484" s="190">
        <v>2.108828584847302</v>
      </c>
      <c r="AG484" s="4"/>
      <c r="AH484" s="4"/>
    </row>
    <row r="485" ht="12.75" hidden="1" outlineLevel="1">
      <c r="A485" s="4"/>
      <c r="B485" s="4">
        <v>2.92</v>
      </c>
      <c r="C485" s="187">
        <v>0.15196037979697685</v>
      </c>
      <c r="D485" s="190">
        <v>2.0285593183864394</v>
      </c>
      <c r="E485" s="4"/>
      <c r="F485" s="4">
        <v>2.92</v>
      </c>
      <c r="G485" s="187">
        <v>0.1055688634144103</v>
      </c>
      <c r="H485" s="190">
        <v>1.6516917325364247</v>
      </c>
      <c r="I485" s="4"/>
      <c r="J485" s="4">
        <v>2.92</v>
      </c>
      <c r="K485" s="187">
        <v>0.18004739172957063</v>
      </c>
      <c r="L485" s="190">
        <v>2.2882172038600843</v>
      </c>
      <c r="M485" s="4"/>
      <c r="N485" s="4">
        <v>2.92</v>
      </c>
      <c r="O485" s="187">
        <v>0.1424962436607562</v>
      </c>
      <c r="P485" s="190">
        <v>1.946587383683269</v>
      </c>
      <c r="Q485" s="4"/>
      <c r="R485" s="4">
        <v>2.92</v>
      </c>
      <c r="S485" s="187">
        <v>0.021938182750563362</v>
      </c>
      <c r="T485" s="190">
        <v>1.1146105005624833</v>
      </c>
      <c r="U485" s="4"/>
      <c r="V485" s="4">
        <v>2.92</v>
      </c>
      <c r="W485" s="187">
        <v>0.15577555424020906</v>
      </c>
      <c r="X485" s="190">
        <v>2.0623744627687377</v>
      </c>
      <c r="Y485" s="4"/>
      <c r="Z485" s="4">
        <v>2.92</v>
      </c>
      <c r="AA485" s="187">
        <v>-0.25593493075780294</v>
      </c>
      <c r="AB485" s="190">
        <v>0.22806286905403567</v>
      </c>
      <c r="AC485" s="4"/>
      <c r="AD485" s="4">
        <v>2.92</v>
      </c>
      <c r="AE485" s="187">
        <v>0.16062896467157617</v>
      </c>
      <c r="AF485" s="190">
        <v>2.106041976751857</v>
      </c>
      <c r="AG485" s="4"/>
      <c r="AH485" s="4"/>
    </row>
    <row r="486" ht="12.75" hidden="1" outlineLevel="1">
      <c r="A486" s="4"/>
      <c r="B486" s="4">
        <v>2.94</v>
      </c>
      <c r="C486" s="187">
        <v>0.15153642871873796</v>
      </c>
      <c r="D486" s="190">
        <v>2.024829254632872</v>
      </c>
      <c r="E486" s="4"/>
      <c r="F486" s="4">
        <v>2.94</v>
      </c>
      <c r="G486" s="187">
        <v>0.10475401272486251</v>
      </c>
      <c r="H486" s="190">
        <v>1.645613867511397</v>
      </c>
      <c r="I486" s="4"/>
      <c r="J486" s="4">
        <v>2.94</v>
      </c>
      <c r="K486" s="187">
        <v>0.17981828721815174</v>
      </c>
      <c r="L486" s="190">
        <v>2.285996795737213</v>
      </c>
      <c r="M486" s="4"/>
      <c r="N486" s="4">
        <v>2.94</v>
      </c>
      <c r="O486" s="187">
        <v>0.14196042812777931</v>
      </c>
      <c r="P486" s="190">
        <v>1.9420270452852153</v>
      </c>
      <c r="Q486" s="4"/>
      <c r="R486" s="4">
        <v>2.94</v>
      </c>
      <c r="S486" s="187">
        <v>0.020050046661803878</v>
      </c>
      <c r="T486" s="190">
        <v>1.1043516903622308</v>
      </c>
      <c r="U486" s="4"/>
      <c r="V486" s="4">
        <v>2.94</v>
      </c>
      <c r="W486" s="187">
        <v>0.15535300142628472</v>
      </c>
      <c r="X486" s="190">
        <v>2.0586071865562006</v>
      </c>
      <c r="Y486" s="4"/>
      <c r="Z486" s="4">
        <v>2.94</v>
      </c>
      <c r="AA486" s="187">
        <v>-0.26731306385097175</v>
      </c>
      <c r="AB486" s="190">
        <v>0.2111505614534738</v>
      </c>
      <c r="AC486" s="4"/>
      <c r="AD486" s="4">
        <v>2.94</v>
      </c>
      <c r="AE486" s="187">
        <v>0.16032249606271698</v>
      </c>
      <c r="AF486" s="190">
        <v>2.103262901764145</v>
      </c>
      <c r="AG486" s="4"/>
      <c r="AH486" s="4"/>
    </row>
    <row r="487" ht="12.75" hidden="1" outlineLevel="1">
      <c r="A487" s="4"/>
      <c r="B487" s="4">
        <v>2.96</v>
      </c>
      <c r="C487" s="187">
        <v>0.15111225459365718</v>
      </c>
      <c r="D487" s="190">
        <v>2.0211027217866335</v>
      </c>
      <c r="E487" s="4"/>
      <c r="F487" s="4">
        <v>2.96</v>
      </c>
      <c r="G487" s="187">
        <v>0.1039376352135406</v>
      </c>
      <c r="H487" s="190">
        <v>1.639542569809233</v>
      </c>
      <c r="I487" s="4"/>
      <c r="J487" s="4">
        <v>2.96</v>
      </c>
      <c r="K487" s="187">
        <v>0.17958900461258098</v>
      </c>
      <c r="L487" s="190">
        <v>2.283776387614342</v>
      </c>
      <c r="M487" s="4"/>
      <c r="N487" s="4">
        <v>2.96</v>
      </c>
      <c r="O487" s="187">
        <v>0.1414236050702533</v>
      </c>
      <c r="P487" s="190">
        <v>1.9374667068871616</v>
      </c>
      <c r="Q487" s="4"/>
      <c r="R487" s="4">
        <v>2.96</v>
      </c>
      <c r="S487" s="187">
        <v>0.018147826236534437</v>
      </c>
      <c r="T487" s="190">
        <v>1.0940928801619803</v>
      </c>
      <c r="U487" s="4"/>
      <c r="V487" s="4">
        <v>2.96</v>
      </c>
      <c r="W487" s="187">
        <v>0.1549298295373862</v>
      </c>
      <c r="X487" s="190">
        <v>2.054839910343663</v>
      </c>
      <c r="Y487" s="4"/>
      <c r="Z487" s="4">
        <v>2.96</v>
      </c>
      <c r="AA487" s="187">
        <v>-0.27944530377118626</v>
      </c>
      <c r="AB487" s="190">
        <v>0.19423825385291196</v>
      </c>
      <c r="AC487" s="4"/>
      <c r="AD487" s="4">
        <v>2.96</v>
      </c>
      <c r="AE487" s="187">
        <v>0.16001653200697463</v>
      </c>
      <c r="AF487" s="190">
        <v>2.1004913293787424</v>
      </c>
      <c r="AG487" s="4"/>
      <c r="AH487" s="4"/>
    </row>
    <row r="488" ht="12.75" hidden="1" outlineLevel="1">
      <c r="A488" s="4"/>
      <c r="B488" s="4">
        <v>2.98</v>
      </c>
      <c r="C488" s="187">
        <v>0.1506878568383403</v>
      </c>
      <c r="D488" s="190">
        <v>2.017379717327168</v>
      </c>
      <c r="E488" s="4"/>
      <c r="F488" s="4">
        <v>2.98</v>
      </c>
      <c r="G488" s="187">
        <v>0.10311972193729013</v>
      </c>
      <c r="H488" s="190">
        <v>1.6334778341287335</v>
      </c>
      <c r="I488" s="4"/>
      <c r="J488" s="4">
        <v>2.98</v>
      </c>
      <c r="K488" s="187">
        <v>0.17935954360106265</v>
      </c>
      <c r="L488" s="190">
        <v>2.2815559794914706</v>
      </c>
      <c r="M488" s="4"/>
      <c r="N488" s="4">
        <v>2.98</v>
      </c>
      <c r="O488" s="187">
        <v>0.14088577021549487</v>
      </c>
      <c r="P488" s="190">
        <v>1.9329063684891048</v>
      </c>
      <c r="Q488" s="4"/>
      <c r="R488" s="4">
        <v>2.98</v>
      </c>
      <c r="S488" s="187">
        <v>0.01623128286163511</v>
      </c>
      <c r="T488" s="190">
        <v>1.083834069961728</v>
      </c>
      <c r="U488" s="4"/>
      <c r="V488" s="4">
        <v>2.98</v>
      </c>
      <c r="W488" s="187">
        <v>0.1545060365290274</v>
      </c>
      <c r="X488" s="190">
        <v>2.051072634131125</v>
      </c>
      <c r="Y488" s="4"/>
      <c r="Z488" s="4">
        <v>2.98</v>
      </c>
      <c r="AA488" s="187">
        <v>-0.2924543631260538</v>
      </c>
      <c r="AB488" s="190">
        <v>0.1773259462523505</v>
      </c>
      <c r="AC488" s="4"/>
      <c r="AD488" s="4">
        <v>2.98</v>
      </c>
      <c r="AE488" s="187">
        <v>0.15971107100464232</v>
      </c>
      <c r="AF488" s="190">
        <v>2.0977272292547093</v>
      </c>
      <c r="AG488" s="4"/>
      <c r="AH488" s="4"/>
    </row>
    <row r="489" ht="12.75" hidden="1" outlineLevel="1">
      <c r="A489" s="4"/>
      <c r="B489" s="4">
        <v>3</v>
      </c>
      <c r="C489" s="187">
        <v>0.15026323486724125</v>
      </c>
      <c r="D489" s="190">
        <v>2.0136602387351283</v>
      </c>
      <c r="E489" s="4"/>
      <c r="F489" s="4">
        <v>3</v>
      </c>
      <c r="G489" s="187">
        <v>0.10230026387394675</v>
      </c>
      <c r="H489" s="190">
        <v>1.6274196551715252</v>
      </c>
      <c r="I489" s="4"/>
      <c r="J489" s="4">
        <v>3</v>
      </c>
      <c r="K489" s="187">
        <v>0.17912990387095085</v>
      </c>
      <c r="L489" s="190">
        <v>2.2793355713686014</v>
      </c>
      <c r="M489" s="4"/>
      <c r="N489" s="4">
        <v>3</v>
      </c>
      <c r="O489" s="187">
        <v>0.14034691926256837</v>
      </c>
      <c r="P489" s="190">
        <v>1.9283460300910509</v>
      </c>
      <c r="Q489" s="4"/>
      <c r="R489" s="4">
        <v>3</v>
      </c>
      <c r="S489" s="187">
        <v>0.014300171575815535</v>
      </c>
      <c r="T489" s="190">
        <v>1.0735752597614767</v>
      </c>
      <c r="U489" s="4"/>
      <c r="V489" s="4">
        <v>3</v>
      </c>
      <c r="W489" s="187">
        <v>0.15408162034619965</v>
      </c>
      <c r="X489" s="190">
        <v>2.0473053579185883</v>
      </c>
      <c r="Y489" s="4"/>
      <c r="Z489" s="4">
        <v>3</v>
      </c>
      <c r="AA489" s="187">
        <v>-0.3064971375072447</v>
      </c>
      <c r="AB489" s="190">
        <v>0.16041363865178868</v>
      </c>
      <c r="AC489" s="4"/>
      <c r="AD489" s="4">
        <v>3</v>
      </c>
      <c r="AE489" s="187">
        <v>0.15940611156248075</v>
      </c>
      <c r="AF489" s="190">
        <v>2.094970571214485</v>
      </c>
      <c r="AG489" s="4"/>
      <c r="AH489" s="4"/>
    </row>
    <row r="490" ht="12.75" hidden="1" outlineLevel="1">
      <c r="A490" s="4"/>
      <c r="B490" s="4">
        <v>3.02</v>
      </c>
      <c r="C490" s="187">
        <v>0.14983838809264505</v>
      </c>
      <c r="D490" s="190">
        <v>2.0099442834923367</v>
      </c>
      <c r="E490" s="4"/>
      <c r="F490" s="4">
        <v>3.02</v>
      </c>
      <c r="G490" s="187">
        <v>0.10147925192139207</v>
      </c>
      <c r="H490" s="190">
        <v>1.6213680276420714</v>
      </c>
      <c r="I490" s="4"/>
      <c r="J490" s="4">
        <v>3.02</v>
      </c>
      <c r="K490" s="187">
        <v>0.1789000851087461</v>
      </c>
      <c r="L490" s="190">
        <v>2.2771151632457296</v>
      </c>
      <c r="M490" s="4"/>
      <c r="N490" s="4">
        <v>3.02</v>
      </c>
      <c r="O490" s="187">
        <v>0.13980704788203124</v>
      </c>
      <c r="P490" s="190">
        <v>1.9237856916929972</v>
      </c>
      <c r="Q490" s="4"/>
      <c r="R490" s="4">
        <v>3.02</v>
      </c>
      <c r="S490" s="187">
        <v>0.012354240838204689</v>
      </c>
      <c r="T490" s="190">
        <v>1.0633164495612242</v>
      </c>
      <c r="U490" s="4"/>
      <c r="V490" s="4">
        <v>3.02</v>
      </c>
      <c r="W490" s="187">
        <v>0.15365657892329798</v>
      </c>
      <c r="X490" s="190">
        <v>2.0435380817060493</v>
      </c>
      <c r="Y490" s="4"/>
      <c r="Z490" s="4">
        <v>3.02</v>
      </c>
      <c r="AA490" s="187">
        <v>-0.32177907337588596</v>
      </c>
      <c r="AB490" s="190">
        <v>0.14350133105122723</v>
      </c>
      <c r="AC490" s="4"/>
      <c r="AD490" s="4">
        <v>3.02</v>
      </c>
      <c r="AE490" s="187">
        <v>0.1591016521936821</v>
      </c>
      <c r="AF490" s="190">
        <v>2.092221325242797</v>
      </c>
      <c r="AG490" s="4"/>
      <c r="AH490" s="4"/>
    </row>
    <row r="491" ht="12.75" hidden="1" outlineLevel="1">
      <c r="A491" s="4"/>
      <c r="B491" s="4">
        <v>3.04</v>
      </c>
      <c r="C491" s="187">
        <v>0.14941331592466245</v>
      </c>
      <c r="D491" s="190">
        <v>2.006231849081817</v>
      </c>
      <c r="E491" s="4"/>
      <c r="F491" s="4">
        <v>3.04</v>
      </c>
      <c r="G491" s="187">
        <v>0.10065667689659286</v>
      </c>
      <c r="H491" s="190">
        <v>1.615322946247665</v>
      </c>
      <c r="I491" s="4"/>
      <c r="J491" s="4">
        <v>3.04</v>
      </c>
      <c r="K491" s="187">
        <v>0.17867008700009346</v>
      </c>
      <c r="L491" s="190">
        <v>2.274894755122858</v>
      </c>
      <c r="M491" s="4"/>
      <c r="N491" s="4">
        <v>3.04</v>
      </c>
      <c r="O491" s="187">
        <v>0.13926615171567724</v>
      </c>
      <c r="P491" s="190">
        <v>1.9192253532949424</v>
      </c>
      <c r="Q491" s="4"/>
      <c r="R491" s="4">
        <v>3.04</v>
      </c>
      <c r="S491" s="187">
        <v>0.010393232286185272</v>
      </c>
      <c r="T491" s="190">
        <v>1.0530576393609736</v>
      </c>
      <c r="U491" s="4"/>
      <c r="V491" s="4">
        <v>3.04</v>
      </c>
      <c r="W491" s="187">
        <v>0.15323091018404789</v>
      </c>
      <c r="X491" s="190">
        <v>2.0397708054935118</v>
      </c>
      <c r="Y491" s="4"/>
      <c r="Z491" s="4">
        <v>3.04</v>
      </c>
      <c r="AA491" s="187">
        <v>-0.33857712620457925</v>
      </c>
      <c r="AB491" s="190">
        <v>0.1265890234506654</v>
      </c>
      <c r="AC491" s="4"/>
      <c r="AD491" s="4">
        <v>3.04</v>
      </c>
      <c r="AE491" s="187">
        <v>0.1587976914178335</v>
      </c>
      <c r="AF491" s="190">
        <v>2.08947946148556</v>
      </c>
      <c r="AG491" s="4"/>
      <c r="AH491" s="4"/>
    </row>
    <row r="492" ht="12.75" hidden="1" outlineLevel="1">
      <c r="A492" s="4"/>
      <c r="B492" s="4">
        <v>3.06</v>
      </c>
      <c r="C492" s="187">
        <v>0.1489880177712153</v>
      </c>
      <c r="D492" s="190">
        <v>2.0025229329877714</v>
      </c>
      <c r="E492" s="4"/>
      <c r="F492" s="4">
        <v>3.06</v>
      </c>
      <c r="G492" s="187">
        <v>0.09983252953462962</v>
      </c>
      <c r="H492" s="190">
        <v>1.6092844056984357</v>
      </c>
      <c r="I492" s="4"/>
      <c r="J492" s="4">
        <v>3.06</v>
      </c>
      <c r="K492" s="187">
        <v>0.17843990922977837</v>
      </c>
      <c r="L492" s="190">
        <v>2.2726743469999877</v>
      </c>
      <c r="M492" s="4"/>
      <c r="N492" s="4">
        <v>3.06</v>
      </c>
      <c r="O492" s="187">
        <v>0.13872422637627668</v>
      </c>
      <c r="P492" s="190">
        <v>1.9146650148968878</v>
      </c>
      <c r="Q492" s="4"/>
      <c r="R492" s="4">
        <v>3.06</v>
      </c>
      <c r="S492" s="187">
        <v>0.00841688048185718</v>
      </c>
      <c r="T492" s="190">
        <v>1.0427988291607215</v>
      </c>
      <c r="U492" s="4"/>
      <c r="V492" s="4">
        <v>3.06</v>
      </c>
      <c r="W492" s="187">
        <v>0.1528046120414297</v>
      </c>
      <c r="X492" s="190">
        <v>2.0360035292809746</v>
      </c>
      <c r="Y492" s="4"/>
      <c r="Z492" s="4">
        <v>3.06</v>
      </c>
      <c r="AA492" s="187">
        <v>-0.35727841188006415</v>
      </c>
      <c r="AB492" s="190">
        <v>0.10967671585010394</v>
      </c>
      <c r="AC492" s="4"/>
      <c r="AD492" s="4">
        <v>3.06</v>
      </c>
      <c r="AE492" s="187">
        <v>0.1584942277608803</v>
      </c>
      <c r="AF492" s="190">
        <v>2.0867449502488005</v>
      </c>
      <c r="AG492" s="4"/>
      <c r="AH492" s="4"/>
    </row>
    <row r="493" ht="12.75" hidden="1" outlineLevel="1">
      <c r="A493" s="4"/>
      <c r="B493" s="4">
        <v>3.08</v>
      </c>
      <c r="C493" s="187">
        <v>0.1485624930380287</v>
      </c>
      <c r="D493" s="190">
        <v>1.9988175326955924</v>
      </c>
      <c r="E493" s="4"/>
      <c r="F493" s="4">
        <v>3.08</v>
      </c>
      <c r="G493" s="187">
        <v>0.09900680048770583</v>
      </c>
      <c r="H493" s="190">
        <v>1.6032524007073437</v>
      </c>
      <c r="I493" s="4"/>
      <c r="J493" s="4">
        <v>3.08</v>
      </c>
      <c r="K493" s="187">
        <v>0.17820955148172324</v>
      </c>
      <c r="L493" s="190">
        <v>2.2704539388771154</v>
      </c>
      <c r="M493" s="4"/>
      <c r="N493" s="4">
        <v>3.08</v>
      </c>
      <c r="O493" s="187">
        <v>0.1381812674473133</v>
      </c>
      <c r="P493" s="190">
        <v>1.9101046764988332</v>
      </c>
      <c r="Q493" s="4"/>
      <c r="R493" s="4">
        <v>3.08</v>
      </c>
      <c r="S493" s="187">
        <v>0.006424912646481706</v>
      </c>
      <c r="T493" s="190">
        <v>1.0325400189604697</v>
      </c>
      <c r="U493" s="4"/>
      <c r="V493" s="4">
        <v>3.08</v>
      </c>
      <c r="W493" s="187">
        <v>0.15237768239760263</v>
      </c>
      <c r="X493" s="190">
        <v>2.0322362530684366</v>
      </c>
      <c r="Y493" s="4"/>
      <c r="Z493" s="4">
        <v>3.08</v>
      </c>
      <c r="AA493" s="187">
        <v>-0.3784497067313559</v>
      </c>
      <c r="AB493" s="190">
        <v>0.09276440824954209</v>
      </c>
      <c r="AC493" s="4"/>
      <c r="AD493" s="4">
        <v>3.08</v>
      </c>
      <c r="AE493" s="187">
        <v>0.15819125975509163</v>
      </c>
      <c r="AF493" s="190">
        <v>2.0840177619975906</v>
      </c>
      <c r="AG493" s="4"/>
      <c r="AH493" s="4"/>
    </row>
    <row r="494" ht="12.75" hidden="1" outlineLevel="1">
      <c r="A494" s="4"/>
      <c r="B494" s="4">
        <v>3.1</v>
      </c>
      <c r="C494" s="187">
        <v>0.14813674112861874</v>
      </c>
      <c r="D494" s="190">
        <v>1.9951156456918664</v>
      </c>
      <c r="E494" s="4"/>
      <c r="F494" s="4">
        <v>3.1</v>
      </c>
      <c r="G494" s="187">
        <v>0.09817948032414403</v>
      </c>
      <c r="H494" s="190">
        <v>1.5972269259901737</v>
      </c>
      <c r="I494" s="4"/>
      <c r="J494" s="4">
        <v>3.1</v>
      </c>
      <c r="K494" s="187">
        <v>0.17797901343898537</v>
      </c>
      <c r="L494" s="190">
        <v>2.268233530754246</v>
      </c>
      <c r="M494" s="4"/>
      <c r="N494" s="4">
        <v>3.1</v>
      </c>
      <c r="O494" s="187">
        <v>0.1376372704827189</v>
      </c>
      <c r="P494" s="190">
        <v>1.9055443381007793</v>
      </c>
      <c r="Q494" s="4"/>
      <c r="R494" s="4">
        <v>3.1</v>
      </c>
      <c r="S494" s="187">
        <v>0.004417048382210131</v>
      </c>
      <c r="T494" s="190">
        <v>1.022281208760218</v>
      </c>
      <c r="U494" s="4"/>
      <c r="V494" s="4">
        <v>3.1</v>
      </c>
      <c r="W494" s="187">
        <v>0.1519501191438295</v>
      </c>
      <c r="X494" s="190">
        <v>2.0284689768559</v>
      </c>
      <c r="Y494" s="4"/>
      <c r="Z494" s="4">
        <v>3.1</v>
      </c>
      <c r="AA494" s="187">
        <v>-0.40297361808793186</v>
      </c>
      <c r="AB494" s="190">
        <v>0.07585210064898044</v>
      </c>
      <c r="AC494" s="4"/>
      <c r="AD494" s="4">
        <v>3.1</v>
      </c>
      <c r="AE494" s="187">
        <v>0.15788878593902345</v>
      </c>
      <c r="AF494" s="190">
        <v>2.081297867354972</v>
      </c>
      <c r="AG494" s="4"/>
      <c r="AH494" s="4"/>
    </row>
    <row r="495" ht="12.75" hidden="1" outlineLevel="1">
      <c r="A495" s="4"/>
      <c r="B495" s="4">
        <v>3.12</v>
      </c>
      <c r="C495" s="187">
        <v>0.14771076144428186</v>
      </c>
      <c r="D495" s="190">
        <v>1.9914172694643624</v>
      </c>
      <c r="E495" s="4"/>
      <c r="F495" s="4">
        <v>3.12</v>
      </c>
      <c r="G495" s="187">
        <v>0.09735055952736937</v>
      </c>
      <c r="H495" s="190">
        <v>1.5912079762655504</v>
      </c>
      <c r="I495" s="4"/>
      <c r="J495" s="4">
        <v>3.12</v>
      </c>
      <c r="K495" s="187">
        <v>0.17774829478375165</v>
      </c>
      <c r="L495" s="190">
        <v>2.2660131226313753</v>
      </c>
      <c r="M495" s="4"/>
      <c r="N495" s="4">
        <v>3.12</v>
      </c>
      <c r="O495" s="187">
        <v>0.13709223100660295</v>
      </c>
      <c r="P495" s="190">
        <v>1.9009839997027231</v>
      </c>
      <c r="Q495" s="4"/>
      <c r="R495" s="4">
        <v>3.12</v>
      </c>
      <c r="S495" s="187">
        <v>0.002392999380353089</v>
      </c>
      <c r="T495" s="190">
        <v>1.0120223985599661</v>
      </c>
      <c r="U495" s="4"/>
      <c r="V495" s="4">
        <v>3.12</v>
      </c>
      <c r="W495" s="187">
        <v>0.15152192016039812</v>
      </c>
      <c r="X495" s="190">
        <v>2.024701700643361</v>
      </c>
      <c r="Y495" s="4"/>
      <c r="Z495" s="4">
        <v>3.12</v>
      </c>
      <c r="AA495" s="187">
        <v>-0.432348589506686</v>
      </c>
      <c r="AB495" s="190">
        <v>0.0589397930484188</v>
      </c>
      <c r="AC495" s="4"/>
      <c r="AD495" s="4">
        <v>3.12</v>
      </c>
      <c r="AE495" s="187">
        <v>0.15758680485748444</v>
      </c>
      <c r="AF495" s="190">
        <v>2.078585237100916</v>
      </c>
      <c r="AG495" s="4"/>
      <c r="AH495" s="4"/>
    </row>
    <row r="496" ht="12.75" hidden="1" outlineLevel="1">
      <c r="A496" s="4"/>
      <c r="B496" s="4">
        <v>3.14</v>
      </c>
      <c r="C496" s="187">
        <v>0.14728455338408386</v>
      </c>
      <c r="D496" s="190">
        <v>1.9877224015020354</v>
      </c>
      <c r="E496" s="4"/>
      <c r="F496" s="4">
        <v>3.14</v>
      </c>
      <c r="G496" s="187">
        <v>0.09652002849487107</v>
      </c>
      <c r="H496" s="190">
        <v>1.585195546254925</v>
      </c>
      <c r="I496" s="4"/>
      <c r="J496" s="4">
        <v>3.14</v>
      </c>
      <c r="K496" s="187">
        <v>0.1775173951973381</v>
      </c>
      <c r="L496" s="190">
        <v>2.2637927145085053</v>
      </c>
      <c r="M496" s="4"/>
      <c r="N496" s="4">
        <v>3.14</v>
      </c>
      <c r="O496" s="187">
        <v>0.13654614451298186</v>
      </c>
      <c r="P496" s="190">
        <v>1.896423661304669</v>
      </c>
      <c r="Q496" s="4"/>
      <c r="R496" s="4">
        <v>3.14</v>
      </c>
      <c r="S496" s="187">
        <v>0.0003524691153951043</v>
      </c>
      <c r="T496" s="190">
        <v>1.0017635883597145</v>
      </c>
      <c r="U496" s="4"/>
      <c r="V496" s="4">
        <v>3.14</v>
      </c>
      <c r="W496" s="187">
        <v>0.15109308331654603</v>
      </c>
      <c r="X496" s="190">
        <v>2.0209344244308243</v>
      </c>
      <c r="Y496" s="4"/>
      <c r="Z496" s="4">
        <v>3.14</v>
      </c>
      <c r="AA496" s="187">
        <v>-0.46947398944280283</v>
      </c>
      <c r="AB496" s="190">
        <v>0.04202748544785715</v>
      </c>
      <c r="AC496" s="4"/>
      <c r="AD496" s="4">
        <v>3.14</v>
      </c>
      <c r="AE496" s="187">
        <v>0.15728531506150012</v>
      </c>
      <c r="AF496" s="190">
        <v>2.075879842171262</v>
      </c>
      <c r="AG496" s="4"/>
      <c r="AH496" s="4"/>
    </row>
    <row r="497" ht="12.75" hidden="1" outlineLevel="1">
      <c r="A497" s="4"/>
      <c r="B497" s="4">
        <v>3.16</v>
      </c>
      <c r="C497" s="187">
        <v>0.14685811634484836</v>
      </c>
      <c r="D497" s="190">
        <v>1.9840310392950253</v>
      </c>
      <c r="E497" s="4"/>
      <c r="F497" s="4">
        <v>3.16</v>
      </c>
      <c r="G497" s="187">
        <v>0.09568787753715347</v>
      </c>
      <c r="H497" s="190">
        <v>1.579189630682568</v>
      </c>
      <c r="I497" s="4"/>
      <c r="J497" s="4">
        <v>3.16</v>
      </c>
      <c r="K497" s="187">
        <v>0.17728631436018416</v>
      </c>
      <c r="L497" s="190">
        <v>2.2615723063856326</v>
      </c>
      <c r="M497" s="4"/>
      <c r="N497" s="4">
        <v>3.16</v>
      </c>
      <c r="O497" s="187">
        <v>0.13599900646550345</v>
      </c>
      <c r="P497" s="190">
        <v>1.8918633229066155</v>
      </c>
      <c r="Q497" s="4"/>
      <c r="R497" s="4">
        <v>3.16</v>
      </c>
      <c r="S497" s="187">
        <v>-0.0017948995297945025</v>
      </c>
      <c r="T497" s="190">
        <v>0.991057661220487</v>
      </c>
      <c r="U497" s="4"/>
      <c r="V497" s="4">
        <v>3.16</v>
      </c>
      <c r="W497" s="187">
        <v>0.15066360647038013</v>
      </c>
      <c r="X497" s="190">
        <v>2.0171671482182867</v>
      </c>
      <c r="Y497" s="4"/>
      <c r="Z497" s="4">
        <v>3.16</v>
      </c>
      <c r="AA497" s="187">
        <v>-0.5213839573413256</v>
      </c>
      <c r="AB497" s="190">
        <v>0.025115177847295507</v>
      </c>
      <c r="AC497" s="4"/>
      <c r="AD497" s="4">
        <v>3.16</v>
      </c>
      <c r="AE497" s="187">
        <v>0.1569843151082786</v>
      </c>
      <c r="AF497" s="190">
        <v>2.0731816536566936</v>
      </c>
      <c r="AG497" s="4"/>
      <c r="AH497" s="4"/>
    </row>
    <row r="498" ht="12.75" hidden="1" outlineLevel="1">
      <c r="A498" s="4"/>
      <c r="B498" s="4">
        <v>3.18</v>
      </c>
      <c r="C498" s="187">
        <v>0.14643144972114697</v>
      </c>
      <c r="D498" s="190">
        <v>1.9803431803346658</v>
      </c>
      <c r="E498" s="4"/>
      <c r="F498" s="4">
        <v>3.18</v>
      </c>
      <c r="G498" s="187">
        <v>0.09485409687666913</v>
      </c>
      <c r="H498" s="190">
        <v>1.5731902242755869</v>
      </c>
      <c r="I498" s="4"/>
      <c r="J498" s="4">
        <v>3.18</v>
      </c>
      <c r="K498" s="187">
        <v>0.17705505195185123</v>
      </c>
      <c r="L498" s="190">
        <v>2.2593518982627625</v>
      </c>
      <c r="M498" s="4"/>
      <c r="N498" s="4">
        <v>3.18</v>
      </c>
      <c r="O498" s="187">
        <v>0.13545081229716738</v>
      </c>
      <c r="P498" s="190">
        <v>1.8873029845085598</v>
      </c>
      <c r="Q498" s="4"/>
      <c r="R498" s="4">
        <v>3.18</v>
      </c>
      <c r="S498" s="187">
        <v>-0.0039797685705662555</v>
      </c>
      <c r="T498" s="190">
        <v>0.9802589136412743</v>
      </c>
      <c r="U498" s="4"/>
      <c r="V498" s="4">
        <v>3.18</v>
      </c>
      <c r="W498" s="187">
        <v>0.15023348746879805</v>
      </c>
      <c r="X498" s="190">
        <v>2.0133998720057487</v>
      </c>
      <c r="Y498" s="4"/>
      <c r="Z498" s="4">
        <v>3.18</v>
      </c>
      <c r="AA498" s="187">
        <v>-0.6173575325623555</v>
      </c>
      <c r="AB498" s="190">
        <v>0.008202870246733862</v>
      </c>
      <c r="AC498" s="4"/>
      <c r="AD498" s="4">
        <v>3.18</v>
      </c>
      <c r="AE498" s="187">
        <v>0.1566838035611755</v>
      </c>
      <c r="AF498" s="190">
        <v>2.070490642801697</v>
      </c>
      <c r="AG498" s="4"/>
      <c r="AH498" s="4"/>
    </row>
    <row r="499" ht="12.75" hidden="1" outlineLevel="1">
      <c r="A499" s="4"/>
      <c r="B499" s="4">
        <v>3.2</v>
      </c>
      <c r="C499" s="187">
        <v>0.14600455290528647</v>
      </c>
      <c r="D499" s="190">
        <v>1.9766588221134707</v>
      </c>
      <c r="E499" s="4"/>
      <c r="F499" s="4">
        <v>3.2</v>
      </c>
      <c r="G499" s="187">
        <v>0.09401867664673413</v>
      </c>
      <c r="H499" s="190">
        <v>1.5671973217639121</v>
      </c>
      <c r="I499" s="4"/>
      <c r="J499" s="4">
        <v>3.2</v>
      </c>
      <c r="K499" s="187">
        <v>0.17682360765101812</v>
      </c>
      <c r="L499" s="190">
        <v>2.2571314901398916</v>
      </c>
      <c r="M499" s="4"/>
      <c r="N499" s="4">
        <v>3.2</v>
      </c>
      <c r="O499" s="187">
        <v>0.13490155741004517</v>
      </c>
      <c r="P499" s="190">
        <v>1.8827426461105057</v>
      </c>
      <c r="Q499" s="4"/>
      <c r="R499" s="4">
        <v>3.2</v>
      </c>
      <c r="S499" s="187">
        <v>-0.0061839784569788225</v>
      </c>
      <c r="T499" s="190">
        <v>0.9694601660620622</v>
      </c>
      <c r="U499" s="4"/>
      <c r="V499" s="4">
        <v>3.2</v>
      </c>
      <c r="W499" s="187">
        <v>0.14980289132054092</v>
      </c>
      <c r="X499" s="190">
        <v>2.009634056725008</v>
      </c>
      <c r="Y499" s="4"/>
      <c r="Z499" s="4">
        <v>3.2</v>
      </c>
      <c r="AA499" s="187">
        <v>-1.3872558793126972</v>
      </c>
      <c r="AB499" s="190">
        <v>-0.008709437353827582</v>
      </c>
      <c r="AC499" s="4"/>
      <c r="AD499" s="4">
        <v>3.2</v>
      </c>
      <c r="AE499" s="187">
        <v>0.15638377898966005</v>
      </c>
      <c r="AF499" s="190">
        <v>2.0678067810035468</v>
      </c>
      <c r="AG499" s="4"/>
      <c r="AH499" s="4"/>
    </row>
    <row r="500" ht="12.75" hidden="1" outlineLevel="1">
      <c r="A500" s="4"/>
      <c r="B500" s="4">
        <v>3.22</v>
      </c>
      <c r="C500" s="187">
        <v>0.14557742528729922</v>
      </c>
      <c r="D500" s="190">
        <v>1.9729779621251433</v>
      </c>
      <c r="E500" s="4"/>
      <c r="F500" s="4">
        <v>3.22</v>
      </c>
      <c r="G500" s="187">
        <v>0.09318160689042942</v>
      </c>
      <c r="H500" s="190">
        <v>1.5612109178803029</v>
      </c>
      <c r="I500" s="4"/>
      <c r="J500" s="4">
        <v>3.22</v>
      </c>
      <c r="K500" s="187">
        <v>0.17659198113547814</v>
      </c>
      <c r="L500" s="190">
        <v>2.2549110820170206</v>
      </c>
      <c r="M500" s="4"/>
      <c r="N500" s="4">
        <v>3.22</v>
      </c>
      <c r="O500" s="187">
        <v>0.13435123717499442</v>
      </c>
      <c r="P500" s="190">
        <v>1.8781823077124524</v>
      </c>
      <c r="Q500" s="4"/>
      <c r="R500" s="4">
        <v>3.22</v>
      </c>
      <c r="S500" s="187">
        <v>-0.00840791872342761</v>
      </c>
      <c r="T500" s="190">
        <v>0.9586614184828502</v>
      </c>
      <c r="U500" s="4"/>
      <c r="V500" s="4">
        <v>3.22</v>
      </c>
      <c r="W500" s="187">
        <v>0.149372047530836</v>
      </c>
      <c r="X500" s="190">
        <v>2.0058717174395584</v>
      </c>
      <c r="Y500" s="4"/>
      <c r="Z500" s="4">
        <v>3.22</v>
      </c>
      <c r="AA500" s="187">
        <v>-1.4805313658626917</v>
      </c>
      <c r="AB500" s="190">
        <v>-0.02562174495438923</v>
      </c>
      <c r="AC500" s="4"/>
      <c r="AD500" s="4">
        <v>3.22</v>
      </c>
      <c r="AE500" s="187">
        <v>0.156084239969281</v>
      </c>
      <c r="AF500" s="190">
        <v>2.065130039811292</v>
      </c>
      <c r="AG500" s="4"/>
      <c r="AH500" s="4"/>
    </row>
    <row r="501" ht="12.75" hidden="1" outlineLevel="1">
      <c r="A501" s="4"/>
      <c r="B501" s="4">
        <v>3.24</v>
      </c>
      <c r="C501" s="187">
        <v>0.14515006625492988</v>
      </c>
      <c r="D501" s="190">
        <v>1.969300597864567</v>
      </c>
      <c r="E501" s="4"/>
      <c r="F501" s="4">
        <v>3.24</v>
      </c>
      <c r="G501" s="187">
        <v>0.09234287755948078</v>
      </c>
      <c r="H501" s="190">
        <v>1.555231007360342</v>
      </c>
      <c r="I501" s="4"/>
      <c r="J501" s="4">
        <v>3.24</v>
      </c>
      <c r="K501" s="187">
        <v>0.1763601720821364</v>
      </c>
      <c r="L501" s="190">
        <v>2.2526906738941497</v>
      </c>
      <c r="M501" s="4"/>
      <c r="N501" s="4">
        <v>3.24</v>
      </c>
      <c r="O501" s="187">
        <v>0.13379984693136948</v>
      </c>
      <c r="P501" s="190">
        <v>1.8736219693143976</v>
      </c>
      <c r="Q501" s="4"/>
      <c r="R501" s="4">
        <v>3.24</v>
      </c>
      <c r="S501" s="187">
        <v>-0.010651991246549475</v>
      </c>
      <c r="T501" s="190">
        <v>0.9478626709036375</v>
      </c>
      <c r="U501" s="4"/>
      <c r="V501" s="4">
        <v>3.24</v>
      </c>
      <c r="W501" s="187">
        <v>0.14894055676112417</v>
      </c>
      <c r="X501" s="190">
        <v>2.002109378154109</v>
      </c>
      <c r="Y501" s="4"/>
      <c r="Z501" s="4">
        <v>3.24</v>
      </c>
      <c r="AA501" s="187">
        <v>-1.5317987995780142</v>
      </c>
      <c r="AB501" s="190">
        <v>-0.042534052554951275</v>
      </c>
      <c r="AC501" s="4"/>
      <c r="AD501" s="4">
        <v>3.24</v>
      </c>
      <c r="AE501" s="187">
        <v>0.15578518508163208</v>
      </c>
      <c r="AF501" s="190">
        <v>2.0624603909247456</v>
      </c>
      <c r="AG501" s="4"/>
      <c r="AH501" s="4"/>
    </row>
    <row r="502" ht="12.75" hidden="1" outlineLevel="1">
      <c r="A502" s="4"/>
      <c r="B502" s="4">
        <v>3.26</v>
      </c>
      <c r="C502" s="187">
        <v>0.1447224751936258</v>
      </c>
      <c r="D502" s="190">
        <v>1.965626726827813</v>
      </c>
      <c r="E502" s="4"/>
      <c r="F502" s="4">
        <v>3.26</v>
      </c>
      <c r="G502" s="187">
        <v>0.09150247851312443</v>
      </c>
      <c r="H502" s="190">
        <v>1.5492575849424315</v>
      </c>
      <c r="I502" s="4"/>
      <c r="J502" s="4">
        <v>3.26</v>
      </c>
      <c r="K502" s="187">
        <v>0.17612818016700538</v>
      </c>
      <c r="L502" s="190">
        <v>2.2504702657712787</v>
      </c>
      <c r="M502" s="4"/>
      <c r="N502" s="4">
        <v>3.26</v>
      </c>
      <c r="O502" s="187">
        <v>0.13324738198673192</v>
      </c>
      <c r="P502" s="190">
        <v>1.8690616309163415</v>
      </c>
      <c r="Q502" s="4"/>
      <c r="R502" s="4">
        <v>3.26</v>
      </c>
      <c r="S502" s="187">
        <v>-0.012916610782026217</v>
      </c>
      <c r="T502" s="190">
        <v>0.9370639233244255</v>
      </c>
      <c r="U502" s="4"/>
      <c r="V502" s="4">
        <v>3.26</v>
      </c>
      <c r="W502" s="187">
        <v>0.14850879730929134</v>
      </c>
      <c r="X502" s="190">
        <v>1.9983503490207595</v>
      </c>
      <c r="Y502" s="4"/>
      <c r="Z502" s="4">
        <v>3.26</v>
      </c>
      <c r="AA502" s="187">
        <v>-1.5686238266359462</v>
      </c>
      <c r="AB502" s="190">
        <v>-0.059446360155512114</v>
      </c>
      <c r="AC502" s="4"/>
      <c r="AD502" s="4">
        <v>3.26</v>
      </c>
      <c r="AE502" s="187">
        <v>0.15548661291431953</v>
      </c>
      <c r="AF502" s="190">
        <v>2.0597978061934956</v>
      </c>
      <c r="AG502" s="4"/>
      <c r="AH502" s="4"/>
    </row>
    <row r="503" ht="12.75" hidden="1" outlineLevel="1">
      <c r="A503" s="4"/>
      <c r="B503" s="4">
        <v>3.28</v>
      </c>
      <c r="C503" s="187">
        <v>0.14429465148652532</v>
      </c>
      <c r="D503" s="190">
        <v>1.9619563465121435</v>
      </c>
      <c r="E503" s="4"/>
      <c r="F503" s="4">
        <v>3.28</v>
      </c>
      <c r="G503" s="187">
        <v>0.09066039951695526</v>
      </c>
      <c r="H503" s="190">
        <v>1.5432906453678052</v>
      </c>
      <c r="I503" s="4"/>
      <c r="J503" s="4">
        <v>3.28</v>
      </c>
      <c r="K503" s="187">
        <v>0.1758960050652023</v>
      </c>
      <c r="L503" s="190">
        <v>2.2482498576484073</v>
      </c>
      <c r="M503" s="4"/>
      <c r="N503" s="4">
        <v>3.28</v>
      </c>
      <c r="O503" s="187">
        <v>0.1326938376165543</v>
      </c>
      <c r="P503" s="190">
        <v>1.8645012925182876</v>
      </c>
      <c r="Q503" s="4"/>
      <c r="R503" s="4">
        <v>3.28</v>
      </c>
      <c r="S503" s="187">
        <v>-0.015202205531223756</v>
      </c>
      <c r="T503" s="190">
        <v>0.9262651757452135</v>
      </c>
      <c r="U503" s="4"/>
      <c r="V503" s="4">
        <v>3.28</v>
      </c>
      <c r="W503" s="187">
        <v>0.14807660030012282</v>
      </c>
      <c r="X503" s="190">
        <v>1.9945931672535138</v>
      </c>
      <c r="Y503" s="4"/>
      <c r="Z503" s="4">
        <v>3.28</v>
      </c>
      <c r="AA503" s="187">
        <v>-1.597821690789667</v>
      </c>
      <c r="AB503" s="190">
        <v>-0.07635866775607417</v>
      </c>
      <c r="AC503" s="4"/>
      <c r="AD503" s="4">
        <v>3.28</v>
      </c>
      <c r="AE503" s="187">
        <v>0.1551885220609277</v>
      </c>
      <c r="AF503" s="190">
        <v>2.057142257615906</v>
      </c>
      <c r="AG503" s="4"/>
      <c r="AH503" s="4"/>
    </row>
    <row r="504" ht="12.75" hidden="1" outlineLevel="1">
      <c r="A504" s="4"/>
      <c r="B504" s="4">
        <v>3.3</v>
      </c>
      <c r="C504" s="187">
        <v>0.1438665945144444</v>
      </c>
      <c r="D504" s="190">
        <v>1.9582894544159954</v>
      </c>
      <c r="E504" s="4"/>
      <c r="F504" s="4">
        <v>3.3</v>
      </c>
      <c r="G504" s="187">
        <v>0.08981663024175379</v>
      </c>
      <c r="H504" s="190">
        <v>1.5373301833805133</v>
      </c>
      <c r="I504" s="4"/>
      <c r="J504" s="4">
        <v>3.3</v>
      </c>
      <c r="K504" s="187">
        <v>0.17566364645094623</v>
      </c>
      <c r="L504" s="190">
        <v>2.2460294495255373</v>
      </c>
      <c r="M504" s="4"/>
      <c r="N504" s="4">
        <v>3.3</v>
      </c>
      <c r="O504" s="187">
        <v>0.1321392090639213</v>
      </c>
      <c r="P504" s="190">
        <v>1.8599409541202336</v>
      </c>
      <c r="Q504" s="4"/>
      <c r="R504" s="4">
        <v>3.3</v>
      </c>
      <c r="S504" s="187">
        <v>-0.017567076562522432</v>
      </c>
      <c r="T504" s="190">
        <v>0.9151969010993909</v>
      </c>
      <c r="U504" s="4"/>
      <c r="V504" s="4">
        <v>3.3</v>
      </c>
      <c r="W504" s="187">
        <v>0.1476437515016138</v>
      </c>
      <c r="X504" s="190">
        <v>1.9908359854862672</v>
      </c>
      <c r="Y504" s="4"/>
      <c r="Z504" s="4">
        <v>3.3</v>
      </c>
      <c r="AA504" s="187">
        <v>-1.6222276466576506</v>
      </c>
      <c r="AB504" s="190">
        <v>-0.09327097535663581</v>
      </c>
      <c r="AC504" s="4"/>
      <c r="AD504" s="4">
        <v>3.3</v>
      </c>
      <c r="AE504" s="187">
        <v>0.1548909111209864</v>
      </c>
      <c r="AF504" s="190">
        <v>2.0544937173381412</v>
      </c>
      <c r="AG504" s="4"/>
      <c r="AH504" s="4"/>
    </row>
    <row r="505" ht="12.75" hidden="1" outlineLevel="1">
      <c r="A505" s="4"/>
      <c r="B505" s="4">
        <v>3.32</v>
      </c>
      <c r="C505" s="187">
        <v>0.14343830365586707</v>
      </c>
      <c r="D505" s="190">
        <v>1.954626048038993</v>
      </c>
      <c r="E505" s="4"/>
      <c r="F505" s="4">
        <v>3.32</v>
      </c>
      <c r="G505" s="187">
        <v>0.0889711602622969</v>
      </c>
      <c r="H505" s="190">
        <v>1.5313761937274293</v>
      </c>
      <c r="I505" s="4"/>
      <c r="J505" s="4">
        <v>3.32</v>
      </c>
      <c r="K505" s="187">
        <v>0.17543110399755313</v>
      </c>
      <c r="L505" s="190">
        <v>2.243809041402666</v>
      </c>
      <c r="M505" s="4"/>
      <c r="N505" s="4">
        <v>3.32</v>
      </c>
      <c r="O505" s="187">
        <v>0.13158349153922821</v>
      </c>
      <c r="P505" s="190">
        <v>1.855380615722179</v>
      </c>
      <c r="Q505" s="4"/>
      <c r="R505" s="4">
        <v>3.32</v>
      </c>
      <c r="S505" s="187">
        <v>-0.019978340988350496</v>
      </c>
      <c r="T505" s="190">
        <v>0.9040206891289626</v>
      </c>
      <c r="U505" s="4"/>
      <c r="V505" s="4">
        <v>3.32</v>
      </c>
      <c r="W505" s="187">
        <v>0.1472102486979423</v>
      </c>
      <c r="X505" s="190">
        <v>1.987078803719022</v>
      </c>
      <c r="Y505" s="4"/>
      <c r="Z505" s="4">
        <v>3.32</v>
      </c>
      <c r="AA505" s="187">
        <v>-1.6433142057328958</v>
      </c>
      <c r="AB505" s="190">
        <v>-0.11018328295719726</v>
      </c>
      <c r="AC505" s="4"/>
      <c r="AD505" s="4">
        <v>3.32</v>
      </c>
      <c r="AE505" s="187">
        <v>0.15459377869993784</v>
      </c>
      <c r="AF505" s="190">
        <v>2.051852157653194</v>
      </c>
      <c r="AG505" s="4"/>
      <c r="AH505" s="4"/>
    </row>
    <row r="506" ht="12.75" hidden="1" outlineLevel="1">
      <c r="A506" s="4"/>
      <c r="B506" s="4">
        <v>3.34</v>
      </c>
      <c r="C506" s="187">
        <v>0.14300977828693373</v>
      </c>
      <c r="D506" s="190">
        <v>1.9509661248819512</v>
      </c>
      <c r="E506" s="4"/>
      <c r="F506" s="4">
        <v>3.34</v>
      </c>
      <c r="G506" s="187">
        <v>0.08812397905614944</v>
      </c>
      <c r="H506" s="190">
        <v>1.5254286711582479</v>
      </c>
      <c r="I506" s="4"/>
      <c r="J506" s="4">
        <v>3.34</v>
      </c>
      <c r="K506" s="187">
        <v>0.17519837737743393</v>
      </c>
      <c r="L506" s="190">
        <v>2.241588633279795</v>
      </c>
      <c r="M506" s="4"/>
      <c r="N506" s="4">
        <v>3.34</v>
      </c>
      <c r="O506" s="187">
        <v>0.13102668021987518</v>
      </c>
      <c r="P506" s="190">
        <v>1.8508202773241238</v>
      </c>
      <c r="Q506" s="4"/>
      <c r="R506" s="4">
        <v>3.34</v>
      </c>
      <c r="S506" s="187">
        <v>-0.022413572545603833</v>
      </c>
      <c r="T506" s="190">
        <v>0.8928444771585347</v>
      </c>
      <c r="U506" s="4"/>
      <c r="V506" s="4">
        <v>3.34</v>
      </c>
      <c r="W506" s="187">
        <v>0.1467760896615462</v>
      </c>
      <c r="X506" s="190">
        <v>1.9833216219517762</v>
      </c>
      <c r="Y506" s="4"/>
      <c r="Z506" s="4">
        <v>3.34</v>
      </c>
      <c r="AA506" s="187">
        <v>-1.6619513873034566</v>
      </c>
      <c r="AB506" s="190">
        <v>-0.1270955905577589</v>
      </c>
      <c r="AC506" s="4"/>
      <c r="AD506" s="4">
        <v>3.34</v>
      </c>
      <c r="AE506" s="187">
        <v>0.15429712340910395</v>
      </c>
      <c r="AF506" s="190">
        <v>2.049217550999911</v>
      </c>
      <c r="AG506" s="4"/>
      <c r="AH506" s="4"/>
    </row>
    <row r="507" ht="12.75" hidden="1" outlineLevel="1">
      <c r="A507" s="4"/>
      <c r="B507" s="4">
        <v>3.36</v>
      </c>
      <c r="C507" s="187">
        <v>0.14258101778142707</v>
      </c>
      <c r="D507" s="190">
        <v>1.9473096824468594</v>
      </c>
      <c r="E507" s="4"/>
      <c r="F507" s="4">
        <v>3.36</v>
      </c>
      <c r="G507" s="187">
        <v>0.08727507600243745</v>
      </c>
      <c r="H507" s="190">
        <v>1.519487610425489</v>
      </c>
      <c r="I507" s="4"/>
      <c r="J507" s="4">
        <v>3.36</v>
      </c>
      <c r="K507" s="187">
        <v>0.17496546626209075</v>
      </c>
      <c r="L507" s="190">
        <v>2.239368225156924</v>
      </c>
      <c r="M507" s="4"/>
      <c r="N507" s="4">
        <v>3.36</v>
      </c>
      <c r="O507" s="187">
        <v>0.1304687702499585</v>
      </c>
      <c r="P507" s="190">
        <v>1.8462599389260703</v>
      </c>
      <c r="Q507" s="4"/>
      <c r="R507" s="4">
        <v>3.36</v>
      </c>
      <c r="S507" s="187">
        <v>-0.02487331399247772</v>
      </c>
      <c r="T507" s="190">
        <v>0.8816682651881063</v>
      </c>
      <c r="U507" s="4"/>
      <c r="V507" s="4">
        <v>3.36</v>
      </c>
      <c r="W507" s="187">
        <v>0.14634127215303883</v>
      </c>
      <c r="X507" s="190">
        <v>1.9795644401845296</v>
      </c>
      <c r="Y507" s="4"/>
      <c r="Z507" s="4">
        <v>3.36</v>
      </c>
      <c r="AA507" s="187">
        <v>-1.6786990829104402</v>
      </c>
      <c r="AB507" s="190">
        <v>-0.14400789815832055</v>
      </c>
      <c r="AC507" s="4"/>
      <c r="AD507" s="4">
        <v>3.36</v>
      </c>
      <c r="AE507" s="187">
        <v>0.154000943865654</v>
      </c>
      <c r="AF507" s="190">
        <v>2.046589869962045</v>
      </c>
      <c r="AG507" s="4"/>
      <c r="AH507" s="4"/>
    </row>
    <row r="508" ht="12.75" hidden="1" outlineLevel="1">
      <c r="A508" s="4"/>
      <c r="B508" s="4">
        <v>3.38</v>
      </c>
      <c r="C508" s="187">
        <v>0.14215202151076323</v>
      </c>
      <c r="D508" s="190">
        <v>1.9436567182368947</v>
      </c>
      <c r="E508" s="4"/>
      <c r="F508" s="4">
        <v>3.38</v>
      </c>
      <c r="G508" s="187">
        <v>0.08642444038059671</v>
      </c>
      <c r="H508" s="190">
        <v>1.513553006284482</v>
      </c>
      <c r="I508" s="4"/>
      <c r="J508" s="4">
        <v>3.38</v>
      </c>
      <c r="K508" s="187">
        <v>0.1747323703221133</v>
      </c>
      <c r="L508" s="190">
        <v>2.2371478170340544</v>
      </c>
      <c r="M508" s="4"/>
      <c r="N508" s="4">
        <v>3.38</v>
      </c>
      <c r="O508" s="187">
        <v>0.12990975673995608</v>
      </c>
      <c r="P508" s="190">
        <v>1.8416996005280162</v>
      </c>
      <c r="Q508" s="4"/>
      <c r="R508" s="4">
        <v>3.38</v>
      </c>
      <c r="S508" s="187">
        <v>-0.027358127450845315</v>
      </c>
      <c r="T508" s="190">
        <v>0.8704920532176775</v>
      </c>
      <c r="U508" s="4"/>
      <c r="V508" s="4">
        <v>3.38</v>
      </c>
      <c r="W508" s="187">
        <v>0.14590579392112324</v>
      </c>
      <c r="X508" s="190">
        <v>1.9758072584172839</v>
      </c>
      <c r="Y508" s="4"/>
      <c r="Z508" s="4">
        <v>3.38</v>
      </c>
      <c r="AA508" s="187">
        <v>-1.6939403101163832</v>
      </c>
      <c r="AB508" s="190">
        <v>-0.1609202057588822</v>
      </c>
      <c r="AC508" s="4"/>
      <c r="AD508" s="4">
        <v>3.38</v>
      </c>
      <c r="AE508" s="187">
        <v>0.1537052386925717</v>
      </c>
      <c r="AF508" s="190">
        <v>2.0439690872672935</v>
      </c>
      <c r="AG508" s="4"/>
      <c r="AH508" s="4"/>
    </row>
    <row r="509" ht="12.75" hidden="1" outlineLevel="1">
      <c r="A509" s="4"/>
      <c r="B509" s="4">
        <v>3.4</v>
      </c>
      <c r="C509" s="187">
        <v>0.1417227888439776</v>
      </c>
      <c r="D509" s="190">
        <v>1.9400072297564175</v>
      </c>
      <c r="E509" s="4"/>
      <c r="F509" s="4">
        <v>3.4</v>
      </c>
      <c r="G509" s="187">
        <v>0.08557206136911</v>
      </c>
      <c r="H509" s="190">
        <v>1.5076248534933816</v>
      </c>
      <c r="I509" s="4"/>
      <c r="J509" s="4">
        <v>3.4</v>
      </c>
      <c r="K509" s="187">
        <v>0.17449908922717494</v>
      </c>
      <c r="L509" s="190">
        <v>2.234927408911182</v>
      </c>
      <c r="M509" s="4"/>
      <c r="N509" s="4">
        <v>3.4</v>
      </c>
      <c r="O509" s="187">
        <v>0.1293496347664127</v>
      </c>
      <c r="P509" s="190">
        <v>1.8371392621299598</v>
      </c>
      <c r="Q509" s="4"/>
      <c r="R509" s="4">
        <v>3.4</v>
      </c>
      <c r="S509" s="187">
        <v>-0.029930122668466064</v>
      </c>
      <c r="T509" s="190">
        <v>0.8590433797635312</v>
      </c>
      <c r="U509" s="4"/>
      <c r="V509" s="4">
        <v>3.4</v>
      </c>
      <c r="W509" s="187">
        <v>0.145469652702507</v>
      </c>
      <c r="X509" s="190">
        <v>1.9720500766500377</v>
      </c>
      <c r="Y509" s="4"/>
      <c r="Z509" s="4">
        <v>3.4</v>
      </c>
      <c r="AA509" s="187">
        <v>-1.7079494249217584</v>
      </c>
      <c r="AB509" s="190">
        <v>-0.17783251335944383</v>
      </c>
      <c r="AC509" s="4"/>
      <c r="AD509" s="4">
        <v>3.4</v>
      </c>
      <c r="AE509" s="187">
        <v>0.1534100065186239</v>
      </c>
      <c r="AF509" s="190">
        <v>2.0413551757863613</v>
      </c>
      <c r="AG509" s="4"/>
      <c r="AH509" s="4"/>
    </row>
    <row r="510" ht="12.75" hidden="1" outlineLevel="1">
      <c r="A510" s="4"/>
      <c r="B510" s="4">
        <v>3.42</v>
      </c>
      <c r="C510" s="187">
        <v>0.1412933191477137</v>
      </c>
      <c r="D510" s="190">
        <v>1.936361214510968</v>
      </c>
      <c r="E510" s="4"/>
      <c r="F510" s="4">
        <v>3.42</v>
      </c>
      <c r="G510" s="187">
        <v>0.08471792804421563</v>
      </c>
      <c r="H510" s="190">
        <v>1.5017031468131572</v>
      </c>
      <c r="I510" s="4"/>
      <c r="J510" s="4">
        <v>3.42</v>
      </c>
      <c r="K510" s="187">
        <v>0.1742656226460304</v>
      </c>
      <c r="L510" s="190">
        <v>2.2327070007883103</v>
      </c>
      <c r="M510" s="4"/>
      <c r="N510" s="4">
        <v>3.42</v>
      </c>
      <c r="O510" s="187">
        <v>0.12878839937161923</v>
      </c>
      <c r="P510" s="190">
        <v>1.8325789237319057</v>
      </c>
      <c r="Q510" s="4"/>
      <c r="R510" s="4">
        <v>3.42</v>
      </c>
      <c r="S510" s="187">
        <v>-0.03254380245004862</v>
      </c>
      <c r="T510" s="190">
        <v>0.8475328793673685</v>
      </c>
      <c r="U510" s="4"/>
      <c r="V510" s="4">
        <v>3.42</v>
      </c>
      <c r="W510" s="187">
        <v>0.14503284622181423</v>
      </c>
      <c r="X510" s="190">
        <v>1.9682928948827922</v>
      </c>
      <c r="Y510" s="4"/>
      <c r="Z510" s="4">
        <v>3.42</v>
      </c>
      <c r="AA510" s="187">
        <v>-1.7209301414590645</v>
      </c>
      <c r="AB510" s="190">
        <v>-0.19474482096000548</v>
      </c>
      <c r="AC510" s="4"/>
      <c r="AD510" s="4">
        <v>3.42</v>
      </c>
      <c r="AE510" s="187">
        <v>0.15311524597832915</v>
      </c>
      <c r="AF510" s="190">
        <v>2.038748108532026</v>
      </c>
      <c r="AG510" s="4"/>
      <c r="AH510" s="4"/>
    </row>
    <row r="511" ht="12.75" hidden="1" outlineLevel="1">
      <c r="A511" s="4"/>
      <c r="B511" s="4">
        <v>3.44</v>
      </c>
      <c r="C511" s="187">
        <v>0.14086361178621254</v>
      </c>
      <c r="D511" s="190">
        <v>1.9327186700072758</v>
      </c>
      <c r="E511" s="4"/>
      <c r="F511" s="4">
        <v>3.44</v>
      </c>
      <c r="G511" s="187">
        <v>0.0838620293786001</v>
      </c>
      <c r="H511" s="190">
        <v>1.4957878810075973</v>
      </c>
      <c r="I511" s="4"/>
      <c r="J511" s="4">
        <v>3.44</v>
      </c>
      <c r="K511" s="187">
        <v>0.17403197024651162</v>
      </c>
      <c r="L511" s="190">
        <v>2.230486592665441</v>
      </c>
      <c r="M511" s="4"/>
      <c r="N511" s="4">
        <v>3.44</v>
      </c>
      <c r="O511" s="187">
        <v>0.12822604556328665</v>
      </c>
      <c r="P511" s="190">
        <v>1.828018585333852</v>
      </c>
      <c r="Q511" s="4"/>
      <c r="R511" s="4">
        <v>3.44</v>
      </c>
      <c r="S511" s="187">
        <v>-0.035186035789988135</v>
      </c>
      <c r="T511" s="190">
        <v>0.8360223789712067</v>
      </c>
      <c r="U511" s="4"/>
      <c r="V511" s="4">
        <v>3.44</v>
      </c>
      <c r="W511" s="187">
        <v>0.14459537219149854</v>
      </c>
      <c r="X511" s="190">
        <v>1.964535713115546</v>
      </c>
      <c r="Y511" s="4"/>
      <c r="Z511" s="4">
        <v>3.44</v>
      </c>
      <c r="AA511" s="187">
        <v>-1.7330381541979927</v>
      </c>
      <c r="AB511" s="190">
        <v>-0.21165712856056734</v>
      </c>
      <c r="AC511" s="4"/>
      <c r="AD511" s="4">
        <v>3.44</v>
      </c>
      <c r="AE511" s="187">
        <v>0.15282095571192444</v>
      </c>
      <c r="AF511" s="190">
        <v>2.0361478586582016</v>
      </c>
      <c r="AG511" s="4"/>
      <c r="AH511" s="4"/>
    </row>
    <row r="512" ht="12.75" hidden="1" outlineLevel="1">
      <c r="A512" s="4"/>
      <c r="B512" s="4">
        <v>3.46</v>
      </c>
      <c r="C512" s="187">
        <v>0.14043366612129682</v>
      </c>
      <c r="D512" s="190">
        <v>1.9290795937532437</v>
      </c>
      <c r="E512" s="4"/>
      <c r="F512" s="4">
        <v>3.46</v>
      </c>
      <c r="G512" s="187">
        <v>0.08300435424006847</v>
      </c>
      <c r="H512" s="190">
        <v>1.4898790508433064</v>
      </c>
      <c r="I512" s="4"/>
      <c r="J512" s="4">
        <v>3.46</v>
      </c>
      <c r="K512" s="187">
        <v>0.17379813169552394</v>
      </c>
      <c r="L512" s="190">
        <v>2.2282661845425697</v>
      </c>
      <c r="M512" s="4"/>
      <c r="N512" s="4">
        <v>3.46</v>
      </c>
      <c r="O512" s="187">
        <v>0.1276625683142203</v>
      </c>
      <c r="P512" s="190">
        <v>1.8234582469357965</v>
      </c>
      <c r="Q512" s="4"/>
      <c r="R512" s="4">
        <v>3.46</v>
      </c>
      <c r="S512" s="187">
        <v>-0.03785753427929839</v>
      </c>
      <c r="T512" s="190">
        <v>0.824511878575044</v>
      </c>
      <c r="U512" s="4"/>
      <c r="V512" s="4">
        <v>3.46</v>
      </c>
      <c r="W512" s="187">
        <v>0.1441578828559542</v>
      </c>
      <c r="X512" s="190">
        <v>1.9607841399204977</v>
      </c>
      <c r="Y512" s="4"/>
      <c r="Z512" s="4">
        <v>3.46</v>
      </c>
      <c r="AA512" s="187">
        <v>-1.7443953154203178</v>
      </c>
      <c r="AB512" s="190">
        <v>-0.22856943616112899</v>
      </c>
      <c r="AC512" s="4"/>
      <c r="AD512" s="4">
        <v>3.46</v>
      </c>
      <c r="AE512" s="187">
        <v>0.15252713436533583</v>
      </c>
      <c r="AF512" s="190">
        <v>2.033554399459026</v>
      </c>
      <c r="AG512" s="4"/>
      <c r="AH512" s="4"/>
    </row>
    <row r="513" ht="12.75" hidden="1" outlineLevel="1">
      <c r="A513" s="4"/>
      <c r="B513" s="4">
        <v>3.48</v>
      </c>
      <c r="C513" s="187">
        <v>0.14000348151236253</v>
      </c>
      <c r="D513" s="190">
        <v>1.9254439832579613</v>
      </c>
      <c r="E513" s="4"/>
      <c r="F513" s="4">
        <v>3.48</v>
      </c>
      <c r="G513" s="187">
        <v>0.08214489139019165</v>
      </c>
      <c r="H513" s="190">
        <v>1.4839766510897023</v>
      </c>
      <c r="I513" s="4"/>
      <c r="J513" s="4">
        <v>3.48</v>
      </c>
      <c r="K513" s="187">
        <v>0.17356410665904298</v>
      </c>
      <c r="L513" s="190">
        <v>2.226045776419699</v>
      </c>
      <c r="M513" s="4"/>
      <c r="N513" s="4">
        <v>3.48</v>
      </c>
      <c r="O513" s="187">
        <v>0.12709796256198658</v>
      </c>
      <c r="P513" s="190">
        <v>1.818897908537742</v>
      </c>
      <c r="Q513" s="4"/>
      <c r="R513" s="4">
        <v>3.48</v>
      </c>
      <c r="S513" s="187">
        <v>-0.04055903748267553</v>
      </c>
      <c r="T513" s="190">
        <v>0.8130013781788819</v>
      </c>
      <c r="U513" s="4"/>
      <c r="V513" s="4">
        <v>3.48</v>
      </c>
      <c r="W513" s="187">
        <v>0.14372017538261694</v>
      </c>
      <c r="X513" s="190">
        <v>1.957036433970706</v>
      </c>
      <c r="Y513" s="4"/>
      <c r="Z513" s="4">
        <v>3.48</v>
      </c>
      <c r="AA513" s="187">
        <v>-1.7550989040267506</v>
      </c>
      <c r="AB513" s="190">
        <v>-0.24548174376169063</v>
      </c>
      <c r="AC513" s="4"/>
      <c r="AD513" s="4">
        <v>3.48</v>
      </c>
      <c r="AE513" s="187">
        <v>0.15223378059014547</v>
      </c>
      <c r="AF513" s="190">
        <v>2.0309677043679395</v>
      </c>
      <c r="AG513" s="4"/>
      <c r="AH513" s="4"/>
    </row>
    <row r="514" ht="12.75" hidden="1" outlineLevel="1">
      <c r="A514" s="4"/>
      <c r="B514" s="4">
        <v>3.5</v>
      </c>
      <c r="C514" s="187">
        <v>0.1395730573163645</v>
      </c>
      <c r="D514" s="190">
        <v>1.921811836031701</v>
      </c>
      <c r="E514" s="4"/>
      <c r="F514" s="4">
        <v>3.5</v>
      </c>
      <c r="G514" s="187">
        <v>0.08128362948293333</v>
      </c>
      <c r="H514" s="190">
        <v>1.478080676519017</v>
      </c>
      <c r="I514" s="4"/>
      <c r="J514" s="4">
        <v>3.5</v>
      </c>
      <c r="K514" s="187">
        <v>0.17332989480211136</v>
      </c>
      <c r="L514" s="190">
        <v>2.2238253682968274</v>
      </c>
      <c r="M514" s="4"/>
      <c r="N514" s="4">
        <v>3.5</v>
      </c>
      <c r="O514" s="187">
        <v>0.1265322232085766</v>
      </c>
      <c r="P514" s="190">
        <v>1.8143375701396882</v>
      </c>
      <c r="Q514" s="4"/>
      <c r="R514" s="4">
        <v>3.5</v>
      </c>
      <c r="S514" s="187">
        <v>-0.04329131445221246</v>
      </c>
      <c r="T514" s="190">
        <v>0.8014908777827204</v>
      </c>
      <c r="U514" s="4"/>
      <c r="V514" s="4">
        <v>3.5</v>
      </c>
      <c r="W514" s="187">
        <v>0.14328179683031128</v>
      </c>
      <c r="X514" s="190">
        <v>1.9532887280209141</v>
      </c>
      <c r="Y514" s="4"/>
      <c r="Z514" s="4">
        <v>3.5</v>
      </c>
      <c r="AA514" s="187">
        <v>-1.765227901965324</v>
      </c>
      <c r="AB514" s="190">
        <v>-0.26239405136225225</v>
      </c>
      <c r="AC514" s="4"/>
      <c r="AD514" s="4">
        <v>3.5</v>
      </c>
      <c r="AE514" s="187">
        <v>0.15194089304356195</v>
      </c>
      <c r="AF514" s="190">
        <v>2.028387746956781</v>
      </c>
      <c r="AG514" s="4"/>
      <c r="AH514" s="4"/>
    </row>
    <row r="515" ht="12.75" hidden="1" outlineLevel="1">
      <c r="A515" s="4"/>
      <c r="B515" s="4">
        <v>3.52</v>
      </c>
      <c r="C515" s="187">
        <v>0.13914239288780483</v>
      </c>
      <c r="D515" s="190">
        <v>1.9181831495859116</v>
      </c>
      <c r="E515" s="4"/>
      <c r="F515" s="4">
        <v>3.52</v>
      </c>
      <c r="G515" s="187">
        <v>0.0804205570632548</v>
      </c>
      <c r="H515" s="190">
        <v>1.4721911219063015</v>
      </c>
      <c r="I515" s="4"/>
      <c r="J515" s="4">
        <v>3.52</v>
      </c>
      <c r="K515" s="187">
        <v>0.17309549578883465</v>
      </c>
      <c r="L515" s="190">
        <v>2.2216049601739565</v>
      </c>
      <c r="M515" s="4"/>
      <c r="N515" s="4">
        <v>3.52</v>
      </c>
      <c r="O515" s="187">
        <v>0.12596534512006707</v>
      </c>
      <c r="P515" s="190">
        <v>1.8097772317416345</v>
      </c>
      <c r="Q515" s="4"/>
      <c r="R515" s="4">
        <v>3.52</v>
      </c>
      <c r="S515" s="187">
        <v>-0.046055165346075566</v>
      </c>
      <c r="T515" s="190">
        <v>0.7899803773865575</v>
      </c>
      <c r="U515" s="4"/>
      <c r="V515" s="4">
        <v>3.52</v>
      </c>
      <c r="W515" s="187">
        <v>0.1428427448796188</v>
      </c>
      <c r="X515" s="190">
        <v>1.9495410220711222</v>
      </c>
      <c r="Y515" s="4"/>
      <c r="Z515" s="4">
        <v>3.52</v>
      </c>
      <c r="AA515" s="187">
        <v>-1.7748473724809783</v>
      </c>
      <c r="AB515" s="190">
        <v>-0.2793063589628137</v>
      </c>
      <c r="AC515" s="4"/>
      <c r="AD515" s="4">
        <v>3.52</v>
      </c>
      <c r="AE515" s="187">
        <v>0.1516484703883887</v>
      </c>
      <c r="AF515" s="190">
        <v>2.0258145009348896</v>
      </c>
      <c r="AG515" s="4"/>
      <c r="AH515" s="4"/>
    </row>
    <row r="516" ht="12.75" hidden="1" outlineLevel="1">
      <c r="A516" s="4"/>
      <c r="B516" s="4">
        <v>3.54</v>
      </c>
      <c r="C516" s="187">
        <v>0.13871148757871987</v>
      </c>
      <c r="D516" s="190">
        <v>1.9145579214332291</v>
      </c>
      <c r="E516" s="4"/>
      <c r="F516" s="4">
        <v>3.54</v>
      </c>
      <c r="G516" s="187">
        <v>0.07955566256569346</v>
      </c>
      <c r="H516" s="190">
        <v>1.466307982029411</v>
      </c>
      <c r="I516" s="4"/>
      <c r="J516" s="4">
        <v>3.54</v>
      </c>
      <c r="K516" s="187">
        <v>0.17286090928237874</v>
      </c>
      <c r="L516" s="190">
        <v>2.2193845520510864</v>
      </c>
      <c r="M516" s="4"/>
      <c r="N516" s="4">
        <v>3.54</v>
      </c>
      <c r="O516" s="187">
        <v>0.12539732312627483</v>
      </c>
      <c r="P516" s="190">
        <v>1.8052168933435782</v>
      </c>
      <c r="Q516" s="4"/>
      <c r="R516" s="4">
        <v>3.54</v>
      </c>
      <c r="S516" s="187">
        <v>-0.0488514231610655</v>
      </c>
      <c r="T516" s="190">
        <v>0.7784698769903944</v>
      </c>
      <c r="U516" s="4"/>
      <c r="V516" s="4">
        <v>3.54</v>
      </c>
      <c r="W516" s="187">
        <v>0.14240301719862725</v>
      </c>
      <c r="X516" s="190">
        <v>1.9457933161213312</v>
      </c>
      <c r="Y516" s="4"/>
      <c r="Z516" s="4">
        <v>3.54</v>
      </c>
      <c r="AA516" s="187">
        <v>-1.7840115929616007</v>
      </c>
      <c r="AB516" s="190">
        <v>-0.29621866656337537</v>
      </c>
      <c r="AC516" s="4"/>
      <c r="AD516" s="4">
        <v>3.54</v>
      </c>
      <c r="AE516" s="187">
        <v>0.151356511292994</v>
      </c>
      <c r="AF516" s="190">
        <v>2.023247940148208</v>
      </c>
      <c r="AG516" s="4"/>
      <c r="AH516" s="4"/>
    </row>
    <row r="517" ht="12.75" hidden="1" outlineLevel="1">
      <c r="A517" s="4"/>
      <c r="B517" s="4">
        <v>3.56</v>
      </c>
      <c r="C517" s="187">
        <v>0.13828034073866813</v>
      </c>
      <c r="D517" s="190">
        <v>1.9109361490874648</v>
      </c>
      <c r="E517" s="4"/>
      <c r="F517" s="4">
        <v>3.56</v>
      </c>
      <c r="G517" s="187">
        <v>0.07868893431292401</v>
      </c>
      <c r="H517" s="190">
        <v>1.460431251669021</v>
      </c>
      <c r="I517" s="4"/>
      <c r="J517" s="4">
        <v>3.56</v>
      </c>
      <c r="K517" s="187">
        <v>0.17262613494496426</v>
      </c>
      <c r="L517" s="190">
        <v>2.217164143928216</v>
      </c>
      <c r="M517" s="4"/>
      <c r="N517" s="4">
        <v>3.56</v>
      </c>
      <c r="O517" s="187">
        <v>0.12482815202040998</v>
      </c>
      <c r="P517" s="190">
        <v>1.800656554945524</v>
      </c>
      <c r="Q517" s="4"/>
      <c r="R517" s="4">
        <v>3.56</v>
      </c>
      <c r="S517" s="187">
        <v>-0.0516897605715223</v>
      </c>
      <c r="T517" s="190">
        <v>0.7669237718121327</v>
      </c>
      <c r="U517" s="4"/>
      <c r="V517" s="4">
        <v>3.56</v>
      </c>
      <c r="W517" s="187">
        <v>0.14196261144283873</v>
      </c>
      <c r="X517" s="190">
        <v>1.9420456101715395</v>
      </c>
      <c r="Y517" s="4"/>
      <c r="Z517" s="4">
        <v>3.56</v>
      </c>
      <c r="AA517" s="187">
        <v>-1.7927663466195707</v>
      </c>
      <c r="AB517" s="190">
        <v>-0.313130974163937</v>
      </c>
      <c r="AC517" s="4"/>
      <c r="AD517" s="4">
        <v>3.56</v>
      </c>
      <c r="AE517" s="187">
        <v>0.15106501443128018</v>
      </c>
      <c r="AF517" s="190">
        <v>2.020688038578396</v>
      </c>
      <c r="AG517" s="4"/>
      <c r="AH517" s="4"/>
    </row>
    <row r="518" ht="12.75" hidden="1" outlineLevel="1">
      <c r="A518" s="4"/>
      <c r="B518" s="4">
        <v>3.58</v>
      </c>
      <c r="C518" s="187">
        <v>0.13784895171471767</v>
      </c>
      <c r="D518" s="190">
        <v>1.9073178300636116</v>
      </c>
      <c r="E518" s="4"/>
      <c r="F518" s="4">
        <v>3.58</v>
      </c>
      <c r="G518" s="187">
        <v>0.07782036051428842</v>
      </c>
      <c r="H518" s="190">
        <v>1.4545609256086123</v>
      </c>
      <c r="I518" s="4"/>
      <c r="J518" s="4">
        <v>3.58</v>
      </c>
      <c r="K518" s="187">
        <v>0.17239117243786506</v>
      </c>
      <c r="L518" s="190">
        <v>2.214943735805344</v>
      </c>
      <c r="M518" s="4"/>
      <c r="N518" s="4">
        <v>3.58</v>
      </c>
      <c r="O518" s="187">
        <v>0.12425782655872175</v>
      </c>
      <c r="P518" s="190">
        <v>1.7960962165474699</v>
      </c>
      <c r="Q518" s="4"/>
      <c r="R518" s="4">
        <v>3.58</v>
      </c>
      <c r="S518" s="187">
        <v>-0.054623574330797786</v>
      </c>
      <c r="T518" s="190">
        <v>0.7551336815098133</v>
      </c>
      <c r="U518" s="4"/>
      <c r="V518" s="4">
        <v>3.58</v>
      </c>
      <c r="W518" s="187">
        <v>0.141521525255077</v>
      </c>
      <c r="X518" s="190">
        <v>1.9382979042217476</v>
      </c>
      <c r="Y518" s="4"/>
      <c r="Z518" s="4">
        <v>3.58</v>
      </c>
      <c r="AA518" s="187">
        <v>-1.8011506315277965</v>
      </c>
      <c r="AB518" s="190">
        <v>-0.33004328176449865</v>
      </c>
      <c r="AC518" s="4"/>
      <c r="AD518" s="4">
        <v>3.58</v>
      </c>
      <c r="AE518" s="187">
        <v>0.15077397848265406</v>
      </c>
      <c r="AF518" s="190">
        <v>2.018134770341958</v>
      </c>
      <c r="AG518" s="4"/>
      <c r="AH518" s="4"/>
    </row>
    <row r="519" ht="12.75" hidden="1" outlineLevel="1">
      <c r="A519" s="4"/>
      <c r="B519" s="4">
        <v>3.6</v>
      </c>
      <c r="C519" s="187">
        <v>0.13741731985143346</v>
      </c>
      <c r="D519" s="190">
        <v>1.9037029618778478</v>
      </c>
      <c r="E519" s="4"/>
      <c r="F519" s="4">
        <v>3.6</v>
      </c>
      <c r="G519" s="187">
        <v>0.0769499292643081</v>
      </c>
      <c r="H519" s="190">
        <v>1.4486969986344786</v>
      </c>
      <c r="I519" s="4"/>
      <c r="J519" s="4">
        <v>3.6</v>
      </c>
      <c r="K519" s="187">
        <v>0.1721560214214044</v>
      </c>
      <c r="L519" s="190">
        <v>2.212723327682473</v>
      </c>
      <c r="M519" s="4"/>
      <c r="N519" s="4">
        <v>3.6</v>
      </c>
      <c r="O519" s="187">
        <v>0.12368634146014168</v>
      </c>
      <c r="P519" s="190">
        <v>1.7915358781494148</v>
      </c>
      <c r="Q519" s="4"/>
      <c r="R519" s="4">
        <v>3.6</v>
      </c>
      <c r="S519" s="187">
        <v>-0.05759396728749877</v>
      </c>
      <c r="T519" s="190">
        <v>0.7433447657729927</v>
      </c>
      <c r="U519" s="4"/>
      <c r="V519" s="4">
        <v>3.6</v>
      </c>
      <c r="W519" s="187">
        <v>0.14107975626539493</v>
      </c>
      <c r="X519" s="190">
        <v>1.9345501982719557</v>
      </c>
      <c r="Y519" s="4"/>
      <c r="Z519" s="4">
        <v>3.6</v>
      </c>
      <c r="AA519" s="187">
        <v>-1.8091979570441472</v>
      </c>
      <c r="AB519" s="190">
        <v>-0.34695558936506027</v>
      </c>
      <c r="AC519" s="4"/>
      <c r="AD519" s="4">
        <v>3.6</v>
      </c>
      <c r="AE519" s="187">
        <v>0.1504834021319963</v>
      </c>
      <c r="AF519" s="190">
        <v>2.01558810968936</v>
      </c>
      <c r="AG519" s="4"/>
      <c r="AH519" s="4"/>
    </row>
    <row r="520" ht="12.75" hidden="1" outlineLevel="1">
      <c r="A520" s="4"/>
      <c r="B520" s="4">
        <v>3.62</v>
      </c>
      <c r="C520" s="187">
        <v>0.13698544449086358</v>
      </c>
      <c r="D520" s="190">
        <v>1.9000915420475204</v>
      </c>
      <c r="E520" s="4"/>
      <c r="F520" s="4">
        <v>3.62</v>
      </c>
      <c r="G520" s="187">
        <v>0.07607762854116773</v>
      </c>
      <c r="H520" s="190">
        <v>1.4428394655357244</v>
      </c>
      <c r="I520" s="4"/>
      <c r="J520" s="4">
        <v>3.62</v>
      </c>
      <c r="K520" s="187">
        <v>0.17192068155494966</v>
      </c>
      <c r="L520" s="190">
        <v>2.2105029195596027</v>
      </c>
      <c r="M520" s="4"/>
      <c r="N520" s="4">
        <v>3.62</v>
      </c>
      <c r="O520" s="187">
        <v>0.12311369140592365</v>
      </c>
      <c r="P520" s="190">
        <v>1.7869755397513603</v>
      </c>
      <c r="Q520" s="4"/>
      <c r="R520" s="4">
        <v>3.62</v>
      </c>
      <c r="S520" s="187">
        <v>-0.060602289216371674</v>
      </c>
      <c r="T520" s="190">
        <v>0.731555850036171</v>
      </c>
      <c r="U520" s="4"/>
      <c r="V520" s="4">
        <v>3.62</v>
      </c>
      <c r="W520" s="187">
        <v>0.1406373020909799</v>
      </c>
      <c r="X520" s="190">
        <v>1.930802492322164</v>
      </c>
      <c r="Y520" s="4"/>
      <c r="Z520" s="4">
        <v>3.62</v>
      </c>
      <c r="AA520" s="187">
        <v>-1.8169373422560446</v>
      </c>
      <c r="AB520" s="190">
        <v>-0.36386789696562194</v>
      </c>
      <c r="AC520" s="4"/>
      <c r="AD520" s="4">
        <v>3.62</v>
      </c>
      <c r="AE520" s="187">
        <v>0.1501932840696325</v>
      </c>
      <c r="AF520" s="190">
        <v>2.0130480310041756</v>
      </c>
      <c r="AG520" s="4"/>
      <c r="AH520" s="4"/>
    </row>
    <row r="521" ht="12.75" hidden="1" outlineLevel="1">
      <c r="A521" s="4"/>
      <c r="B521" s="4">
        <v>3.64</v>
      </c>
      <c r="C521" s="187">
        <v>0.13655332497252792</v>
      </c>
      <c r="D521" s="190">
        <v>1.8964835680911638</v>
      </c>
      <c r="E521" s="4"/>
      <c r="F521" s="4">
        <v>3.64</v>
      </c>
      <c r="G521" s="187">
        <v>0.07520344620517361</v>
      </c>
      <c r="H521" s="190">
        <v>1.4369883211042584</v>
      </c>
      <c r="I521" s="4"/>
      <c r="J521" s="4">
        <v>3.64</v>
      </c>
      <c r="K521" s="187">
        <v>0.17168515249691074</v>
      </c>
      <c r="L521" s="190">
        <v>2.2082825114367326</v>
      </c>
      <c r="M521" s="4"/>
      <c r="N521" s="4">
        <v>3.64</v>
      </c>
      <c r="O521" s="187">
        <v>0.12253987103927666</v>
      </c>
      <c r="P521" s="190">
        <v>1.7824152013533066</v>
      </c>
      <c r="Q521" s="4"/>
      <c r="R521" s="4">
        <v>3.64</v>
      </c>
      <c r="S521" s="187">
        <v>-0.06364964753136437</v>
      </c>
      <c r="T521" s="190">
        <v>0.7197669342993496</v>
      </c>
      <c r="U521" s="4"/>
      <c r="V521" s="4">
        <v>3.64</v>
      </c>
      <c r="W521" s="187">
        <v>0.1401941603360597</v>
      </c>
      <c r="X521" s="190">
        <v>1.9270547863723722</v>
      </c>
      <c r="Y521" s="4"/>
      <c r="Z521" s="4">
        <v>3.64</v>
      </c>
      <c r="AA521" s="187">
        <v>-1.8243940954384599</v>
      </c>
      <c r="AB521" s="190">
        <v>-0.3807802045661834</v>
      </c>
      <c r="AC521" s="4"/>
      <c r="AD521" s="4">
        <v>3.64</v>
      </c>
      <c r="AE521" s="187">
        <v>0.14990362299130244</v>
      </c>
      <c r="AF521" s="190">
        <v>2.010514508802216</v>
      </c>
      <c r="AG521" s="4"/>
      <c r="AH521" s="4"/>
    </row>
    <row r="522" ht="12.75" hidden="1" outlineLevel="1">
      <c r="A522" s="4"/>
      <c r="B522" s="4">
        <v>3.66</v>
      </c>
      <c r="C522" s="187">
        <v>0.13612096063340462</v>
      </c>
      <c r="D522" s="190">
        <v>1.8928790375284938</v>
      </c>
      <c r="E522" s="4"/>
      <c r="F522" s="4">
        <v>3.66</v>
      </c>
      <c r="G522" s="187">
        <v>0.07432736999718892</v>
      </c>
      <c r="H522" s="190">
        <v>1.4311435601348024</v>
      </c>
      <c r="I522" s="4"/>
      <c r="J522" s="4">
        <v>3.66</v>
      </c>
      <c r="K522" s="187">
        <v>0.17144943390473433</v>
      </c>
      <c r="L522" s="190">
        <v>2.2060621033138603</v>
      </c>
      <c r="M522" s="4"/>
      <c r="N522" s="4">
        <v>3.66</v>
      </c>
      <c r="O522" s="187">
        <v>0.12196487496499508</v>
      </c>
      <c r="P522" s="190">
        <v>1.7778548629552529</v>
      </c>
      <c r="Q522" s="4"/>
      <c r="R522" s="4">
        <v>3.66</v>
      </c>
      <c r="S522" s="187">
        <v>-0.0667362803703585</v>
      </c>
      <c r="T522" s="190">
        <v>0.7079815096814008</v>
      </c>
      <c r="U522" s="4"/>
      <c r="V522" s="4">
        <v>3.66</v>
      </c>
      <c r="W522" s="187">
        <v>0.13975032859180514</v>
      </c>
      <c r="X522" s="190">
        <v>1.9233070804225811</v>
      </c>
      <c r="Y522" s="4"/>
      <c r="Z522" s="4">
        <v>3.66</v>
      </c>
      <c r="AA522" s="187">
        <v>-1.8315904300359325</v>
      </c>
      <c r="AB522" s="190">
        <v>-0.39769251216674584</v>
      </c>
      <c r="AC522" s="4"/>
      <c r="AD522" s="4">
        <v>3.66</v>
      </c>
      <c r="AE522" s="187">
        <v>0.149614417598132</v>
      </c>
      <c r="AF522" s="190">
        <v>2.0079875177306885</v>
      </c>
      <c r="AG522" s="4"/>
      <c r="AH522" s="4"/>
    </row>
    <row r="523" ht="12.75" hidden="1" outlineLevel="1">
      <c r="A523" s="4"/>
      <c r="B523" s="4">
        <v>3.68</v>
      </c>
      <c r="C523" s="187">
        <v>0.13568835080791608</v>
      </c>
      <c r="D523" s="190">
        <v>1.8892779478803963</v>
      </c>
      <c r="E523" s="4"/>
      <c r="F523" s="4">
        <v>3.68</v>
      </c>
      <c r="G523" s="187">
        <v>0.07344938753703989</v>
      </c>
      <c r="H523" s="190">
        <v>1.4253051774248842</v>
      </c>
      <c r="I523" s="4"/>
      <c r="J523" s="4">
        <v>3.68</v>
      </c>
      <c r="K523" s="187">
        <v>0.17121352543490254</v>
      </c>
      <c r="L523" s="190">
        <v>2.2038416951909903</v>
      </c>
      <c r="M523" s="4"/>
      <c r="N523" s="4">
        <v>3.68</v>
      </c>
      <c r="O523" s="187">
        <v>0.12138869774908323</v>
      </c>
      <c r="P523" s="190">
        <v>1.773294524557196</v>
      </c>
      <c r="Q523" s="4"/>
      <c r="R523" s="4">
        <v>3.68</v>
      </c>
      <c r="S523" s="187">
        <v>-0.06986197909213177</v>
      </c>
      <c r="T523" s="190">
        <v>0.6962047566386732</v>
      </c>
      <c r="U523" s="4"/>
      <c r="V523" s="4">
        <v>3.68</v>
      </c>
      <c r="W523" s="187">
        <v>0.1393058044362343</v>
      </c>
      <c r="X523" s="190">
        <v>1.9195593744727897</v>
      </c>
      <c r="Y523" s="4"/>
      <c r="Z523" s="4">
        <v>3.68</v>
      </c>
      <c r="AA523" s="187">
        <v>-1.8385459568698996</v>
      </c>
      <c r="AB523" s="190">
        <v>-0.4146048197673073</v>
      </c>
      <c r="AC523" s="4"/>
      <c r="AD523" s="4">
        <v>3.68</v>
      </c>
      <c r="AE523" s="187">
        <v>0.14932566659660362</v>
      </c>
      <c r="AF523" s="190">
        <v>2.0054670325673403</v>
      </c>
      <c r="AG523" s="4"/>
      <c r="AH523" s="4"/>
    </row>
    <row r="524" ht="12.75" hidden="1" outlineLevel="1">
      <c r="A524" s="4"/>
      <c r="B524" s="4">
        <v>3.7</v>
      </c>
      <c r="C524" s="187">
        <v>0.13525549482791788</v>
      </c>
      <c r="D524" s="190">
        <v>1.8856802966689459</v>
      </c>
      <c r="E524" s="4"/>
      <c r="F524" s="4">
        <v>3.7</v>
      </c>
      <c r="G524" s="187">
        <v>0.07256948632189508</v>
      </c>
      <c r="H524" s="190">
        <v>1.4194731677748351</v>
      </c>
      <c r="I524" s="4"/>
      <c r="J524" s="4">
        <v>3.7</v>
      </c>
      <c r="K524" s="187">
        <v>0.17097742674292715</v>
      </c>
      <c r="L524" s="190">
        <v>2.2016212870681198</v>
      </c>
      <c r="M524" s="4"/>
      <c r="N524" s="4">
        <v>3.7</v>
      </c>
      <c r="O524" s="187">
        <v>0.12081133391837806</v>
      </c>
      <c r="P524" s="190">
        <v>1.768734186159142</v>
      </c>
      <c r="Q524" s="4"/>
      <c r="R524" s="4">
        <v>3.7</v>
      </c>
      <c r="S524" s="187">
        <v>-0.07303026674521618</v>
      </c>
      <c r="T524" s="190">
        <v>0.6844280035959444</v>
      </c>
      <c r="U524" s="4"/>
      <c r="V524" s="4">
        <v>3.7</v>
      </c>
      <c r="W524" s="187">
        <v>0.1388605854341154</v>
      </c>
      <c r="X524" s="190">
        <v>1.9158116685229978</v>
      </c>
      <c r="Y524" s="4"/>
      <c r="Z524" s="4">
        <v>3.7</v>
      </c>
      <c r="AA524" s="187">
        <v>-1.845278081421083</v>
      </c>
      <c r="AB524" s="190">
        <v>-0.4315171273678689</v>
      </c>
      <c r="AC524" s="4"/>
      <c r="AD524" s="4">
        <v>3.7</v>
      </c>
      <c r="AE524" s="187">
        <v>0.1490373686985269</v>
      </c>
      <c r="AF524" s="190">
        <v>2.002953028219626</v>
      </c>
      <c r="AG524" s="4"/>
      <c r="AH524" s="4"/>
    </row>
    <row r="525" ht="12.75" hidden="1" outlineLevel="1">
      <c r="A525" s="4"/>
      <c r="B525" s="4">
        <v>3.72</v>
      </c>
      <c r="C525" s="187">
        <v>0.13482239202268365</v>
      </c>
      <c r="D525" s="190">
        <v>1.8820860814173879</v>
      </c>
      <c r="E525" s="4"/>
      <c r="F525" s="4">
        <v>3.72</v>
      </c>
      <c r="G525" s="187">
        <v>0.07168765372462071</v>
      </c>
      <c r="H525" s="190">
        <v>1.4136475259877943</v>
      </c>
      <c r="I525" s="4"/>
      <c r="J525" s="4">
        <v>3.72</v>
      </c>
      <c r="K525" s="187">
        <v>0.1707411374833474</v>
      </c>
      <c r="L525" s="190">
        <v>2.1994008789452475</v>
      </c>
      <c r="M525" s="4"/>
      <c r="N525" s="4">
        <v>3.72</v>
      </c>
      <c r="O525" s="187">
        <v>0.1202327779601624</v>
      </c>
      <c r="P525" s="190">
        <v>1.7641738477610882</v>
      </c>
      <c r="Q525" s="4"/>
      <c r="R525" s="4">
        <v>3.72</v>
      </c>
      <c r="S525" s="187">
        <v>-0.07624247164878606</v>
      </c>
      <c r="T525" s="190">
        <v>0.6726512505532167</v>
      </c>
      <c r="U525" s="4"/>
      <c r="V525" s="4">
        <v>3.72</v>
      </c>
      <c r="W525" s="187">
        <v>0.13841466913686706</v>
      </c>
      <c r="X525" s="190">
        <v>1.912063962573206</v>
      </c>
      <c r="Y525" s="4"/>
      <c r="Z525" s="4">
        <v>3.72</v>
      </c>
      <c r="AA525" s="187">
        <v>-1.8518023274563733</v>
      </c>
      <c r="AB525" s="190">
        <v>-0.4484294349684306</v>
      </c>
      <c r="AC525" s="4"/>
      <c r="AD525" s="4">
        <v>3.72</v>
      </c>
      <c r="AE525" s="187">
        <v>0.14874952262101027</v>
      </c>
      <c r="AF525" s="190">
        <v>2.0004454797238758</v>
      </c>
      <c r="AG525" s="4"/>
      <c r="AH525" s="4"/>
    </row>
    <row r="526" ht="12.75" hidden="1" outlineLevel="1">
      <c r="A526" s="4"/>
      <c r="B526" s="4">
        <v>3.74</v>
      </c>
      <c r="C526" s="187">
        <v>0.1343890417188922</v>
      </c>
      <c r="D526" s="190">
        <v>1.878495299650145</v>
      </c>
      <c r="E526" s="4"/>
      <c r="F526" s="4">
        <v>3.74</v>
      </c>
      <c r="G526" s="187">
        <v>0.07080387699210267</v>
      </c>
      <c r="H526" s="190">
        <v>1.4078282468697056</v>
      </c>
      <c r="I526" s="4"/>
      <c r="J526" s="4">
        <v>3.74</v>
      </c>
      <c r="K526" s="187">
        <v>0.17050465730972508</v>
      </c>
      <c r="L526" s="190">
        <v>2.197180470822377</v>
      </c>
      <c r="M526" s="4"/>
      <c r="N526" s="4">
        <v>3.74</v>
      </c>
      <c r="O526" s="187">
        <v>0.1196530243217766</v>
      </c>
      <c r="P526" s="190">
        <v>1.7596135093630327</v>
      </c>
      <c r="Q526" s="4"/>
      <c r="R526" s="4">
        <v>3.74</v>
      </c>
      <c r="S526" s="187">
        <v>-0.07949998770607969</v>
      </c>
      <c r="T526" s="190">
        <v>0.6608744975104878</v>
      </c>
      <c r="U526" s="4"/>
      <c r="V526" s="4">
        <v>3.74</v>
      </c>
      <c r="W526" s="187">
        <v>0.13796805308245919</v>
      </c>
      <c r="X526" s="190">
        <v>1.908316256623415</v>
      </c>
      <c r="Y526" s="4"/>
      <c r="Z526" s="4">
        <v>3.74</v>
      </c>
      <c r="AA526" s="187">
        <v>-1.8581326028893084</v>
      </c>
      <c r="AB526" s="190">
        <v>-0.4653417425689922</v>
      </c>
      <c r="AC526" s="4"/>
      <c r="AD526" s="4">
        <v>3.74</v>
      </c>
      <c r="AE526" s="187">
        <v>0.14846212708643236</v>
      </c>
      <c r="AF526" s="190">
        <v>1.997944362244462</v>
      </c>
      <c r="AG526" s="4"/>
      <c r="AH526" s="4"/>
    </row>
    <row r="527" ht="12.75" hidden="1" outlineLevel="1">
      <c r="A527" s="4"/>
      <c r="B527" s="4">
        <v>3.76</v>
      </c>
      <c r="C527" s="187">
        <v>0.1339554432406158</v>
      </c>
      <c r="D527" s="190">
        <v>1.874907948892826</v>
      </c>
      <c r="E527" s="4"/>
      <c r="F527" s="4">
        <v>3.76</v>
      </c>
      <c r="G527" s="187">
        <v>0.0699181432435454</v>
      </c>
      <c r="H527" s="190">
        <v>1.4020153252293155</v>
      </c>
      <c r="I527" s="4"/>
      <c r="J527" s="4">
        <v>3.76</v>
      </c>
      <c r="K527" s="187">
        <v>0.17026798587464165</v>
      </c>
      <c r="L527" s="190">
        <v>2.194960062699507</v>
      </c>
      <c r="M527" s="4"/>
      <c r="N527" s="4">
        <v>3.76</v>
      </c>
      <c r="O527" s="187">
        <v>0.11907206741022658</v>
      </c>
      <c r="P527" s="190">
        <v>1.7550531709649786</v>
      </c>
      <c r="Q527" s="4"/>
      <c r="R527" s="4">
        <v>3.76</v>
      </c>
      <c r="S527" s="187">
        <v>-0.08280427887802877</v>
      </c>
      <c r="T527" s="190">
        <v>0.6490977444677606</v>
      </c>
      <c r="U527" s="4"/>
      <c r="V527" s="4">
        <v>3.76</v>
      </c>
      <c r="W527" s="187">
        <v>0.1375207347953129</v>
      </c>
      <c r="X527" s="190">
        <v>1.9045685506736232</v>
      </c>
      <c r="Y527" s="4"/>
      <c r="Z527" s="4">
        <v>3.76</v>
      </c>
      <c r="AA527" s="187">
        <v>-1.8642814198882502</v>
      </c>
      <c r="AB527" s="190">
        <v>-0.48225405016955325</v>
      </c>
      <c r="AC527" s="4"/>
      <c r="AD527" s="4">
        <v>3.76</v>
      </c>
      <c r="AE527" s="187">
        <v>0.14817518082241388</v>
      </c>
      <c r="AF527" s="190">
        <v>1.9954496510729895</v>
      </c>
      <c r="AG527" s="4"/>
      <c r="AH527" s="4"/>
    </row>
    <row r="528" ht="12.75" hidden="1" outlineLevel="1">
      <c r="A528" s="4"/>
      <c r="B528" s="4">
        <v>3.78</v>
      </c>
      <c r="C528" s="187">
        <v>0.1335215959093039</v>
      </c>
      <c r="D528" s="190">
        <v>1.8713240266722044</v>
      </c>
      <c r="E528" s="4"/>
      <c r="F528" s="4">
        <v>3.78</v>
      </c>
      <c r="G528" s="187">
        <v>0.06903043946873666</v>
      </c>
      <c r="H528" s="190">
        <v>1.3962087558781742</v>
      </c>
      <c r="I528" s="4"/>
      <c r="J528" s="4">
        <v>3.78</v>
      </c>
      <c r="K528" s="187">
        <v>0.1700311228296938</v>
      </c>
      <c r="L528" s="190">
        <v>2.192739654576636</v>
      </c>
      <c r="M528" s="4"/>
      <c r="N528" s="4">
        <v>3.78</v>
      </c>
      <c r="O528" s="187">
        <v>0.11848990159178263</v>
      </c>
      <c r="P528" s="190">
        <v>1.7504928325669251</v>
      </c>
      <c r="Q528" s="4"/>
      <c r="R528" s="4">
        <v>3.78</v>
      </c>
      <c r="S528" s="187">
        <v>-0.08615688404941102</v>
      </c>
      <c r="T528" s="190">
        <v>0.6373209914250325</v>
      </c>
      <c r="U528" s="4"/>
      <c r="V528" s="4">
        <v>3.78</v>
      </c>
      <c r="W528" s="187">
        <v>0.137072953089864</v>
      </c>
      <c r="X528" s="190">
        <v>1.9008228616363234</v>
      </c>
      <c r="Y528" s="4"/>
      <c r="Z528" s="4">
        <v>3.78</v>
      </c>
      <c r="AA528" s="187">
        <v>-1.8702600784179753</v>
      </c>
      <c r="AB528" s="190">
        <v>-0.4991663577701147</v>
      </c>
      <c r="AC528" s="4"/>
      <c r="AD528" s="4">
        <v>3.78</v>
      </c>
      <c r="AE528" s="187">
        <v>0.1478886825617889</v>
      </c>
      <c r="AF528" s="190">
        <v>1.9929613216274717</v>
      </c>
      <c r="AG528" s="4"/>
      <c r="AH528" s="4"/>
    </row>
    <row r="529" ht="12.75" hidden="1" outlineLevel="1">
      <c r="A529" s="4"/>
      <c r="B529" s="4">
        <v>3.8</v>
      </c>
      <c r="C529" s="187">
        <v>0.1330874990437727</v>
      </c>
      <c r="D529" s="190">
        <v>1.8677435305162455</v>
      </c>
      <c r="E529" s="4"/>
      <c r="F529" s="4">
        <v>3.8</v>
      </c>
      <c r="G529" s="187">
        <v>0.06814075252628693</v>
      </c>
      <c r="H529" s="190">
        <v>1.3904085336306355</v>
      </c>
      <c r="I529" s="4"/>
      <c r="J529" s="4">
        <v>3.8</v>
      </c>
      <c r="K529" s="187">
        <v>0.1697940678254901</v>
      </c>
      <c r="L529" s="190">
        <v>2.190519246453765</v>
      </c>
      <c r="M529" s="4"/>
      <c r="N529" s="4">
        <v>3.8</v>
      </c>
      <c r="O529" s="187">
        <v>0.11790652119157752</v>
      </c>
      <c r="P529" s="190">
        <v>1.745932494168871</v>
      </c>
      <c r="Q529" s="4"/>
      <c r="R529" s="4">
        <v>3.8</v>
      </c>
      <c r="S529" s="187">
        <v>-0.08955942232990965</v>
      </c>
      <c r="T529" s="190">
        <v>0.6255442383823044</v>
      </c>
      <c r="U529" s="4"/>
      <c r="V529" s="4">
        <v>3.8</v>
      </c>
      <c r="W529" s="187">
        <v>0.13662542083788698</v>
      </c>
      <c r="X529" s="190">
        <v>1.897085149946153</v>
      </c>
      <c r="Y529" s="4"/>
      <c r="Z529" s="4">
        <v>3.8</v>
      </c>
      <c r="AA529" s="187">
        <v>-1.8760788203103078</v>
      </c>
      <c r="AB529" s="190">
        <v>-0.5160786653706764</v>
      </c>
      <c r="AC529" s="4"/>
      <c r="AD529" s="4">
        <v>3.8</v>
      </c>
      <c r="AE529" s="187">
        <v>0.14760263104257665</v>
      </c>
      <c r="AF529" s="190">
        <v>1.9904793494515287</v>
      </c>
      <c r="AG529" s="4"/>
      <c r="AH529" s="4"/>
    </row>
    <row r="530" ht="12.75" hidden="1" outlineLevel="1">
      <c r="A530" s="4"/>
      <c r="B530" s="4">
        <v>3.82</v>
      </c>
      <c r="C530" s="187">
        <v>0.13265315196018812</v>
      </c>
      <c r="D530" s="190">
        <v>1.8641664579540775</v>
      </c>
      <c r="E530" s="4"/>
      <c r="F530" s="4">
        <v>3.82</v>
      </c>
      <c r="G530" s="187">
        <v>0.06724906914183437</v>
      </c>
      <c r="H530" s="190">
        <v>1.3846146533038513</v>
      </c>
      <c r="I530" s="4"/>
      <c r="J530" s="4">
        <v>3.82</v>
      </c>
      <c r="K530" s="187">
        <v>0.16955682051164755</v>
      </c>
      <c r="L530" s="190">
        <v>2.1882988383308937</v>
      </c>
      <c r="M530" s="4"/>
      <c r="N530" s="4">
        <v>3.82</v>
      </c>
      <c r="O530" s="187">
        <v>0.11732192049319656</v>
      </c>
      <c r="P530" s="190">
        <v>1.7413721557708142</v>
      </c>
      <c r="Q530" s="4"/>
      <c r="R530" s="4">
        <v>3.82</v>
      </c>
      <c r="S530" s="187">
        <v>-0.09301290619339297</v>
      </c>
      <c r="T530" s="190">
        <v>0.6137698289433722</v>
      </c>
      <c r="U530" s="4"/>
      <c r="V530" s="4">
        <v>3.82</v>
      </c>
      <c r="W530" s="187">
        <v>0.1361771826325584</v>
      </c>
      <c r="X530" s="190">
        <v>1.893347438255983</v>
      </c>
      <c r="Y530" s="4"/>
      <c r="Z530" s="4">
        <v>3.82</v>
      </c>
      <c r="AA530" s="187">
        <v>-1.8817469593972485</v>
      </c>
      <c r="AB530" s="190">
        <v>-0.532990972971238</v>
      </c>
      <c r="AC530" s="4"/>
      <c r="AD530" s="4">
        <v>3.82</v>
      </c>
      <c r="AE530" s="187">
        <v>0.1473170250079554</v>
      </c>
      <c r="AF530" s="190">
        <v>1.9880037102135877</v>
      </c>
      <c r="AG530" s="4"/>
      <c r="AH530" s="4"/>
    </row>
    <row r="531" ht="12.75" hidden="1" outlineLevel="1">
      <c r="A531" s="4"/>
      <c r="B531" s="4">
        <v>3.84</v>
      </c>
      <c r="C531" s="187">
        <v>0.1322185539720555</v>
      </c>
      <c r="D531" s="190">
        <v>1.8605928065160147</v>
      </c>
      <c r="E531" s="4"/>
      <c r="F531" s="4">
        <v>3.84</v>
      </c>
      <c r="G531" s="187">
        <v>0.0663553759062232</v>
      </c>
      <c r="H531" s="190">
        <v>1.3788271097177804</v>
      </c>
      <c r="I531" s="4"/>
      <c r="J531" s="4">
        <v>3.84</v>
      </c>
      <c r="K531" s="187">
        <v>0.1693193805367863</v>
      </c>
      <c r="L531" s="190">
        <v>2.1860784302080227</v>
      </c>
      <c r="M531" s="4"/>
      <c r="N531" s="4">
        <v>3.84</v>
      </c>
      <c r="O531" s="187">
        <v>0.1167360937382651</v>
      </c>
      <c r="P531" s="190">
        <v>1.7368118173727605</v>
      </c>
      <c r="Q531" s="4"/>
      <c r="R531" s="4">
        <v>3.84</v>
      </c>
      <c r="S531" s="187">
        <v>-0.09651564765919551</v>
      </c>
      <c r="T531" s="190">
        <v>0.6020092669530874</v>
      </c>
      <c r="U531" s="4"/>
      <c r="V531" s="4">
        <v>3.84</v>
      </c>
      <c r="W531" s="187">
        <v>0.13572823596333605</v>
      </c>
      <c r="X531" s="190">
        <v>1.8896097265658125</v>
      </c>
      <c r="Y531" s="4"/>
      <c r="Z531" s="4">
        <v>3.84</v>
      </c>
      <c r="AA531" s="187">
        <v>-1.8872729920600348</v>
      </c>
      <c r="AB531" s="190">
        <v>-0.5499032805717996</v>
      </c>
      <c r="AC531" s="4"/>
      <c r="AD531" s="4">
        <v>3.84</v>
      </c>
      <c r="AE531" s="187">
        <v>0.1470318632062324</v>
      </c>
      <c r="AF531" s="190">
        <v>1.9855343797060818</v>
      </c>
      <c r="AG531" s="4"/>
      <c r="AH531" s="4"/>
    </row>
    <row r="532" ht="12.75" hidden="1" outlineLevel="1">
      <c r="A532" s="4"/>
      <c r="B532" s="4">
        <v>3.86</v>
      </c>
      <c r="C532" s="187">
        <v>0.13178370439020304</v>
      </c>
      <c r="D532" s="190">
        <v>1.8570225737335397</v>
      </c>
      <c r="E532" s="4"/>
      <c r="F532" s="4">
        <v>3.86</v>
      </c>
      <c r="G532" s="187">
        <v>0.06545965927364472</v>
      </c>
      <c r="H532" s="190">
        <v>1.3730458976951736</v>
      </c>
      <c r="I532" s="4"/>
      <c r="J532" s="4">
        <v>3.86</v>
      </c>
      <c r="K532" s="187">
        <v>0.169081747548528</v>
      </c>
      <c r="L532" s="190">
        <v>2.1838580220851527</v>
      </c>
      <c r="M532" s="4"/>
      <c r="N532" s="4">
        <v>3.86</v>
      </c>
      <c r="O532" s="187">
        <v>0.11614903512602837</v>
      </c>
      <c r="P532" s="190">
        <v>1.7322514789747063</v>
      </c>
      <c r="Q532" s="4"/>
      <c r="R532" s="4">
        <v>3.86</v>
      </c>
      <c r="S532" s="187">
        <v>-0.10007356637327736</v>
      </c>
      <c r="T532" s="190">
        <v>0.5902487049628011</v>
      </c>
      <c r="U532" s="4"/>
      <c r="V532" s="4">
        <v>3.86</v>
      </c>
      <c r="W532" s="187">
        <v>0.13527857830576195</v>
      </c>
      <c r="X532" s="190">
        <v>1.8858720148756432</v>
      </c>
      <c r="Y532" s="4"/>
      <c r="Z532" s="4">
        <v>3.86</v>
      </c>
      <c r="AA532" s="187">
        <v>-1.8926646916474659</v>
      </c>
      <c r="AB532" s="190">
        <v>-0.5668155881723619</v>
      </c>
      <c r="AC532" s="4"/>
      <c r="AD532" s="4">
        <v>3.86</v>
      </c>
      <c r="AE532" s="187">
        <v>0.1467471443908186</v>
      </c>
      <c r="AF532" s="190">
        <v>1.983071333844668</v>
      </c>
      <c r="AG532" s="4"/>
      <c r="AH532" s="4"/>
    </row>
    <row r="533" ht="12.75" hidden="1" outlineLevel="1">
      <c r="A533" s="4"/>
      <c r="B533" s="4">
        <v>3.88</v>
      </c>
      <c r="C533" s="187">
        <v>0.13134860252277059</v>
      </c>
      <c r="D533" s="190">
        <v>1.8534557571393224</v>
      </c>
      <c r="E533" s="4"/>
      <c r="F533" s="4">
        <v>3.88</v>
      </c>
      <c r="G533" s="187">
        <v>0.06456190555975216</v>
      </c>
      <c r="H533" s="190">
        <v>1.3672710120615872</v>
      </c>
      <c r="I533" s="4"/>
      <c r="J533" s="4">
        <v>3.88</v>
      </c>
      <c r="K533" s="187">
        <v>0.16884392119348934</v>
      </c>
      <c r="L533" s="190">
        <v>2.181637613962281</v>
      </c>
      <c r="M533" s="4"/>
      <c r="N533" s="4">
        <v>3.88</v>
      </c>
      <c r="O533" s="187">
        <v>0.1155607388129265</v>
      </c>
      <c r="P533" s="190">
        <v>1.7276911405766513</v>
      </c>
      <c r="Q533" s="4"/>
      <c r="R533" s="4">
        <v>3.88</v>
      </c>
      <c r="S533" s="187">
        <v>-0.10368865736331767</v>
      </c>
      <c r="T533" s="190">
        <v>0.5784881429725165</v>
      </c>
      <c r="U533" s="4"/>
      <c r="V533" s="4">
        <v>3.88</v>
      </c>
      <c r="W533" s="187">
        <v>0.13482820712135735</v>
      </c>
      <c r="X533" s="190">
        <v>1.8821343031854727</v>
      </c>
      <c r="Y533" s="4"/>
      <c r="Z533" s="4">
        <v>3.88</v>
      </c>
      <c r="AA533" s="187">
        <v>-1.8979291895238857</v>
      </c>
      <c r="AB533" s="190">
        <v>-0.5837278957729235</v>
      </c>
      <c r="AC533" s="4"/>
      <c r="AD533" s="4">
        <v>3.88</v>
      </c>
      <c r="AE533" s="187">
        <v>0.14646286732019953</v>
      </c>
      <c r="AF533" s="190">
        <v>1.9806145486674382</v>
      </c>
      <c r="AG533" s="4"/>
      <c r="AH533" s="4"/>
    </row>
    <row r="534" ht="12.75" hidden="1" outlineLevel="1">
      <c r="A534" s="4"/>
      <c r="B534" s="4">
        <v>3.9</v>
      </c>
      <c r="C534" s="187">
        <v>0.13091324767519175</v>
      </c>
      <c r="D534" s="190">
        <v>1.8498923542671915</v>
      </c>
      <c r="E534" s="4"/>
      <c r="F534" s="4">
        <v>3.9</v>
      </c>
      <c r="G534" s="187">
        <v>0.06366210093973801</v>
      </c>
      <c r="H534" s="190">
        <v>1.3615024476453699</v>
      </c>
      <c r="I534" s="4"/>
      <c r="J534" s="4">
        <v>3.9</v>
      </c>
      <c r="K534" s="187">
        <v>0.1686059011172807</v>
      </c>
      <c r="L534" s="190">
        <v>2.1794172058394095</v>
      </c>
      <c r="M534" s="4"/>
      <c r="N534" s="4">
        <v>3.9</v>
      </c>
      <c r="O534" s="187">
        <v>0.11497119891216667</v>
      </c>
      <c r="P534" s="190">
        <v>1.7231308021785972</v>
      </c>
      <c r="Q534" s="4"/>
      <c r="R534" s="4">
        <v>3.9</v>
      </c>
      <c r="S534" s="187">
        <v>-0.10736303016981297</v>
      </c>
      <c r="T534" s="190">
        <v>0.566727580982231</v>
      </c>
      <c r="U534" s="4"/>
      <c r="V534" s="4">
        <v>3.9</v>
      </c>
      <c r="W534" s="187">
        <v>0.13437711985751766</v>
      </c>
      <c r="X534" s="190">
        <v>1.8783965914953027</v>
      </c>
      <c r="Y534" s="4"/>
      <c r="Z534" s="4">
        <v>3.9</v>
      </c>
      <c r="AA534" s="187">
        <v>-1.9030730449692417</v>
      </c>
      <c r="AB534" s="190">
        <v>-0.6006402033734852</v>
      </c>
      <c r="AC534" s="4"/>
      <c r="AD534" s="4">
        <v>3.9</v>
      </c>
      <c r="AE534" s="187">
        <v>0.14617903075791006</v>
      </c>
      <c r="AF534" s="190">
        <v>1.9781640003341445</v>
      </c>
      <c r="AG534" s="4"/>
      <c r="AH534" s="4"/>
    </row>
    <row r="535" ht="12.75" hidden="1" outlineLevel="1">
      <c r="A535" s="4"/>
      <c r="B535" s="4">
        <v>3.92</v>
      </c>
      <c r="C535" s="187">
        <v>0.13047763915018518</v>
      </c>
      <c r="D535" s="190">
        <v>1.8463323626521713</v>
      </c>
      <c r="E535" s="4"/>
      <c r="F535" s="4">
        <v>3.92</v>
      </c>
      <c r="G535" s="187">
        <v>0.06276023144637977</v>
      </c>
      <c r="H535" s="190">
        <v>1.3557401992776754</v>
      </c>
      <c r="I535" s="4"/>
      <c r="J535" s="4">
        <v>3.92</v>
      </c>
      <c r="K535" s="187">
        <v>0.16836768696450055</v>
      </c>
      <c r="L535" s="190">
        <v>2.177196797716539</v>
      </c>
      <c r="M535" s="4"/>
      <c r="N535" s="4">
        <v>3.92</v>
      </c>
      <c r="O535" s="187">
        <v>0.11438040949328565</v>
      </c>
      <c r="P535" s="190">
        <v>1.7185704637805423</v>
      </c>
      <c r="Q535" s="4"/>
      <c r="R535" s="4">
        <v>3.92</v>
      </c>
      <c r="S535" s="187">
        <v>-0.11109891795357596</v>
      </c>
      <c r="T535" s="190">
        <v>0.5549670189919462</v>
      </c>
      <c r="U535" s="4"/>
      <c r="V535" s="4">
        <v>3.92</v>
      </c>
      <c r="W535" s="187">
        <v>0.13392531394740437</v>
      </c>
      <c r="X535" s="190">
        <v>1.874658879805132</v>
      </c>
      <c r="Y535" s="4"/>
      <c r="Z535" s="4">
        <v>3.92</v>
      </c>
      <c r="AA535" s="187">
        <v>-1.908102305732556</v>
      </c>
      <c r="AB535" s="190">
        <v>-0.6175525109740466</v>
      </c>
      <c r="AC535" s="4"/>
      <c r="AD535" s="4">
        <v>3.92</v>
      </c>
      <c r="AE535" s="187">
        <v>0.14589563347250611</v>
      </c>
      <c r="AF535" s="190">
        <v>1.975719665125431</v>
      </c>
      <c r="AG535" s="4"/>
      <c r="AH535" s="4"/>
    </row>
    <row r="536" ht="12.75" hidden="1" outlineLevel="1">
      <c r="A536" s="4"/>
      <c r="B536" s="4">
        <v>3.94</v>
      </c>
      <c r="C536" s="187">
        <v>0.13004177624773416</v>
      </c>
      <c r="D536" s="190">
        <v>1.842775779830439</v>
      </c>
      <c r="E536" s="4"/>
      <c r="F536" s="4">
        <v>3.94</v>
      </c>
      <c r="G536" s="187">
        <v>0.061856282968050236</v>
      </c>
      <c r="H536" s="190">
        <v>1.3499842617924458</v>
      </c>
      <c r="I536" s="4"/>
      <c r="J536" s="4">
        <v>3.94</v>
      </c>
      <c r="K536" s="187">
        <v>0.16812927837873226</v>
      </c>
      <c r="L536" s="190">
        <v>2.174976389593669</v>
      </c>
      <c r="M536" s="4"/>
      <c r="N536" s="4">
        <v>3.94</v>
      </c>
      <c r="O536" s="187">
        <v>0.11378836458171127</v>
      </c>
      <c r="P536" s="190">
        <v>1.7140101253824889</v>
      </c>
      <c r="Q536" s="4"/>
      <c r="R536" s="4">
        <v>3.94</v>
      </c>
      <c r="S536" s="187">
        <v>-0.11489868753780119</v>
      </c>
      <c r="T536" s="190">
        <v>0.5432064570016599</v>
      </c>
      <c r="U536" s="4"/>
      <c r="V536" s="4">
        <v>3.94</v>
      </c>
      <c r="W536" s="187">
        <v>0.1334727868098382</v>
      </c>
      <c r="X536" s="190">
        <v>1.870921168114962</v>
      </c>
      <c r="Y536" s="4"/>
      <c r="Z536" s="4">
        <v>3.94</v>
      </c>
      <c r="AA536" s="187">
        <v>-1.913022560708126</v>
      </c>
      <c r="AB536" s="190">
        <v>-0.6344648185746082</v>
      </c>
      <c r="AC536" s="4"/>
      <c r="AD536" s="4">
        <v>3.94</v>
      </c>
      <c r="AE536" s="187">
        <v>0.14561267423753832</v>
      </c>
      <c r="AF536" s="190">
        <v>1.9732815194420623</v>
      </c>
      <c r="AG536" s="4"/>
      <c r="AH536" s="4"/>
    </row>
    <row r="537" ht="12.75" hidden="1" outlineLevel="1">
      <c r="A537" s="4"/>
      <c r="B537" s="4">
        <v>3.96</v>
      </c>
      <c r="C537" s="187">
        <v>0.1296056582650782</v>
      </c>
      <c r="D537" s="190">
        <v>1.8392226033393622</v>
      </c>
      <c r="E537" s="4"/>
      <c r="F537" s="4">
        <v>3.96</v>
      </c>
      <c r="G537" s="187">
        <v>0.060950241246692904</v>
      </c>
      <c r="H537" s="190">
        <v>1.3442346300264238</v>
      </c>
      <c r="I537" s="4"/>
      <c r="J537" s="4">
        <v>3.96</v>
      </c>
      <c r="K537" s="187">
        <v>0.16789067500253974</v>
      </c>
      <c r="L537" s="190">
        <v>2.172755981470798</v>
      </c>
      <c r="M537" s="4"/>
      <c r="N537" s="4">
        <v>3.96</v>
      </c>
      <c r="O537" s="187">
        <v>0.11319505815831299</v>
      </c>
      <c r="P537" s="190">
        <v>1.7094497869844325</v>
      </c>
      <c r="Q537" s="4"/>
      <c r="R537" s="4">
        <v>3.96</v>
      </c>
      <c r="S537" s="187">
        <v>-0.11876485050310337</v>
      </c>
      <c r="T537" s="190">
        <v>0.5314458950113752</v>
      </c>
      <c r="U537" s="4"/>
      <c r="V537" s="4">
        <v>3.96</v>
      </c>
      <c r="W537" s="187">
        <v>0.13301953584918946</v>
      </c>
      <c r="X537" s="190">
        <v>1.8671834564247916</v>
      </c>
      <c r="Y537" s="4"/>
      <c r="Z537" s="4">
        <v>3.96</v>
      </c>
      <c r="AA537" s="187">
        <v>-1.9178389859400862</v>
      </c>
      <c r="AB537" s="190">
        <v>-0.65137712617517</v>
      </c>
      <c r="AC537" s="4"/>
      <c r="AD537" s="4">
        <v>3.96</v>
      </c>
      <c r="AE537" s="187">
        <v>0.14533015183152553</v>
      </c>
      <c r="AF537" s="190">
        <v>1.9708495398041705</v>
      </c>
      <c r="AG537" s="4"/>
      <c r="AH537" s="4"/>
    </row>
    <row r="538" ht="12.75" hidden="1" outlineLevel="1">
      <c r="A538" s="4"/>
      <c r="B538" s="4">
        <v>3.98</v>
      </c>
      <c r="C538" s="187">
        <v>0.1291692844966954</v>
      </c>
      <c r="D538" s="190">
        <v>1.8356728307174834</v>
      </c>
      <c r="E538" s="4"/>
      <c r="F538" s="4">
        <v>3.98</v>
      </c>
      <c r="G538" s="187">
        <v>0.06004209187576248</v>
      </c>
      <c r="H538" s="190">
        <v>1.3384912988191446</v>
      </c>
      <c r="I538" s="4"/>
      <c r="J538" s="4">
        <v>3.98</v>
      </c>
      <c r="K538" s="187">
        <v>0.1676518764774637</v>
      </c>
      <c r="L538" s="190">
        <v>2.1705355733479266</v>
      </c>
      <c r="M538" s="4"/>
      <c r="N538" s="4">
        <v>3.98</v>
      </c>
      <c r="O538" s="187">
        <v>0.11260048415895363</v>
      </c>
      <c r="P538" s="190">
        <v>1.7048894485863781</v>
      </c>
      <c r="Q538" s="4"/>
      <c r="R538" s="4">
        <v>3.98</v>
      </c>
      <c r="S538" s="187">
        <v>-0.12270007547193984</v>
      </c>
      <c r="T538" s="190">
        <v>0.5196853330210892</v>
      </c>
      <c r="U538" s="4"/>
      <c r="V538" s="4">
        <v>3.98</v>
      </c>
      <c r="W538" s="187">
        <v>0.13256555845526785</v>
      </c>
      <c r="X538" s="190">
        <v>1.8634457447346222</v>
      </c>
      <c r="Y538" s="4"/>
      <c r="Z538" s="4">
        <v>3.98</v>
      </c>
      <c r="AA538" s="187">
        <v>-1.9225563849501812</v>
      </c>
      <c r="AB538" s="190">
        <v>-0.6682894337757316</v>
      </c>
      <c r="AC538" s="4"/>
      <c r="AD538" s="4">
        <v>3.98</v>
      </c>
      <c r="AE538" s="187">
        <v>0.1450480650379291</v>
      </c>
      <c r="AF538" s="190">
        <v>1.9684237028504965</v>
      </c>
      <c r="AG538" s="4"/>
      <c r="AH538" s="4"/>
    </row>
    <row r="539" ht="12.75" hidden="1" outlineLevel="1">
      <c r="A539" s="4"/>
      <c r="B539" s="4">
        <v>4</v>
      </c>
      <c r="C539" s="187">
        <v>0.12873265423428748</v>
      </c>
      <c r="D539" s="190">
        <v>1.832126459504505</v>
      </c>
      <c r="E539" s="4"/>
      <c r="F539" s="4">
        <v>4</v>
      </c>
      <c r="G539" s="187">
        <v>0.05913182029812747</v>
      </c>
      <c r="H539" s="190">
        <v>1.332754263012943</v>
      </c>
      <c r="I539" s="4"/>
      <c r="J539" s="4">
        <v>4</v>
      </c>
      <c r="K539" s="187">
        <v>0.16741288244401842</v>
      </c>
      <c r="L539" s="190">
        <v>2.168315165225057</v>
      </c>
      <c r="M539" s="4"/>
      <c r="N539" s="4">
        <v>4</v>
      </c>
      <c r="O539" s="187">
        <v>0.1120046364740277</v>
      </c>
      <c r="P539" s="190">
        <v>1.7003291101883249</v>
      </c>
      <c r="Q539" s="4"/>
      <c r="R539" s="4">
        <v>4</v>
      </c>
      <c r="S539" s="187">
        <v>-0.12670720173999372</v>
      </c>
      <c r="T539" s="190">
        <v>0.5079247710308041</v>
      </c>
      <c r="U539" s="4"/>
      <c r="V539" s="4">
        <v>4</v>
      </c>
      <c r="W539" s="187">
        <v>0.13211085200321238</v>
      </c>
      <c r="X539" s="190">
        <v>1.8597080330444518</v>
      </c>
      <c r="Y539" s="4"/>
      <c r="Z539" s="4">
        <v>4</v>
      </c>
      <c r="AA539" s="187">
        <v>-1.9271792242140107</v>
      </c>
      <c r="AB539" s="190">
        <v>-0.6852017413762932</v>
      </c>
      <c r="AC539" s="4"/>
      <c r="AD539" s="4">
        <v>4</v>
      </c>
      <c r="AE539" s="187">
        <v>0.14476641264512513</v>
      </c>
      <c r="AF539" s="190">
        <v>1.9660039853376428</v>
      </c>
      <c r="AG539" s="4"/>
      <c r="AH539" s="4"/>
    </row>
    <row r="540" ht="12.75" hidden="1" outlineLevel="1">
      <c r="A540" s="4"/>
      <c r="B540" s="4">
        <v>4.02</v>
      </c>
      <c r="C540" s="187">
        <v>0.1282957667667679</v>
      </c>
      <c r="D540" s="190">
        <v>1.8285834872413174</v>
      </c>
      <c r="E540" s="4"/>
      <c r="F540" s="4">
        <v>4.02</v>
      </c>
      <c r="G540" s="187">
        <v>0.05821941180393475</v>
      </c>
      <c r="H540" s="190">
        <v>1.3270235174529401</v>
      </c>
      <c r="I540" s="4"/>
      <c r="J540" s="4">
        <v>4.02</v>
      </c>
      <c r="K540" s="187">
        <v>0.16717369254168557</v>
      </c>
      <c r="L540" s="190">
        <v>2.1660947571021842</v>
      </c>
      <c r="M540" s="4"/>
      <c r="N540" s="4">
        <v>4.02</v>
      </c>
      <c r="O540" s="187">
        <v>0.11140750894799933</v>
      </c>
      <c r="P540" s="190">
        <v>1.6957687717902692</v>
      </c>
      <c r="Q540" s="4"/>
      <c r="R540" s="4">
        <v>4.02</v>
      </c>
      <c r="S540" s="187">
        <v>-0.13078925443717615</v>
      </c>
      <c r="T540" s="190">
        <v>0.49616420904051944</v>
      </c>
      <c r="U540" s="4"/>
      <c r="V540" s="4">
        <v>4.02</v>
      </c>
      <c r="W540" s="187">
        <v>0.1316554138533781</v>
      </c>
      <c r="X540" s="190">
        <v>1.8559703213542817</v>
      </c>
      <c r="Y540" s="4"/>
      <c r="Z540" s="4">
        <v>4.02</v>
      </c>
      <c r="AA540" s="187">
        <v>-1.9317116644737962</v>
      </c>
      <c r="AB540" s="190">
        <v>-0.702114048976854</v>
      </c>
      <c r="AC540" s="4"/>
      <c r="AD540" s="4">
        <v>4.02</v>
      </c>
      <c r="AE540" s="187">
        <v>0.14448519344638</v>
      </c>
      <c r="AF540" s="190">
        <v>1.963590364139336</v>
      </c>
      <c r="AG540" s="4"/>
      <c r="AH540" s="4"/>
    </row>
    <row r="541" ht="12.75" hidden="1" outlineLevel="1">
      <c r="A541" s="4"/>
      <c r="B541" s="4">
        <v>4.04</v>
      </c>
      <c r="C541" s="187">
        <v>0.1278586213802444</v>
      </c>
      <c r="D541" s="190">
        <v>1.8250439114699732</v>
      </c>
      <c r="E541" s="4"/>
      <c r="F541" s="4">
        <v>4.04</v>
      </c>
      <c r="G541" s="187">
        <v>0.05730485152843756</v>
      </c>
      <c r="H541" s="190">
        <v>1.3212990569870533</v>
      </c>
      <c r="I541" s="4"/>
      <c r="J541" s="4">
        <v>4.04</v>
      </c>
      <c r="K541" s="187">
        <v>0.1669343064089135</v>
      </c>
      <c r="L541" s="190">
        <v>2.1638743489793146</v>
      </c>
      <c r="M541" s="4"/>
      <c r="N541" s="4">
        <v>4.04</v>
      </c>
      <c r="O541" s="187">
        <v>0.11080909537893247</v>
      </c>
      <c r="P541" s="190">
        <v>1.691208433392215</v>
      </c>
      <c r="Q541" s="4"/>
      <c r="R541" s="4">
        <v>4.04</v>
      </c>
      <c r="S541" s="187">
        <v>-0.13494946143061548</v>
      </c>
      <c r="T541" s="190">
        <v>0.4844036470502331</v>
      </c>
      <c r="U541" s="4"/>
      <c r="V541" s="4">
        <v>4.04</v>
      </c>
      <c r="W541" s="187">
        <v>0.13119924135122396</v>
      </c>
      <c r="X541" s="190">
        <v>1.8522326096641113</v>
      </c>
      <c r="Y541" s="4"/>
      <c r="Z541" s="4">
        <v>4.04</v>
      </c>
      <c r="AA541" s="187">
        <v>-1.9361575884640272</v>
      </c>
      <c r="AB541" s="190">
        <v>-0.7190263565774165</v>
      </c>
      <c r="AC541" s="4"/>
      <c r="AD541" s="4">
        <v>4.04</v>
      </c>
      <c r="AE541" s="187">
        <v>0.14420440623982378</v>
      </c>
      <c r="AF541" s="190">
        <v>1.9611828162456832</v>
      </c>
      <c r="AG541" s="4"/>
      <c r="AH541" s="4"/>
    </row>
    <row r="542" ht="12.75" hidden="1" outlineLevel="1">
      <c r="A542" s="4"/>
      <c r="B542" s="4">
        <v>4.06</v>
      </c>
      <c r="C542" s="187">
        <v>0.1274212173580076</v>
      </c>
      <c r="D542" s="190">
        <v>1.821507729733713</v>
      </c>
      <c r="E542" s="4"/>
      <c r="F542" s="4">
        <v>4.06</v>
      </c>
      <c r="G542" s="187">
        <v>0.056388124449782584</v>
      </c>
      <c r="H542" s="190">
        <v>1.315580876465989</v>
      </c>
      <c r="I542" s="4"/>
      <c r="J542" s="4">
        <v>4.06</v>
      </c>
      <c r="K542" s="187">
        <v>0.16669472368310956</v>
      </c>
      <c r="L542" s="190">
        <v>2.1616539408564437</v>
      </c>
      <c r="M542" s="4"/>
      <c r="N542" s="4">
        <v>4.06</v>
      </c>
      <c r="O542" s="187">
        <v>0.11020938951801429</v>
      </c>
      <c r="P542" s="190">
        <v>1.686648094994161</v>
      </c>
      <c r="Q542" s="4"/>
      <c r="R542" s="4">
        <v>4.06</v>
      </c>
      <c r="S542" s="187">
        <v>-0.1391912722174321</v>
      </c>
      <c r="T542" s="190">
        <v>0.4726430850599488</v>
      </c>
      <c r="U542" s="4"/>
      <c r="V542" s="4">
        <v>4.06</v>
      </c>
      <c r="W542" s="187">
        <v>0.13074233182719763</v>
      </c>
      <c r="X542" s="190">
        <v>1.8484948979739415</v>
      </c>
      <c r="Y542" s="4"/>
      <c r="Z542" s="4">
        <v>4.06</v>
      </c>
      <c r="AA542" s="187">
        <v>-1.9405206255349805</v>
      </c>
      <c r="AB542" s="190">
        <v>-0.7359386641779779</v>
      </c>
      <c r="AC542" s="4"/>
      <c r="AD542" s="4">
        <v>4.06</v>
      </c>
      <c r="AE542" s="187">
        <v>0.14392404982842422</v>
      </c>
      <c r="AF542" s="190">
        <v>1.9587813187624434</v>
      </c>
      <c r="AG542" s="4"/>
      <c r="AH542" s="4"/>
    </row>
    <row r="543" ht="12.75" hidden="1" outlineLevel="1">
      <c r="A543" s="4"/>
      <c r="B543" s="4">
        <v>4.08</v>
      </c>
      <c r="C543" s="187">
        <v>0.1269835539805122</v>
      </c>
      <c r="D543" s="190">
        <v>1.8179749395769338</v>
      </c>
      <c r="E543" s="4"/>
      <c r="F543" s="4">
        <v>4.08</v>
      </c>
      <c r="G543" s="187">
        <v>0.055469215386759974</v>
      </c>
      <c r="H543" s="190">
        <v>1.3098689707432511</v>
      </c>
      <c r="I543" s="4"/>
      <c r="J543" s="4">
        <v>4.08</v>
      </c>
      <c r="K543" s="187">
        <v>0.16645494400063887</v>
      </c>
      <c r="L543" s="190">
        <v>2.159433532733572</v>
      </c>
      <c r="M543" s="4"/>
      <c r="N543" s="4">
        <v>4.08</v>
      </c>
      <c r="O543" s="187">
        <v>0.10960838506907389</v>
      </c>
      <c r="P543" s="190">
        <v>1.6820877565961074</v>
      </c>
      <c r="Q543" s="4"/>
      <c r="R543" s="4">
        <v>4.08</v>
      </c>
      <c r="S543" s="187">
        <v>-0.14351837909747545</v>
      </c>
      <c r="T543" s="190">
        <v>0.4608825230696629</v>
      </c>
      <c r="U543" s="4"/>
      <c r="V543" s="4">
        <v>4.08</v>
      </c>
      <c r="W543" s="187">
        <v>0.13028468259661996</v>
      </c>
      <c r="X543" s="190">
        <v>1.8447571862837708</v>
      </c>
      <c r="Y543" s="4"/>
      <c r="Z543" s="4">
        <v>4.08</v>
      </c>
      <c r="AA543" s="187">
        <v>-1.9448041735839845</v>
      </c>
      <c r="AB543" s="190">
        <v>-0.7528509717785395</v>
      </c>
      <c r="AC543" s="4"/>
      <c r="AD543" s="4">
        <v>4.08</v>
      </c>
      <c r="AE543" s="187">
        <v>0.1436441230199621</v>
      </c>
      <c r="AF543" s="190">
        <v>1.956385848910306</v>
      </c>
      <c r="AG543" s="4"/>
      <c r="AH543" s="4"/>
    </row>
    <row r="544" ht="12.75" hidden="1" outlineLevel="1">
      <c r="A544" s="4"/>
      <c r="B544" s="4">
        <v>4.1</v>
      </c>
      <c r="C544" s="187">
        <v>0.12654563052536472</v>
      </c>
      <c r="D544" s="190">
        <v>1.8144455385452156</v>
      </c>
      <c r="E544" s="4"/>
      <c r="F544" s="4">
        <v>4.1</v>
      </c>
      <c r="G544" s="187">
        <v>0.054548108996507194</v>
      </c>
      <c r="H544" s="190">
        <v>1.3041633346751236</v>
      </c>
      <c r="I544" s="4"/>
      <c r="J544" s="4">
        <v>4.1</v>
      </c>
      <c r="K544" s="187">
        <v>0.16621496699681892</v>
      </c>
      <c r="L544" s="190">
        <v>2.157213124610702</v>
      </c>
      <c r="M544" s="4"/>
      <c r="N544" s="4">
        <v>4.1</v>
      </c>
      <c r="O544" s="187">
        <v>0.10900607568809173</v>
      </c>
      <c r="P544" s="190">
        <v>1.6775274181980506</v>
      </c>
      <c r="Q544" s="4"/>
      <c r="R544" s="4">
        <v>4.1</v>
      </c>
      <c r="S544" s="187">
        <v>-0.14793474096706738</v>
      </c>
      <c r="T544" s="190">
        <v>0.44912196107937774</v>
      </c>
      <c r="U544" s="4"/>
      <c r="V544" s="4">
        <v>4.1</v>
      </c>
      <c r="W544" s="187">
        <v>0.12982629095956955</v>
      </c>
      <c r="X544" s="190">
        <v>1.841019474593601</v>
      </c>
      <c r="Y544" s="4"/>
      <c r="Z544" s="4">
        <v>4.1</v>
      </c>
      <c r="AA544" s="187">
        <v>-1.9490114186422014</v>
      </c>
      <c r="AB544" s="190">
        <v>-0.7697632793791013</v>
      </c>
      <c r="AC544" s="4"/>
      <c r="AD544" s="4">
        <v>4.1</v>
      </c>
      <c r="AE544" s="187">
        <v>0.14336462462700528</v>
      </c>
      <c r="AF544" s="190">
        <v>1.9539963840241616</v>
      </c>
      <c r="AG544" s="4"/>
      <c r="AH544" s="4"/>
    </row>
    <row r="545" ht="12.75" hidden="1" outlineLevel="1">
      <c r="A545" s="4"/>
      <c r="B545" s="4">
        <v>4.12</v>
      </c>
      <c r="C545" s="187">
        <v>0.12610744626730774</v>
      </c>
      <c r="D545" s="190">
        <v>1.8109195241853058</v>
      </c>
      <c r="E545" s="4"/>
      <c r="F545" s="4">
        <v>4.12</v>
      </c>
      <c r="G545" s="187">
        <v>0.053624789772177994</v>
      </c>
      <c r="H545" s="190">
        <v>1.2984639631206891</v>
      </c>
      <c r="I545" s="4"/>
      <c r="J545" s="4">
        <v>4.12</v>
      </c>
      <c r="K545" s="187">
        <v>0.1659747923059156</v>
      </c>
      <c r="L545" s="190">
        <v>2.1549927164878304</v>
      </c>
      <c r="M545" s="4"/>
      <c r="N545" s="4">
        <v>4.12</v>
      </c>
      <c r="O545" s="187">
        <v>0.10840245498270851</v>
      </c>
      <c r="P545" s="190">
        <v>1.672967079799997</v>
      </c>
      <c r="Q545" s="4"/>
      <c r="R545" s="4">
        <v>4.12</v>
      </c>
      <c r="S545" s="187">
        <v>-0.15244461013623178</v>
      </c>
      <c r="T545" s="190">
        <v>0.43736139908909266</v>
      </c>
      <c r="U545" s="4"/>
      <c r="V545" s="4">
        <v>4.12</v>
      </c>
      <c r="W545" s="187">
        <v>0.12936715420076417</v>
      </c>
      <c r="X545" s="190">
        <v>1.837281762903431</v>
      </c>
      <c r="Y545" s="4"/>
      <c r="Z545" s="4">
        <v>4.12</v>
      </c>
      <c r="AA545" s="187">
        <v>-1.9531453524131956</v>
      </c>
      <c r="AB545" s="190">
        <v>-0.7866755869796629</v>
      </c>
      <c r="AC545" s="4"/>
      <c r="AD545" s="4">
        <v>4.12</v>
      </c>
      <c r="AE545" s="187">
        <v>0.143085553466884</v>
      </c>
      <c r="AF545" s="190">
        <v>1.9516129015523982</v>
      </c>
      <c r="AG545" s="4"/>
      <c r="AH545" s="4"/>
    </row>
    <row r="546" ht="12.75" hidden="1" outlineLevel="1">
      <c r="A546" s="4"/>
      <c r="B546" s="4">
        <v>4.14</v>
      </c>
      <c r="C546" s="187">
        <v>0.12566900047820462</v>
      </c>
      <c r="D546" s="190">
        <v>1.8073968940451257</v>
      </c>
      <c r="E546" s="4"/>
      <c r="F546" s="4">
        <v>4.14</v>
      </c>
      <c r="G546" s="187">
        <v>0.05269924204056209</v>
      </c>
      <c r="H546" s="190">
        <v>1.2927708509418163</v>
      </c>
      <c r="I546" s="4"/>
      <c r="J546" s="4">
        <v>4.14</v>
      </c>
      <c r="K546" s="187">
        <v>0.16573441956113966</v>
      </c>
      <c r="L546" s="190">
        <v>2.1527723083649604</v>
      </c>
      <c r="M546" s="4"/>
      <c r="N546" s="4">
        <v>4.14</v>
      </c>
      <c r="O546" s="187">
        <v>0.10779751651172043</v>
      </c>
      <c r="P546" s="190">
        <v>1.668406741401943</v>
      </c>
      <c r="Q546" s="4"/>
      <c r="R546" s="4">
        <v>4.14</v>
      </c>
      <c r="S546" s="187">
        <v>-0.15705256264629286</v>
      </c>
      <c r="T546" s="190">
        <v>0.4256008370988075</v>
      </c>
      <c r="U546" s="4"/>
      <c r="V546" s="4">
        <v>4.14</v>
      </c>
      <c r="W546" s="187">
        <v>0.12890726958944132</v>
      </c>
      <c r="X546" s="190">
        <v>1.8335440512132606</v>
      </c>
      <c r="Y546" s="4"/>
      <c r="Z546" s="4">
        <v>4.14</v>
      </c>
      <c r="AA546" s="187">
        <v>-1.957208788016581</v>
      </c>
      <c r="AB546" s="190">
        <v>-0.8035878945802245</v>
      </c>
      <c r="AC546" s="4"/>
      <c r="AD546" s="4">
        <v>4.14</v>
      </c>
      <c r="AE546" s="187">
        <v>0.14280690836166454</v>
      </c>
      <c r="AF546" s="190">
        <v>1.9492353790561794</v>
      </c>
      <c r="AG546" s="4"/>
      <c r="AH546" s="4"/>
    </row>
    <row r="547" ht="12.75" hidden="1" outlineLevel="1">
      <c r="A547" s="4"/>
      <c r="B547" s="4">
        <v>4.16</v>
      </c>
      <c r="C547" s="187">
        <v>0.12523029242702477</v>
      </c>
      <c r="D547" s="190">
        <v>1.8038776456737662</v>
      </c>
      <c r="E547" s="4"/>
      <c r="F547" s="4">
        <v>4.16</v>
      </c>
      <c r="G547" s="187">
        <v>0.05177144995966487</v>
      </c>
      <c r="H547" s="190">
        <v>1.2870839930031532</v>
      </c>
      <c r="I547" s="4"/>
      <c r="J547" s="4">
        <v>4.16</v>
      </c>
      <c r="K547" s="187">
        <v>0.16549384839464154</v>
      </c>
      <c r="L547" s="190">
        <v>2.150551900242089</v>
      </c>
      <c r="M547" s="4"/>
      <c r="N547" s="4">
        <v>4.16</v>
      </c>
      <c r="O547" s="187">
        <v>0.10719125378457273</v>
      </c>
      <c r="P547" s="190">
        <v>1.6638464030038878</v>
      </c>
      <c r="Q547" s="4"/>
      <c r="R547" s="4">
        <v>4.16</v>
      </c>
      <c r="S547" s="187">
        <v>-0.16176353265540433</v>
      </c>
      <c r="T547" s="190">
        <v>0.4138402751085212</v>
      </c>
      <c r="U547" s="4"/>
      <c r="V547" s="4">
        <v>4.16</v>
      </c>
      <c r="W547" s="187">
        <v>0.1284466343792401</v>
      </c>
      <c r="X547" s="190">
        <v>1.8298063395230904</v>
      </c>
      <c r="Y547" s="4"/>
      <c r="Z547" s="4">
        <v>4.16</v>
      </c>
      <c r="AA547" s="187">
        <v>-1.9612043741540923</v>
      </c>
      <c r="AB547" s="190">
        <v>-0.8205002021807868</v>
      </c>
      <c r="AC547" s="4"/>
      <c r="AD547" s="4">
        <v>4.16</v>
      </c>
      <c r="AE547" s="187">
        <v>0.14252868813812625</v>
      </c>
      <c r="AF547" s="190">
        <v>1.9468637942087537</v>
      </c>
      <c r="AG547" s="4"/>
      <c r="AH547" s="4"/>
    </row>
    <row r="548" ht="12.75" hidden="1" outlineLevel="1">
      <c r="A548" s="4"/>
      <c r="B548" s="4">
        <v>4.18</v>
      </c>
      <c r="C548" s="187">
        <v>0.12479132137982774</v>
      </c>
      <c r="D548" s="190">
        <v>1.8003617766214928</v>
      </c>
      <c r="E548" s="4"/>
      <c r="F548" s="4">
        <v>4.18</v>
      </c>
      <c r="G548" s="187">
        <v>0.05084139751624295</v>
      </c>
      <c r="H548" s="190">
        <v>1.2814033841721466</v>
      </c>
      <c r="I548" s="4"/>
      <c r="J548" s="4">
        <v>4.18</v>
      </c>
      <c r="K548" s="187">
        <v>0.16525307843750814</v>
      </c>
      <c r="L548" s="190">
        <v>2.148331492119218</v>
      </c>
      <c r="M548" s="4"/>
      <c r="N548" s="4">
        <v>4.18</v>
      </c>
      <c r="O548" s="187">
        <v>0.1065836602608452</v>
      </c>
      <c r="P548" s="190">
        <v>1.659286064605833</v>
      </c>
      <c r="Q548" s="4"/>
      <c r="R548" s="4">
        <v>4.18</v>
      </c>
      <c r="S548" s="187">
        <v>-0.16661145916775266</v>
      </c>
      <c r="T548" s="190">
        <v>0.402010709589478</v>
      </c>
      <c r="U548" s="4"/>
      <c r="V548" s="4">
        <v>4.18</v>
      </c>
      <c r="W548" s="187">
        <v>0.12798524580807813</v>
      </c>
      <c r="X548" s="190">
        <v>1.8260686278329208</v>
      </c>
      <c r="Y548" s="4"/>
      <c r="Z548" s="4">
        <v>4.18</v>
      </c>
      <c r="AA548" s="187">
        <v>-1.9651346078851892</v>
      </c>
      <c r="AB548" s="190">
        <v>-0.8374125097813477</v>
      </c>
      <c r="AC548" s="4"/>
      <c r="AD548" s="4">
        <v>4.18</v>
      </c>
      <c r="AE548" s="187">
        <v>0.1422508916277354</v>
      </c>
      <c r="AF548" s="190">
        <v>1.9444981247947428</v>
      </c>
      <c r="AG548" s="4"/>
      <c r="AH548" s="4"/>
    </row>
    <row r="549" ht="12.75" hidden="1" outlineLevel="1">
      <c r="A549" s="4"/>
      <c r="B549" s="4">
        <v>4.2</v>
      </c>
      <c r="C549" s="187">
        <v>0.12435208659974828</v>
      </c>
      <c r="D549" s="190">
        <v>1.7968492844397412</v>
      </c>
      <c r="E549" s="4"/>
      <c r="F549" s="4">
        <v>4.2</v>
      </c>
      <c r="G549" s="187">
        <v>0.04990906852329324</v>
      </c>
      <c r="H549" s="190">
        <v>1.2757290193190272</v>
      </c>
      <c r="I549" s="4"/>
      <c r="J549" s="4">
        <v>4.2</v>
      </c>
      <c r="K549" s="187">
        <v>0.1650121093197583</v>
      </c>
      <c r="L549" s="190">
        <v>2.146111083996347</v>
      </c>
      <c r="M549" s="4"/>
      <c r="N549" s="4">
        <v>4.2</v>
      </c>
      <c r="O549" s="187">
        <v>0.10597472934973107</v>
      </c>
      <c r="P549" s="190">
        <v>1.6547257262077795</v>
      </c>
      <c r="Q549" s="4"/>
      <c r="R549" s="4">
        <v>4.2</v>
      </c>
      <c r="S549" s="187">
        <v>-0.17163356305125232</v>
      </c>
      <c r="T549" s="190">
        <v>0.39004298461352677</v>
      </c>
      <c r="U549" s="4"/>
      <c r="V549" s="4">
        <v>4.2</v>
      </c>
      <c r="W549" s="187">
        <v>0.12752310109803044</v>
      </c>
      <c r="X549" s="190">
        <v>1.8223309161427508</v>
      </c>
      <c r="Y549" s="4"/>
      <c r="Z549" s="4">
        <v>4.2</v>
      </c>
      <c r="AA549" s="187">
        <v>-1.9690018461738177</v>
      </c>
      <c r="AB549" s="190">
        <v>-0.8543248173819099</v>
      </c>
      <c r="AC549" s="4"/>
      <c r="AD549" s="4">
        <v>4.2</v>
      </c>
      <c r="AE549" s="187">
        <v>0.14197351766662147</v>
      </c>
      <c r="AF549" s="190">
        <v>1.942138348709456</v>
      </c>
      <c r="AG549" s="4"/>
      <c r="AH549" s="4"/>
    </row>
    <row r="550" ht="12.75" hidden="1" outlineLevel="1">
      <c r="A550" s="4"/>
      <c r="B550" s="4">
        <v>4.22</v>
      </c>
      <c r="C550" s="187">
        <v>0.12391258734697974</v>
      </c>
      <c r="D550" s="190">
        <v>1.7933401666811144</v>
      </c>
      <c r="E550" s="4"/>
      <c r="F550" s="4">
        <v>4.22</v>
      </c>
      <c r="G550" s="187">
        <v>0.048974446617491285</v>
      </c>
      <c r="H550" s="190">
        <v>1.270060893316802</v>
      </c>
      <c r="I550" s="4"/>
      <c r="J550" s="4">
        <v>4.22</v>
      </c>
      <c r="K550" s="187">
        <v>0.1647709406703386</v>
      </c>
      <c r="L550" s="190">
        <v>2.1438906758734757</v>
      </c>
      <c r="M550" s="4"/>
      <c r="N550" s="4">
        <v>4.22</v>
      </c>
      <c r="O550" s="187">
        <v>0.10536445440950737</v>
      </c>
      <c r="P550" s="190">
        <v>1.6501653878097253</v>
      </c>
      <c r="Q550" s="4"/>
      <c r="R550" s="4">
        <v>4.22</v>
      </c>
      <c r="S550" s="187">
        <v>-0.17678049508190496</v>
      </c>
      <c r="T550" s="190">
        <v>0.3780752596375755</v>
      </c>
      <c r="U550" s="4"/>
      <c r="V550" s="4">
        <v>4.22</v>
      </c>
      <c r="W550" s="187">
        <v>0.12706019745520458</v>
      </c>
      <c r="X550" s="190">
        <v>1.8185932044525803</v>
      </c>
      <c r="Y550" s="4"/>
      <c r="Z550" s="4">
        <v>4.22</v>
      </c>
      <c r="AA550" s="187">
        <v>-1.9728083163463397</v>
      </c>
      <c r="AB550" s="190">
        <v>-0.8712371249824709</v>
      </c>
      <c r="AC550" s="4"/>
      <c r="AD550" s="4">
        <v>4.22</v>
      </c>
      <c r="AE550" s="187">
        <v>0.1416965650955524</v>
      </c>
      <c r="AF550" s="190">
        <v>1.9397844439582006</v>
      </c>
      <c r="AG550" s="4"/>
      <c r="AH550" s="4"/>
    </row>
    <row r="551" ht="12.75" hidden="1" outlineLevel="1">
      <c r="A551" s="4"/>
      <c r="B551" s="4">
        <v>4.24</v>
      </c>
      <c r="C551" s="187">
        <v>0.12347282287876027</v>
      </c>
      <c r="D551" s="190">
        <v>1.7898344208993917</v>
      </c>
      <c r="E551" s="4"/>
      <c r="F551" s="4">
        <v>4.24</v>
      </c>
      <c r="G551" s="187">
        <v>0.048037515256590835</v>
      </c>
      <c r="H551" s="190">
        <v>1.2643990010412718</v>
      </c>
      <c r="I551" s="4"/>
      <c r="J551" s="4">
        <v>4.24</v>
      </c>
      <c r="K551" s="187">
        <v>0.16452957211711916</v>
      </c>
      <c r="L551" s="190">
        <v>2.1416702677506056</v>
      </c>
      <c r="M551" s="4"/>
      <c r="N551" s="4">
        <v>4.24</v>
      </c>
      <c r="O551" s="187">
        <v>0.10475282874700076</v>
      </c>
      <c r="P551" s="190">
        <v>1.6456050494116687</v>
      </c>
      <c r="Q551" s="4"/>
      <c r="R551" s="4">
        <v>4.24</v>
      </c>
      <c r="S551" s="187">
        <v>-0.18205946092329062</v>
      </c>
      <c r="T551" s="190">
        <v>0.3661075346616242</v>
      </c>
      <c r="U551" s="4"/>
      <c r="V551" s="4">
        <v>4.24</v>
      </c>
      <c r="W551" s="187">
        <v>0.12659653206961785</v>
      </c>
      <c r="X551" s="190">
        <v>1.81485549276241</v>
      </c>
      <c r="Y551" s="4"/>
      <c r="Z551" s="4">
        <v>4.24</v>
      </c>
      <c r="AA551" s="187">
        <v>-1.976556125582324</v>
      </c>
      <c r="AB551" s="190">
        <v>-0.8881494325830331</v>
      </c>
      <c r="AC551" s="4"/>
      <c r="AD551" s="4">
        <v>4.24</v>
      </c>
      <c r="AE551" s="187">
        <v>0.14142003275990978</v>
      </c>
      <c r="AF551" s="190">
        <v>1.9374363886555952</v>
      </c>
      <c r="AG551" s="4"/>
      <c r="AH551" s="4"/>
    </row>
    <row r="552" ht="12.75" hidden="1" outlineLevel="1">
      <c r="A552" s="4"/>
      <c r="B552" s="4">
        <v>4.26</v>
      </c>
      <c r="C552" s="187">
        <v>0.12303279244935483</v>
      </c>
      <c r="D552" s="190">
        <v>1.786332044649515</v>
      </c>
      <c r="E552" s="4"/>
      <c r="F552" s="4">
        <v>4.26</v>
      </c>
      <c r="G552" s="187">
        <v>0.047098257716766234</v>
      </c>
      <c r="H552" s="190">
        <v>1.2587433373710157</v>
      </c>
      <c r="I552" s="4"/>
      <c r="J552" s="4">
        <v>4.26</v>
      </c>
      <c r="K552" s="187">
        <v>0.1642880032868892</v>
      </c>
      <c r="L552" s="190">
        <v>2.139449859627734</v>
      </c>
      <c r="M552" s="4"/>
      <c r="N552" s="4">
        <v>4.26</v>
      </c>
      <c r="O552" s="187">
        <v>0.10413984561704637</v>
      </c>
      <c r="P552" s="190">
        <v>1.6410447110136146</v>
      </c>
      <c r="Q552" s="4"/>
      <c r="R552" s="4">
        <v>4.26</v>
      </c>
      <c r="S552" s="187">
        <v>-0.18747833477428177</v>
      </c>
      <c r="T552" s="190">
        <v>0.35413980968567293</v>
      </c>
      <c r="U552" s="4"/>
      <c r="V552" s="4">
        <v>4.26</v>
      </c>
      <c r="W552" s="187">
        <v>0.12613210211506898</v>
      </c>
      <c r="X552" s="190">
        <v>1.8111177810722405</v>
      </c>
      <c r="Y552" s="4"/>
      <c r="Z552" s="4">
        <v>4.26</v>
      </c>
      <c r="AA552" s="187">
        <v>-1.9802472695442181</v>
      </c>
      <c r="AB552" s="190">
        <v>-0.9050617401835941</v>
      </c>
      <c r="AC552" s="4"/>
      <c r="AD552" s="4">
        <v>4.26</v>
      </c>
      <c r="AE552" s="187">
        <v>0.14114391950966665</v>
      </c>
      <c r="AF552" s="190">
        <v>1.935094161024897</v>
      </c>
      <c r="AG552" s="4"/>
      <c r="AH552" s="4"/>
    </row>
    <row r="553" ht="12.75" hidden="1" outlineLevel="1">
      <c r="A553" s="4"/>
      <c r="B553" s="4">
        <v>4.28</v>
      </c>
      <c r="C553" s="187">
        <v>0.12259249531004124</v>
      </c>
      <c r="D553" s="190">
        <v>1.7828330354876012</v>
      </c>
      <c r="E553" s="4"/>
      <c r="F553" s="4">
        <v>4.28</v>
      </c>
      <c r="G553" s="187">
        <v>0.04615665708990946</v>
      </c>
      <c r="H553" s="190">
        <v>1.2530938971874006</v>
      </c>
      <c r="I553" s="4"/>
      <c r="J553" s="4">
        <v>4.28</v>
      </c>
      <c r="K553" s="187">
        <v>0.16404623380535321</v>
      </c>
      <c r="L553" s="190">
        <v>2.1372294515048633</v>
      </c>
      <c r="M553" s="4"/>
      <c r="N553" s="4">
        <v>4.28</v>
      </c>
      <c r="O553" s="187">
        <v>0.10352549822193491</v>
      </c>
      <c r="P553" s="190">
        <v>1.6364843726155613</v>
      </c>
      <c r="Q553" s="4"/>
      <c r="R553" s="4">
        <v>4.28</v>
      </c>
      <c r="S553" s="187">
        <v>-0.19304574644245787</v>
      </c>
      <c r="T553" s="190">
        <v>0.34217208470972127</v>
      </c>
      <c r="U553" s="4"/>
      <c r="V553" s="4">
        <v>4.28</v>
      </c>
      <c r="W553" s="187">
        <v>0.1256669047490122</v>
      </c>
      <c r="X553" s="190">
        <v>1.8073800693820696</v>
      </c>
      <c r="Y553" s="4"/>
      <c r="Z553" s="4">
        <v>4.28</v>
      </c>
      <c r="AA553" s="187">
        <v>-1.9838836402385738</v>
      </c>
      <c r="AB553" s="190">
        <v>-0.9219740477841565</v>
      </c>
      <c r="AC553" s="4"/>
      <c r="AD553" s="4">
        <v>4.28</v>
      </c>
      <c r="AE553" s="187">
        <v>0.14086822419936107</v>
      </c>
      <c r="AF553" s="190">
        <v>1.9327577393973217</v>
      </c>
      <c r="AG553" s="4"/>
      <c r="AH553" s="4"/>
    </row>
    <row r="554" ht="12.75" hidden="1" outlineLevel="1">
      <c r="A554" s="4"/>
      <c r="B554" s="4">
        <v>4.3</v>
      </c>
      <c r="C554" s="187">
        <v>0.12215193070909325</v>
      </c>
      <c r="D554" s="190">
        <v>1.7793373909709338</v>
      </c>
      <c r="E554" s="4"/>
      <c r="F554" s="4">
        <v>4.3</v>
      </c>
      <c r="G554" s="187">
        <v>0.04521269628087499</v>
      </c>
      <c r="H554" s="190">
        <v>1.2474506753745713</v>
      </c>
      <c r="I554" s="4"/>
      <c r="J554" s="4">
        <v>4.3</v>
      </c>
      <c r="K554" s="187">
        <v>0.16380426329712616</v>
      </c>
      <c r="L554" s="190">
        <v>2.1350090433819933</v>
      </c>
      <c r="M554" s="4"/>
      <c r="N554" s="4">
        <v>4.3</v>
      </c>
      <c r="O554" s="187">
        <v>0.10290977971085802</v>
      </c>
      <c r="P554" s="190">
        <v>1.6319240342175059</v>
      </c>
      <c r="Q554" s="4"/>
      <c r="R554" s="4">
        <v>4.3</v>
      </c>
      <c r="S554" s="187">
        <v>-0.19877118325313592</v>
      </c>
      <c r="T554" s="190">
        <v>0.33020435973377044</v>
      </c>
      <c r="U554" s="4"/>
      <c r="V554" s="4">
        <v>4.3</v>
      </c>
      <c r="W554" s="187">
        <v>0.12520093711242897</v>
      </c>
      <c r="X554" s="190">
        <v>1.8036423576918998</v>
      </c>
      <c r="Y554" s="4"/>
      <c r="Z554" s="4">
        <v>4.3</v>
      </c>
      <c r="AA554" s="187">
        <v>-1.987467033189997</v>
      </c>
      <c r="AB554" s="190">
        <v>-0.9388863553847174</v>
      </c>
      <c r="AC554" s="4"/>
      <c r="AD554" s="4">
        <v>4.3</v>
      </c>
      <c r="AE554" s="187">
        <v>0.14059294568807457</v>
      </c>
      <c r="AF554" s="190">
        <v>1.9304271022113795</v>
      </c>
      <c r="AG554" s="4"/>
      <c r="AH554" s="4"/>
    </row>
    <row r="555" ht="12.75" hidden="1" outlineLevel="1">
      <c r="A555" s="4"/>
      <c r="B555" s="4">
        <v>4.32</v>
      </c>
      <c r="C555" s="187">
        <v>0.12171109789176549</v>
      </c>
      <c r="D555" s="190">
        <v>1.7758451086579727</v>
      </c>
      <c r="E555" s="4"/>
      <c r="F555" s="4">
        <v>4.32</v>
      </c>
      <c r="G555" s="187">
        <v>0.04426635800467138</v>
      </c>
      <c r="H555" s="190">
        <v>1.2418136668194528</v>
      </c>
      <c r="I555" s="4"/>
      <c r="J555" s="4">
        <v>4.32</v>
      </c>
      <c r="K555" s="187">
        <v>0.16356209138572964</v>
      </c>
      <c r="L555" s="190">
        <v>2.132788635259121</v>
      </c>
      <c r="M555" s="4"/>
      <c r="N555" s="4">
        <v>4.32</v>
      </c>
      <c r="O555" s="187">
        <v>0.10229268317934381</v>
      </c>
      <c r="P555" s="190">
        <v>1.627363695819452</v>
      </c>
      <c r="Q555" s="4"/>
      <c r="R555" s="4">
        <v>4.32</v>
      </c>
      <c r="S555" s="187">
        <v>-0.20466510996115916</v>
      </c>
      <c r="T555" s="190">
        <v>0.31823663475781916</v>
      </c>
      <c r="U555" s="4"/>
      <c r="V555" s="4">
        <v>4.32</v>
      </c>
      <c r="W555" s="187">
        <v>0.12473419632969684</v>
      </c>
      <c r="X555" s="190">
        <v>1.7999046460017298</v>
      </c>
      <c r="Y555" s="4"/>
      <c r="Z555" s="4">
        <v>4.32</v>
      </c>
      <c r="AA555" s="187">
        <v>-1.9909991539991365</v>
      </c>
      <c r="AB555" s="190">
        <v>-0.9557986629852797</v>
      </c>
      <c r="AC555" s="4"/>
      <c r="AD555" s="4">
        <v>4.32</v>
      </c>
      <c r="AE555" s="187">
        <v>0.14031808283940705</v>
      </c>
      <c r="AF555" s="190">
        <v>1.9281022280122135</v>
      </c>
      <c r="AG555" s="4"/>
      <c r="AH555" s="4"/>
    </row>
    <row r="556" ht="12.75" hidden="1" outlineLevel="1">
      <c r="A556" s="4"/>
      <c r="B556" s="4">
        <v>4.34</v>
      </c>
      <c r="C556" s="187">
        <v>0.12126999610027522</v>
      </c>
      <c r="D556" s="190">
        <v>1.772356186108338</v>
      </c>
      <c r="E556" s="4"/>
      <c r="F556" s="4">
        <v>4.34</v>
      </c>
      <c r="G556" s="187">
        <v>0.043317624783602904</v>
      </c>
      <c r="H556" s="190">
        <v>1.2361828664117571</v>
      </c>
      <c r="I556" s="4"/>
      <c r="J556" s="4">
        <v>4.34</v>
      </c>
      <c r="K556" s="187">
        <v>0.16331971769358722</v>
      </c>
      <c r="L556" s="190">
        <v>2.130568227136251</v>
      </c>
      <c r="M556" s="4"/>
      <c r="N556" s="4">
        <v>4.34</v>
      </c>
      <c r="O556" s="187">
        <v>0.10167420166868357</v>
      </c>
      <c r="P556" s="190">
        <v>1.6228033574213971</v>
      </c>
      <c r="Q556" s="4"/>
      <c r="R556" s="4">
        <v>4.34</v>
      </c>
      <c r="S556" s="187">
        <v>-0.21073911065568907</v>
      </c>
      <c r="T556" s="190">
        <v>0.3062689097818687</v>
      </c>
      <c r="U556" s="4"/>
      <c r="V556" s="4">
        <v>4.34</v>
      </c>
      <c r="W556" s="187">
        <v>0.12426667950845904</v>
      </c>
      <c r="X556" s="190">
        <v>1.7961669343115594</v>
      </c>
      <c r="Y556" s="4"/>
      <c r="Z556" s="4">
        <v>4.34</v>
      </c>
      <c r="AA556" s="187">
        <v>-1.9944816243474905</v>
      </c>
      <c r="AB556" s="190">
        <v>-0.9727109705858406</v>
      </c>
      <c r="AC556" s="4"/>
      <c r="AD556" s="4">
        <v>4.34</v>
      </c>
      <c r="AE556" s="187">
        <v>0.14004363452145396</v>
      </c>
      <c r="AF556" s="190">
        <v>1.9257830954509363</v>
      </c>
      <c r="AG556" s="4"/>
      <c r="AH556" s="4"/>
    </row>
    <row r="557" ht="12.75" hidden="1" outlineLevel="1">
      <c r="A557" s="4"/>
      <c r="B557" s="4">
        <v>4.36</v>
      </c>
      <c r="C557" s="187">
        <v>0.12082862457378751</v>
      </c>
      <c r="D557" s="190">
        <v>1.7688706208828189</v>
      </c>
      <c r="E557" s="4"/>
      <c r="F557" s="4">
        <v>4.36</v>
      </c>
      <c r="G557" s="187">
        <v>0.04236647894435164</v>
      </c>
      <c r="H557" s="190">
        <v>1.2305582690439676</v>
      </c>
      <c r="I557" s="4"/>
      <c r="J557" s="4">
        <v>4.36</v>
      </c>
      <c r="K557" s="187">
        <v>0.1630771418420205</v>
      </c>
      <c r="L557" s="190">
        <v>2.1283478190133795</v>
      </c>
      <c r="M557" s="4"/>
      <c r="N557" s="4">
        <v>4.36</v>
      </c>
      <c r="O557" s="187">
        <v>0.10105432816535287</v>
      </c>
      <c r="P557" s="190">
        <v>1.618243019023343</v>
      </c>
      <c r="Q557" s="4"/>
      <c r="R557" s="4">
        <v>4.36</v>
      </c>
      <c r="S557" s="187">
        <v>-0.2170060577265448</v>
      </c>
      <c r="T557" s="190">
        <v>0.29430118480591666</v>
      </c>
      <c r="U557" s="4"/>
      <c r="V557" s="4">
        <v>4.36</v>
      </c>
      <c r="W557" s="187">
        <v>0.1237983837394927</v>
      </c>
      <c r="X557" s="190">
        <v>1.7924292226213894</v>
      </c>
      <c r="Y557" s="4"/>
      <c r="Z557" s="4">
        <v>4.36</v>
      </c>
      <c r="AA557" s="187">
        <v>-1.9979159875044457</v>
      </c>
      <c r="AB557" s="190">
        <v>-0.9896232781864028</v>
      </c>
      <c r="AC557" s="4"/>
      <c r="AD557" s="4">
        <v>4.36</v>
      </c>
      <c r="AE557" s="187">
        <v>0.13976959960678337</v>
      </c>
      <c r="AF557" s="190">
        <v>1.9234696832839815</v>
      </c>
      <c r="AG557" s="4"/>
      <c r="AH557" s="4"/>
    </row>
    <row r="558" ht="12.75" hidden="1" outlineLevel="1">
      <c r="A558" s="4"/>
      <c r="B558" s="4">
        <v>4.38</v>
      </c>
      <c r="C558" s="187">
        <v>0.12038698254839963</v>
      </c>
      <c r="D558" s="190">
        <v>1.7653884105433797</v>
      </c>
      <c r="E558" s="4"/>
      <c r="F558" s="4">
        <v>4.38</v>
      </c>
      <c r="G558" s="187">
        <v>0.04141290261500852</v>
      </c>
      <c r="H558" s="190">
        <v>1.2249398696113551</v>
      </c>
      <c r="I558" s="4"/>
      <c r="J558" s="4">
        <v>4.38</v>
      </c>
      <c r="K558" s="187">
        <v>0.1628343634512439</v>
      </c>
      <c r="L558" s="190">
        <v>2.12612741089051</v>
      </c>
      <c r="M558" s="4"/>
      <c r="N558" s="4">
        <v>4.38</v>
      </c>
      <c r="O558" s="187">
        <v>0.10043305560042315</v>
      </c>
      <c r="P558" s="190">
        <v>1.6136826806252873</v>
      </c>
      <c r="Q558" s="4"/>
      <c r="R558" s="4">
        <v>4.38</v>
      </c>
      <c r="S558" s="187">
        <v>-0.2234803143870201</v>
      </c>
      <c r="T558" s="190">
        <v>0.2823334598299662</v>
      </c>
      <c r="U558" s="4"/>
      <c r="V558" s="4">
        <v>4.38</v>
      </c>
      <c r="W558" s="187">
        <v>0.12334073703254189</v>
      </c>
      <c r="X558" s="190">
        <v>1.7887825209055195</v>
      </c>
      <c r="Y558" s="4"/>
      <c r="Z558" s="4">
        <v>4.38</v>
      </c>
      <c r="AA558" s="187">
        <v>-2.0013037133855587</v>
      </c>
      <c r="AB558" s="190">
        <v>-1.0065355857869644</v>
      </c>
      <c r="AC558" s="4"/>
      <c r="AD558" s="4">
        <v>4.38</v>
      </c>
      <c r="AE558" s="187">
        <v>0.13949597697241178</v>
      </c>
      <c r="AF558" s="190">
        <v>1.921161970372451</v>
      </c>
      <c r="AG558" s="4"/>
      <c r="AH558" s="4"/>
    </row>
    <row r="559" ht="12.75" hidden="1" outlineLevel="1">
      <c r="A559" s="4"/>
      <c r="B559" s="4">
        <v>4.4</v>
      </c>
      <c r="C559" s="187">
        <v>0.11994506925712267</v>
      </c>
      <c r="D559" s="190">
        <v>1.7619095526531456</v>
      </c>
      <c r="E559" s="4"/>
      <c r="F559" s="4">
        <v>4.4</v>
      </c>
      <c r="G559" s="187">
        <v>0.04045687772204243</v>
      </c>
      <c r="H559" s="190">
        <v>1.2193276630119558</v>
      </c>
      <c r="I559" s="4"/>
      <c r="J559" s="4">
        <v>4.4</v>
      </c>
      <c r="K559" s="187">
        <v>0.16259138214036128</v>
      </c>
      <c r="L559" s="190">
        <v>2.123907002767638</v>
      </c>
      <c r="M559" s="4"/>
      <c r="N559" s="4">
        <v>4.4</v>
      </c>
      <c r="O559" s="187">
        <v>0.0998103768489671</v>
      </c>
      <c r="P559" s="190">
        <v>1.6091223422272332</v>
      </c>
      <c r="Q559" s="4"/>
      <c r="R559" s="4">
        <v>4.4</v>
      </c>
      <c r="S559" s="187">
        <v>-0.2301779791549763</v>
      </c>
      <c r="T559" s="190">
        <v>0.2703657348540153</v>
      </c>
      <c r="U559" s="4"/>
      <c r="V559" s="4">
        <v>4.4</v>
      </c>
      <c r="W559" s="187">
        <v>0.12288237084262521</v>
      </c>
      <c r="X559" s="190">
        <v>1.7851360378794037</v>
      </c>
      <c r="Y559" s="4"/>
      <c r="Z559" s="4">
        <v>4.4</v>
      </c>
      <c r="AA559" s="187">
        <v>-2.0046462032055357</v>
      </c>
      <c r="AB559" s="190">
        <v>-1.0234478933875262</v>
      </c>
      <c r="AC559" s="4"/>
      <c r="AD559" s="4">
        <v>4.4</v>
      </c>
      <c r="AE559" s="187">
        <v>0.13922276549978196</v>
      </c>
      <c r="AF559" s="190">
        <v>1.9188599356814728</v>
      </c>
      <c r="AG559" s="4"/>
      <c r="AH559" s="4"/>
    </row>
    <row r="560" ht="12.75" hidden="1" outlineLevel="1">
      <c r="A560" s="4"/>
      <c r="B560" s="4">
        <v>4.42</v>
      </c>
      <c r="C560" s="187">
        <v>0.11950288392986641</v>
      </c>
      <c r="D560" s="190">
        <v>1.7584340447764157</v>
      </c>
      <c r="E560" s="4"/>
      <c r="F560" s="4">
        <v>4.42</v>
      </c>
      <c r="G560" s="187">
        <v>0.039498385987217555</v>
      </c>
      <c r="H560" s="190">
        <v>1.213721644146599</v>
      </c>
      <c r="I560" s="4"/>
      <c r="J560" s="4">
        <v>4.42</v>
      </c>
      <c r="K560" s="187">
        <v>0.16234819752736107</v>
      </c>
      <c r="L560" s="190">
        <v>2.121686594644767</v>
      </c>
      <c r="M560" s="4"/>
      <c r="N560" s="4">
        <v>4.42</v>
      </c>
      <c r="O560" s="187">
        <v>0.09918628472945401</v>
      </c>
      <c r="P560" s="190">
        <v>1.604562003829179</v>
      </c>
      <c r="Q560" s="4"/>
      <c r="R560" s="4">
        <v>4.42</v>
      </c>
      <c r="S560" s="187">
        <v>-0.23711718327207143</v>
      </c>
      <c r="T560" s="190">
        <v>0.2583980098780645</v>
      </c>
      <c r="U560" s="4"/>
      <c r="V560" s="4">
        <v>4.42</v>
      </c>
      <c r="W560" s="187">
        <v>0.1224232549988773</v>
      </c>
      <c r="X560" s="190">
        <v>1.7814895548532885</v>
      </c>
      <c r="Y560" s="4"/>
      <c r="Z560" s="4">
        <v>4.42</v>
      </c>
      <c r="AA560" s="187">
        <v>-2.007944793764503</v>
      </c>
      <c r="AB560" s="190">
        <v>-1.0403602009880877</v>
      </c>
      <c r="AC560" s="4"/>
      <c r="AD560" s="4">
        <v>4.42</v>
      </c>
      <c r="AE560" s="187">
        <v>0.1389499640747398</v>
      </c>
      <c r="AF560" s="190">
        <v>1.9165635582795644</v>
      </c>
      <c r="AG560" s="4"/>
      <c r="AH560" s="4"/>
    </row>
    <row r="561" ht="12.75" hidden="1" outlineLevel="1">
      <c r="A561" s="4"/>
      <c r="B561" s="4">
        <v>4.44</v>
      </c>
      <c r="C561" s="187">
        <v>0.11906042579342091</v>
      </c>
      <c r="D561" s="190">
        <v>1.7549618844786496</v>
      </c>
      <c r="E561" s="4"/>
      <c r="F561" s="4">
        <v>4.44</v>
      </c>
      <c r="G561" s="187">
        <v>0.03853740892444257</v>
      </c>
      <c r="H561" s="190">
        <v>1.2081218079188765</v>
      </c>
      <c r="I561" s="4"/>
      <c r="J561" s="4">
        <v>4.44</v>
      </c>
      <c r="K561" s="187">
        <v>0.16210480922911152</v>
      </c>
      <c r="L561" s="190">
        <v>2.119466186521897</v>
      </c>
      <c r="M561" s="4"/>
      <c r="N561" s="4">
        <v>4.44</v>
      </c>
      <c r="O561" s="187">
        <v>0.09856077200313762</v>
      </c>
      <c r="P561" s="190">
        <v>1.6000016654311242</v>
      </c>
      <c r="Q561" s="4"/>
      <c r="R561" s="4">
        <v>4.44</v>
      </c>
      <c r="S561" s="187">
        <v>-0.24431845556964582</v>
      </c>
      <c r="T561" s="190">
        <v>0.2464302849021124</v>
      </c>
      <c r="U561" s="4"/>
      <c r="V561" s="4">
        <v>4.44</v>
      </c>
      <c r="W561" s="187">
        <v>0.12196338673702845</v>
      </c>
      <c r="X561" s="190">
        <v>1.7778430718271725</v>
      </c>
      <c r="Y561" s="4"/>
      <c r="Z561" s="4">
        <v>4.44</v>
      </c>
      <c r="AA561" s="187">
        <v>-2.0112007614019314</v>
      </c>
      <c r="AB561" s="190">
        <v>-1.0572725085886492</v>
      </c>
      <c r="AC561" s="4"/>
      <c r="AD561" s="4">
        <v>4.44</v>
      </c>
      <c r="AE561" s="187">
        <v>0.1386775715875117</v>
      </c>
      <c r="AF561" s="190">
        <v>1.9142728173379926</v>
      </c>
      <c r="AG561" s="4"/>
      <c r="AH561" s="4"/>
    </row>
    <row r="562" ht="12.75" hidden="1" outlineLevel="1">
      <c r="A562" s="4"/>
      <c r="B562" s="4">
        <v>4.46</v>
      </c>
      <c r="C562" s="187">
        <v>0.11861769407144207</v>
      </c>
      <c r="D562" s="190">
        <v>1.7514930693264794</v>
      </c>
      <c r="E562" s="4"/>
      <c r="F562" s="4">
        <v>4.46</v>
      </c>
      <c r="G562" s="187">
        <v>0.03757392783656477</v>
      </c>
      <c r="H562" s="190">
        <v>1.202528149235162</v>
      </c>
      <c r="I562" s="4"/>
      <c r="J562" s="4">
        <v>4.46</v>
      </c>
      <c r="K562" s="187">
        <v>0.16186121686135646</v>
      </c>
      <c r="L562" s="190">
        <v>2.117245778399025</v>
      </c>
      <c r="M562" s="4"/>
      <c r="N562" s="4">
        <v>4.46</v>
      </c>
      <c r="O562" s="187">
        <v>0.09793383137343681</v>
      </c>
      <c r="P562" s="190">
        <v>1.5954413270330692</v>
      </c>
      <c r="Q562" s="4"/>
      <c r="R562" s="4">
        <v>4.46</v>
      </c>
      <c r="S562" s="187">
        <v>-0.2518051741840076</v>
      </c>
      <c r="T562" s="190">
        <v>0.23446255992616033</v>
      </c>
      <c r="U562" s="4"/>
      <c r="V562" s="4">
        <v>4.46</v>
      </c>
      <c r="W562" s="187">
        <v>0.12150276327692056</v>
      </c>
      <c r="X562" s="190">
        <v>1.7741965888010576</v>
      </c>
      <c r="Y562" s="4"/>
      <c r="Z562" s="4">
        <v>4.46</v>
      </c>
      <c r="AA562" s="187">
        <v>-2.014415325648852</v>
      </c>
      <c r="AB562" s="190">
        <v>-1.0741848161892111</v>
      </c>
      <c r="AC562" s="4"/>
      <c r="AD562" s="4">
        <v>4.46</v>
      </c>
      <c r="AE562" s="187">
        <v>0.1384055869326819</v>
      </c>
      <c r="AF562" s="190">
        <v>1.9119876921301506</v>
      </c>
      <c r="AG562" s="4"/>
      <c r="AH562" s="4"/>
    </row>
    <row r="563" ht="12.75" hidden="1" outlineLevel="1">
      <c r="A563" s="4"/>
      <c r="B563" s="4">
        <v>4.48</v>
      </c>
      <c r="C563" s="187">
        <v>0.11817468798443254</v>
      </c>
      <c r="D563" s="190">
        <v>1.7480275968877026</v>
      </c>
      <c r="E563" s="4"/>
      <c r="F563" s="4">
        <v>4.48</v>
      </c>
      <c r="G563" s="187">
        <v>0.03660792381210065</v>
      </c>
      <c r="H563" s="190">
        <v>1.1969406630046062</v>
      </c>
      <c r="I563" s="4"/>
      <c r="J563" s="4">
        <v>4.48</v>
      </c>
      <c r="K563" s="187">
        <v>0.1616174200387117</v>
      </c>
      <c r="L563" s="190">
        <v>2.1150253702761552</v>
      </c>
      <c r="M563" s="4"/>
      <c r="N563" s="4">
        <v>4.48</v>
      </c>
      <c r="O563" s="187">
        <v>0.09730545548530567</v>
      </c>
      <c r="P563" s="190">
        <v>1.5908809886350141</v>
      </c>
      <c r="Q563" s="4"/>
      <c r="R563" s="4">
        <v>4.48</v>
      </c>
      <c r="S563" s="187">
        <v>-0.259604131411327</v>
      </c>
      <c r="T563" s="190">
        <v>0.22249483495020989</v>
      </c>
      <c r="U563" s="4"/>
      <c r="V563" s="4">
        <v>4.48</v>
      </c>
      <c r="W563" s="187">
        <v>0.121041381822383</v>
      </c>
      <c r="X563" s="190">
        <v>1.7705501057749415</v>
      </c>
      <c r="Y563" s="4"/>
      <c r="Z563" s="4">
        <v>4.48</v>
      </c>
      <c r="AA563" s="187">
        <v>-2.0175896526057544</v>
      </c>
      <c r="AB563" s="190">
        <v>-1.0910971237897733</v>
      </c>
      <c r="AC563" s="4"/>
      <c r="AD563" s="4">
        <v>4.48</v>
      </c>
      <c r="AE563" s="187">
        <v>0.13813400900917006</v>
      </c>
      <c r="AF563" s="190">
        <v>1.9097081620309275</v>
      </c>
      <c r="AG563" s="4"/>
      <c r="AH563" s="4"/>
    </row>
    <row r="564" ht="12.75" hidden="1" outlineLevel="1">
      <c r="A564" s="4"/>
      <c r="B564" s="4">
        <v>4.5</v>
      </c>
      <c r="C564" s="187">
        <v>0.11773140674972504</v>
      </c>
      <c r="D564" s="190">
        <v>1.744565464731278</v>
      </c>
      <c r="E564" s="4"/>
      <c r="F564" s="4">
        <v>4.5</v>
      </c>
      <c r="G564" s="187">
        <v>0.035639377721897736</v>
      </c>
      <c r="H564" s="190">
        <v>1.191359344139128</v>
      </c>
      <c r="I564" s="4"/>
      <c r="J564" s="4">
        <v>4.5</v>
      </c>
      <c r="K564" s="187">
        <v>0.1613734183746589</v>
      </c>
      <c r="L564" s="190">
        <v>2.1128049621532843</v>
      </c>
      <c r="M564" s="4"/>
      <c r="N564" s="4">
        <v>4.5</v>
      </c>
      <c r="O564" s="187">
        <v>0.09667563692459646</v>
      </c>
      <c r="P564" s="190">
        <v>1.5863206502369618</v>
      </c>
      <c r="Q564" s="4"/>
      <c r="R564" s="4">
        <v>4.5</v>
      </c>
      <c r="S564" s="187">
        <v>-0.2677462478395257</v>
      </c>
      <c r="T564" s="190">
        <v>0.2105271099742586</v>
      </c>
      <c r="U564" s="4"/>
      <c r="V564" s="4">
        <v>4.5</v>
      </c>
      <c r="W564" s="187">
        <v>0.12057923956110805</v>
      </c>
      <c r="X564" s="190">
        <v>1.766903622748826</v>
      </c>
      <c r="Y564" s="4"/>
      <c r="Z564" s="4">
        <v>4.5</v>
      </c>
      <c r="AA564" s="187">
        <v>-2.020724858070679</v>
      </c>
      <c r="AB564" s="190">
        <v>-1.1080094313903341</v>
      </c>
      <c r="AC564" s="4"/>
      <c r="AD564" s="4">
        <v>4.5</v>
      </c>
      <c r="AE564" s="187">
        <v>0.13786283672020883</v>
      </c>
      <c r="AF564" s="190">
        <v>1.9074342065160879</v>
      </c>
      <c r="AG564" s="4"/>
      <c r="AH564" s="4"/>
    </row>
    <row r="565" ht="12.75" hidden="1" outlineLevel="1">
      <c r="A565" s="4"/>
      <c r="B565" s="4">
        <v>4.52</v>
      </c>
      <c r="C565" s="187">
        <v>0.11728784958146732</v>
      </c>
      <c r="D565" s="190">
        <v>1.7411066704273448</v>
      </c>
      <c r="E565" s="4"/>
      <c r="F565" s="4">
        <v>4.52</v>
      </c>
      <c r="G565" s="187">
        <v>0.03466827021573815</v>
      </c>
      <c r="H565" s="190">
        <v>1.1857841875534236</v>
      </c>
      <c r="I565" s="4"/>
      <c r="J565" s="4">
        <v>4.52</v>
      </c>
      <c r="K565" s="187">
        <v>0.16112921148154213</v>
      </c>
      <c r="L565" s="190">
        <v>2.1105845540304125</v>
      </c>
      <c r="M565" s="4"/>
      <c r="N565" s="4">
        <v>4.52</v>
      </c>
      <c r="O565" s="187">
        <v>0.09604436821741236</v>
      </c>
      <c r="P565" s="190">
        <v>1.5817603118389052</v>
      </c>
      <c r="Q565" s="4"/>
      <c r="R565" s="4">
        <v>4.52</v>
      </c>
      <c r="S565" s="187">
        <v>-0.2762632030485449</v>
      </c>
      <c r="T565" s="190">
        <v>0.19856526060883728</v>
      </c>
      <c r="U565" s="4"/>
      <c r="V565" s="4">
        <v>4.52</v>
      </c>
      <c r="W565" s="187">
        <v>0.12011633366452235</v>
      </c>
      <c r="X565" s="190">
        <v>1.7632571397227108</v>
      </c>
      <c r="Y565" s="4"/>
      <c r="Z565" s="4">
        <v>4.52</v>
      </c>
      <c r="AA565" s="187">
        <v>-2.0238220104394817</v>
      </c>
      <c r="AB565" s="190">
        <v>-1.124921738990895</v>
      </c>
      <c r="AC565" s="4"/>
      <c r="AD565" s="4">
        <v>4.52</v>
      </c>
      <c r="AE565" s="187">
        <v>0.13759206897332188</v>
      </c>
      <c r="AF565" s="190">
        <v>1.9051658051616625</v>
      </c>
      <c r="AG565" s="4"/>
      <c r="AH565" s="4"/>
    </row>
    <row r="566" ht="12.75" hidden="1" outlineLevel="1">
      <c r="A566" s="4"/>
      <c r="B566" s="4">
        <v>4.54</v>
      </c>
      <c r="C566" s="187">
        <v>0.11684401569060077</v>
      </c>
      <c r="D566" s="190">
        <v>1.7376512115471905</v>
      </c>
      <c r="E566" s="4"/>
      <c r="F566" s="4">
        <v>4.54</v>
      </c>
      <c r="G566" s="187">
        <v>0.033694581718866745</v>
      </c>
      <c r="H566" s="190">
        <v>1.1802151881649576</v>
      </c>
      <c r="I566" s="4"/>
      <c r="J566" s="4">
        <v>4.54</v>
      </c>
      <c r="K566" s="187">
        <v>0.1608847989705633</v>
      </c>
      <c r="L566" s="190">
        <v>2.1083641459075424</v>
      </c>
      <c r="M566" s="4"/>
      <c r="N566" s="4">
        <v>4.54</v>
      </c>
      <c r="O566" s="187">
        <v>0.09541164182945372</v>
      </c>
      <c r="P566" s="190">
        <v>1.577199973440851</v>
      </c>
      <c r="Q566" s="4"/>
      <c r="R566" s="4">
        <v>4.54</v>
      </c>
      <c r="S566" s="187">
        <v>-0.2851933338213505</v>
      </c>
      <c r="T566" s="190">
        <v>0.1866134620977527</v>
      </c>
      <c r="U566" s="4"/>
      <c r="V566" s="4">
        <v>4.54</v>
      </c>
      <c r="W566" s="187">
        <v>0.1196526612876605</v>
      </c>
      <c r="X566" s="190">
        <v>1.7596106566965948</v>
      </c>
      <c r="Y566" s="4"/>
      <c r="Z566" s="4">
        <v>4.54</v>
      </c>
      <c r="AA566" s="187">
        <v>-2.026882133398031</v>
      </c>
      <c r="AB566" s="190">
        <v>-1.1418340465914572</v>
      </c>
      <c r="AC566" s="4"/>
      <c r="AD566" s="4">
        <v>4.54</v>
      </c>
      <c r="AE566" s="187">
        <v>0.13732170468030258</v>
      </c>
      <c r="AF566" s="190">
        <v>1.902902937643328</v>
      </c>
      <c r="AG566" s="4"/>
      <c r="AH566" s="4"/>
    </row>
    <row r="567" ht="12.75" hidden="1" outlineLevel="1">
      <c r="A567" s="4"/>
      <c r="B567" s="4">
        <v>4.56</v>
      </c>
      <c r="C567" s="187">
        <v>0.1163999042848467</v>
      </c>
      <c r="D567" s="190">
        <v>1.7341990856632767</v>
      </c>
      <c r="E567" s="4"/>
      <c r="F567" s="4">
        <v>4.56</v>
      </c>
      <c r="G567" s="187">
        <v>0.03271829242845925</v>
      </c>
      <c r="H567" s="190">
        <v>1.1746523408939753</v>
      </c>
      <c r="I567" s="4"/>
      <c r="J567" s="4">
        <v>4.56</v>
      </c>
      <c r="K567" s="187">
        <v>0.16064018045177653</v>
      </c>
      <c r="L567" s="190">
        <v>2.10614373778467</v>
      </c>
      <c r="M567" s="4"/>
      <c r="N567" s="4">
        <v>4.56</v>
      </c>
      <c r="O567" s="187">
        <v>0.09477745016535222</v>
      </c>
      <c r="P567" s="190">
        <v>1.5726396350427976</v>
      </c>
      <c r="Q567" s="4"/>
      <c r="R567" s="4">
        <v>4.56</v>
      </c>
      <c r="S567" s="187">
        <v>-0.2945934004479487</v>
      </c>
      <c r="T567" s="190">
        <v>0.17466166358666896</v>
      </c>
      <c r="U567" s="4"/>
      <c r="V567" s="4">
        <v>4.56</v>
      </c>
      <c r="W567" s="187">
        <v>0.11918821956903591</v>
      </c>
      <c r="X567" s="190">
        <v>1.7559641736704792</v>
      </c>
      <c r="Y567" s="4"/>
      <c r="Z567" s="4">
        <v>4.56</v>
      </c>
      <c r="AA567" s="187">
        <v>-2.0299062084241015</v>
      </c>
      <c r="AB567" s="190">
        <v>-1.158746354192019</v>
      </c>
      <c r="AC567" s="4"/>
      <c r="AD567" s="4">
        <v>4.56</v>
      </c>
      <c r="AE567" s="187">
        <v>0.13705174275719</v>
      </c>
      <c r="AF567" s="190">
        <v>1.9006455837358034</v>
      </c>
      <c r="AG567" s="4"/>
      <c r="AH567" s="4"/>
    </row>
    <row r="568" ht="12.75" hidden="1" outlineLevel="1">
      <c r="A568" s="4"/>
      <c r="B568" s="4">
        <v>4.58</v>
      </c>
      <c r="C568" s="187">
        <v>0.11595551456868769</v>
      </c>
      <c r="D568" s="190">
        <v>1.7307502903492364</v>
      </c>
      <c r="E568" s="4"/>
      <c r="F568" s="4">
        <v>4.58</v>
      </c>
      <c r="G568" s="187">
        <v>0.03173938231000961</v>
      </c>
      <c r="H568" s="190">
        <v>1.1690956406634785</v>
      </c>
      <c r="I568" s="4"/>
      <c r="J568" s="4">
        <v>4.58</v>
      </c>
      <c r="K568" s="187">
        <v>0.16039535553408601</v>
      </c>
      <c r="L568" s="190">
        <v>2.1039233296618</v>
      </c>
      <c r="M568" s="4"/>
      <c r="N568" s="4">
        <v>4.58</v>
      </c>
      <c r="O568" s="187">
        <v>0.09414178556799735</v>
      </c>
      <c r="P568" s="190">
        <v>1.5680792966447425</v>
      </c>
      <c r="Q568" s="4"/>
      <c r="R568" s="4">
        <v>4.58</v>
      </c>
      <c r="S568" s="187">
        <v>-0.3045229921503484</v>
      </c>
      <c r="T568" s="190">
        <v>0.162709865075586</v>
      </c>
      <c r="U568" s="4"/>
      <c r="V568" s="4">
        <v>4.58</v>
      </c>
      <c r="W568" s="187">
        <v>0.1187230056305093</v>
      </c>
      <c r="X568" s="190">
        <v>1.7523176906443638</v>
      </c>
      <c r="Y568" s="4"/>
      <c r="Z568" s="4">
        <v>4.58</v>
      </c>
      <c r="AA568" s="187">
        <v>-2.032895177114989</v>
      </c>
      <c r="AB568" s="190">
        <v>-1.1756586617925806</v>
      </c>
      <c r="AC568" s="4"/>
      <c r="AD568" s="4">
        <v>4.58</v>
      </c>
      <c r="AE568" s="187">
        <v>0.1367821821242503</v>
      </c>
      <c r="AF568" s="190">
        <v>1.8983937233122528</v>
      </c>
      <c r="AG568" s="4"/>
      <c r="AH568" s="4"/>
    </row>
    <row r="569" ht="12.75" hidden="1" outlineLevel="1">
      <c r="A569" s="4"/>
      <c r="B569" s="4">
        <v>4.6</v>
      </c>
      <c r="C569" s="187">
        <v>0.11551084574334847</v>
      </c>
      <c r="D569" s="190">
        <v>1.7273048231798556</v>
      </c>
      <c r="E569" s="4"/>
      <c r="F569" s="4">
        <v>4.6</v>
      </c>
      <c r="G569" s="187">
        <v>0.030757831093654042</v>
      </c>
      <c r="H569" s="190">
        <v>1.163545082399248</v>
      </c>
      <c r="I569" s="4"/>
      <c r="J569" s="4">
        <v>4.6</v>
      </c>
      <c r="K569" s="187">
        <v>0.16015032382523797</v>
      </c>
      <c r="L569" s="190">
        <v>2.101702921538929</v>
      </c>
      <c r="M569" s="4"/>
      <c r="N569" s="4">
        <v>4.6</v>
      </c>
      <c r="O569" s="187">
        <v>0.0935046403178541</v>
      </c>
      <c r="P569" s="190">
        <v>1.5635189582466877</v>
      </c>
      <c r="Q569" s="4"/>
      <c r="R569" s="4">
        <v>4.6</v>
      </c>
      <c r="S569" s="187">
        <v>-0.3150543500808676</v>
      </c>
      <c r="T569" s="190">
        <v>0.15075806656450305</v>
      </c>
      <c r="U569" s="4"/>
      <c r="V569" s="4">
        <v>4.6</v>
      </c>
      <c r="W569" s="187">
        <v>0.11825701657715748</v>
      </c>
      <c r="X569" s="190">
        <v>1.7486712076182478</v>
      </c>
      <c r="Y569" s="4"/>
      <c r="Z569" s="4">
        <v>4.6</v>
      </c>
      <c r="AA569" s="187">
        <v>-2.035849943355302</v>
      </c>
      <c r="AB569" s="190">
        <v>-1.1925709693931423</v>
      </c>
      <c r="AC569" s="4"/>
      <c r="AD569" s="4">
        <v>4.6</v>
      </c>
      <c r="AE569" s="187">
        <v>0.13651302170595225</v>
      </c>
      <c r="AF569" s="190">
        <v>1.8961473363436756</v>
      </c>
      <c r="AG569" s="4"/>
      <c r="AH569" s="4"/>
    </row>
    <row r="570" ht="12.75" hidden="1" outlineLevel="1">
      <c r="A570" s="4"/>
      <c r="B570" s="4">
        <v>4.62</v>
      </c>
      <c r="C570" s="187">
        <v>0.1150658970067795</v>
      </c>
      <c r="D570" s="190">
        <v>1.7238626817310898</v>
      </c>
      <c r="E570" s="4"/>
      <c r="F570" s="4">
        <v>4.62</v>
      </c>
      <c r="G570" s="187">
        <v>0.029773618270417357</v>
      </c>
      <c r="H570" s="190">
        <v>1.1580006610298348</v>
      </c>
      <c r="I570" s="4"/>
      <c r="J570" s="4">
        <v>4.62</v>
      </c>
      <c r="K570" s="187">
        <v>0.15990508493181865</v>
      </c>
      <c r="L570" s="190">
        <v>2.099482513416058</v>
      </c>
      <c r="M570" s="4"/>
      <c r="N570" s="4">
        <v>4.62</v>
      </c>
      <c r="O570" s="187">
        <v>0.09286600663226952</v>
      </c>
      <c r="P570" s="190">
        <v>1.558958619848634</v>
      </c>
      <c r="Q570" s="4"/>
      <c r="R570" s="4">
        <v>4.62</v>
      </c>
      <c r="S570" s="187">
        <v>-0.326212664648068</v>
      </c>
      <c r="T570" s="190">
        <v>0.1388718490742777</v>
      </c>
      <c r="U570" s="4"/>
      <c r="V570" s="4">
        <v>4.62</v>
      </c>
      <c r="W570" s="187">
        <v>0.11779024949714079</v>
      </c>
      <c r="X570" s="190">
        <v>1.7450247245921322</v>
      </c>
      <c r="Y570" s="4"/>
      <c r="Z570" s="4">
        <v>4.62</v>
      </c>
      <c r="AA570" s="187">
        <v>-2.0387713753380066</v>
      </c>
      <c r="AB570" s="190">
        <v>-1.2094832769937038</v>
      </c>
      <c r="AC570" s="4"/>
      <c r="AD570" s="4">
        <v>4.62</v>
      </c>
      <c r="AE570" s="187">
        <v>0.13624426043094773</v>
      </c>
      <c r="AF570" s="190">
        <v>1.8939064028983266</v>
      </c>
      <c r="AG570" s="4"/>
      <c r="AH570" s="4"/>
    </row>
    <row r="571" ht="12.75" hidden="1" outlineLevel="1">
      <c r="A571" s="4"/>
      <c r="B571" s="4">
        <v>4.64</v>
      </c>
      <c r="C571" s="187">
        <v>0.11462066755363987</v>
      </c>
      <c r="D571" s="190">
        <v>1.7204238635800615</v>
      </c>
      <c r="E571" s="4"/>
      <c r="F571" s="4">
        <v>4.64</v>
      </c>
      <c r="G571" s="187">
        <v>0.028786723088382038</v>
      </c>
      <c r="H571" s="190">
        <v>1.1524623714865525</v>
      </c>
      <c r="I571" s="4"/>
      <c r="J571" s="4">
        <v>4.64</v>
      </c>
      <c r="K571" s="187">
        <v>0.15965963845924902</v>
      </c>
      <c r="L571" s="190">
        <v>2.0972621052931886</v>
      </c>
      <c r="M571" s="4"/>
      <c r="N571" s="4">
        <v>4.64</v>
      </c>
      <c r="O571" s="187">
        <v>0.09222587666477033</v>
      </c>
      <c r="P571" s="190">
        <v>1.5543982814505803</v>
      </c>
      <c r="Q571" s="4"/>
      <c r="R571" s="4">
        <v>4.64</v>
      </c>
      <c r="S571" s="187">
        <v>-0.33807200655134606</v>
      </c>
      <c r="T571" s="190">
        <v>0.127073133881167</v>
      </c>
      <c r="U571" s="4"/>
      <c r="V571" s="4">
        <v>4.64</v>
      </c>
      <c r="W571" s="187">
        <v>0.11732270146156742</v>
      </c>
      <c r="X571" s="190">
        <v>1.7413782415660168</v>
      </c>
      <c r="Y571" s="4"/>
      <c r="Z571" s="4">
        <v>4.64</v>
      </c>
      <c r="AA571" s="187">
        <v>-2.0416603074505555</v>
      </c>
      <c r="AB571" s="190">
        <v>-1.2263955845942656</v>
      </c>
      <c r="AC571" s="4"/>
      <c r="AD571" s="4">
        <v>4.64</v>
      </c>
      <c r="AE571" s="187">
        <v>0.13597589723204928</v>
      </c>
      <c r="AF571" s="190">
        <v>1.8916709031411123</v>
      </c>
      <c r="AG571" s="4"/>
      <c r="AH571" s="4"/>
    </row>
    <row r="572" ht="12.75" hidden="1" outlineLevel="1">
      <c r="A572" s="4"/>
      <c r="B572" s="4">
        <v>4.66</v>
      </c>
      <c r="C572" s="187">
        <v>0.1141751565752771</v>
      </c>
      <c r="D572" s="190">
        <v>1.716988366305055</v>
      </c>
      <c r="E572" s="4"/>
      <c r="F572" s="4">
        <v>4.66</v>
      </c>
      <c r="G572" s="187">
        <v>0.02779712454878247</v>
      </c>
      <c r="H572" s="190">
        <v>1.1469302087034872</v>
      </c>
      <c r="I572" s="4"/>
      <c r="J572" s="4">
        <v>4.66</v>
      </c>
      <c r="K572" s="187">
        <v>0.15941398401177898</v>
      </c>
      <c r="L572" s="190">
        <v>2.0950416971703154</v>
      </c>
      <c r="M572" s="4"/>
      <c r="N572" s="4">
        <v>4.66</v>
      </c>
      <c r="O572" s="187">
        <v>0.09158424250435027</v>
      </c>
      <c r="P572" s="190">
        <v>1.5498379430525233</v>
      </c>
      <c r="Q572" s="4"/>
      <c r="R572" s="4">
        <v>4.66</v>
      </c>
      <c r="S572" s="187">
        <v>-0.3508477179546384</v>
      </c>
      <c r="T572" s="190">
        <v>0.11527441868805388</v>
      </c>
      <c r="U572" s="4"/>
      <c r="V572" s="4">
        <v>4.66</v>
      </c>
      <c r="W572" s="187">
        <v>0.11685436952435846</v>
      </c>
      <c r="X572" s="190">
        <v>1.7377317585399013</v>
      </c>
      <c r="Y572" s="4"/>
      <c r="Z572" s="4">
        <v>4.66</v>
      </c>
      <c r="AA572" s="187">
        <v>-2.0445175420368464</v>
      </c>
      <c r="AB572" s="190">
        <v>-1.2433078921948277</v>
      </c>
      <c r="AC572" s="4"/>
      <c r="AD572" s="4">
        <v>4.66</v>
      </c>
      <c r="AE572" s="187">
        <v>0.13570793104620948</v>
      </c>
      <c r="AF572" s="190">
        <v>1.8894408173330195</v>
      </c>
      <c r="AG572" s="4"/>
      <c r="AH572" s="4"/>
    </row>
    <row r="573" ht="12.75" hidden="1" outlineLevel="1">
      <c r="A573" s="4"/>
      <c r="B573" s="4">
        <v>4.68</v>
      </c>
      <c r="C573" s="187">
        <v>0.11372936325971073</v>
      </c>
      <c r="D573" s="190">
        <v>1.713556187485518</v>
      </c>
      <c r="E573" s="4"/>
      <c r="F573" s="4">
        <v>4.68</v>
      </c>
      <c r="G573" s="187">
        <v>0.026804801402017242</v>
      </c>
      <c r="H573" s="190">
        <v>1.1414041676174902</v>
      </c>
      <c r="I573" s="4"/>
      <c r="J573" s="4">
        <v>4.68</v>
      </c>
      <c r="K573" s="187">
        <v>0.1591681211924849</v>
      </c>
      <c r="L573" s="190">
        <v>2.092821289047447</v>
      </c>
      <c r="M573" s="4"/>
      <c r="N573" s="4">
        <v>4.68</v>
      </c>
      <c r="O573" s="187">
        <v>0.09094109617474944</v>
      </c>
      <c r="P573" s="190">
        <v>1.5452776046544696</v>
      </c>
      <c r="Q573" s="4"/>
      <c r="R573" s="4">
        <v>4.68</v>
      </c>
      <c r="S573" s="187">
        <v>-0.3647163510301097</v>
      </c>
      <c r="T573" s="190">
        <v>0.10347570349494238</v>
      </c>
      <c r="U573" s="4"/>
      <c r="V573" s="4">
        <v>4.68</v>
      </c>
      <c r="W573" s="187">
        <v>0.11638525072211081</v>
      </c>
      <c r="X573" s="190">
        <v>1.7340852755137852</v>
      </c>
      <c r="Y573" s="4"/>
      <c r="Z573" s="4">
        <v>4.68</v>
      </c>
      <c r="AA573" s="187">
        <v>-2.047343851044741</v>
      </c>
      <c r="AB573" s="190">
        <v>-1.2602201997953886</v>
      </c>
      <c r="AC573" s="4"/>
      <c r="AD573" s="4">
        <v>4.68</v>
      </c>
      <c r="AE573" s="187">
        <v>0.13544036081450006</v>
      </c>
      <c r="AF573" s="190">
        <v>1.887216125830522</v>
      </c>
      <c r="AG573" s="4"/>
      <c r="AH573" s="4"/>
    </row>
    <row r="574" ht="12.75" hidden="1" outlineLevel="1">
      <c r="A574" s="4"/>
      <c r="B574" s="4">
        <v>4.7</v>
      </c>
      <c r="C574" s="187">
        <v>0.11328328679161337</v>
      </c>
      <c r="D574" s="190">
        <v>1.7101273247020647</v>
      </c>
      <c r="E574" s="4"/>
      <c r="F574" s="4">
        <v>4.7</v>
      </c>
      <c r="G574" s="187">
        <v>0.025809732143581288</v>
      </c>
      <c r="H574" s="190">
        <v>1.135884243168175</v>
      </c>
      <c r="I574" s="4"/>
      <c r="J574" s="4">
        <v>4.7</v>
      </c>
      <c r="K574" s="187">
        <v>0.15892204960326173</v>
      </c>
      <c r="L574" s="190">
        <v>2.0906008809245757</v>
      </c>
      <c r="M574" s="4"/>
      <c r="N574" s="4">
        <v>4.7</v>
      </c>
      <c r="O574" s="187">
        <v>0.09029642963371942</v>
      </c>
      <c r="P574" s="190">
        <v>1.5407172662564155</v>
      </c>
      <c r="Q574" s="4"/>
      <c r="R574" s="4">
        <v>4.7</v>
      </c>
      <c r="S574" s="187">
        <v>-0.3799137981299562</v>
      </c>
      <c r="T574" s="190">
        <v>0.09167698830182967</v>
      </c>
      <c r="U574" s="4"/>
      <c r="V574" s="4">
        <v>4.7</v>
      </c>
      <c r="W574" s="187">
        <v>0.11591534207395826</v>
      </c>
      <c r="X574" s="190">
        <v>1.7304387924876703</v>
      </c>
      <c r="Y574" s="4"/>
      <c r="Z574" s="4">
        <v>4.7</v>
      </c>
      <c r="AA574" s="187">
        <v>-2.0501399775680156</v>
      </c>
      <c r="AB574" s="190">
        <v>-1.277132507395951</v>
      </c>
      <c r="AC574" s="4"/>
      <c r="AD574" s="4">
        <v>4.7</v>
      </c>
      <c r="AE574" s="187">
        <v>0.1351731854820899</v>
      </c>
      <c r="AF574" s="190">
        <v>1.8849968090850115</v>
      </c>
      <c r="AG574" s="4"/>
      <c r="AH574" s="4"/>
    </row>
    <row r="575" ht="12.75" hidden="1" outlineLevel="1">
      <c r="A575" s="4"/>
      <c r="B575" s="4">
        <v>4.72</v>
      </c>
      <c r="C575" s="187">
        <v>0.11283692635229148</v>
      </c>
      <c r="D575" s="190">
        <v>1.7067017755364657</v>
      </c>
      <c r="E575" s="4"/>
      <c r="F575" s="4">
        <v>4.72</v>
      </c>
      <c r="G575" s="187">
        <v>0.02481189500991432</v>
      </c>
      <c r="H575" s="190">
        <v>1.1303704302979238</v>
      </c>
      <c r="I575" s="4"/>
      <c r="J575" s="4">
        <v>4.72</v>
      </c>
      <c r="K575" s="187">
        <v>0.1586757688448217</v>
      </c>
      <c r="L575" s="190">
        <v>2.0883804728017044</v>
      </c>
      <c r="M575" s="4"/>
      <c r="N575" s="4">
        <v>4.72</v>
      </c>
      <c r="O575" s="187">
        <v>0.08965023477228096</v>
      </c>
      <c r="P575" s="190">
        <v>1.5361569278583607</v>
      </c>
      <c r="Q575" s="4"/>
      <c r="R575" s="4">
        <v>4.72</v>
      </c>
      <c r="S575" s="187">
        <v>-0.39676610859312844</v>
      </c>
      <c r="T575" s="190">
        <v>0.07987827310871819</v>
      </c>
      <c r="U575" s="4"/>
      <c r="V575" s="4">
        <v>4.72</v>
      </c>
      <c r="W575" s="187">
        <v>0.11544464058143156</v>
      </c>
      <c r="X575" s="190">
        <v>1.7267923094615545</v>
      </c>
      <c r="Y575" s="4"/>
      <c r="Z575" s="4">
        <v>4.72</v>
      </c>
      <c r="AA575" s="187">
        <v>-2.0529066372908025</v>
      </c>
      <c r="AB575" s="190">
        <v>-1.2940448149965118</v>
      </c>
      <c r="AC575" s="4"/>
      <c r="AD575" s="4">
        <v>4.72</v>
      </c>
      <c r="AE575" s="187">
        <v>0.13490640399822595</v>
      </c>
      <c r="AF575" s="190">
        <v>1.8827828476422246</v>
      </c>
      <c r="AG575" s="4"/>
      <c r="AH575" s="4"/>
    </row>
    <row r="576" ht="12.75" hidden="1" outlineLevel="1">
      <c r="A576" s="4"/>
      <c r="B576" s="4">
        <v>4.74</v>
      </c>
      <c r="C576" s="187">
        <v>0.11239028111966909</v>
      </c>
      <c r="D576" s="190">
        <v>1.7032795375716623</v>
      </c>
      <c r="E576" s="4"/>
      <c r="F576" s="4">
        <v>4.74</v>
      </c>
      <c r="G576" s="187">
        <v>0.023811267974162886</v>
      </c>
      <c r="H576" s="190">
        <v>1.1248627239518807</v>
      </c>
      <c r="I576" s="4"/>
      <c r="J576" s="4">
        <v>4.74</v>
      </c>
      <c r="K576" s="187">
        <v>0.15842927851668653</v>
      </c>
      <c r="L576" s="190">
        <v>2.086160064678833</v>
      </c>
      <c r="M576" s="4"/>
      <c r="N576" s="4">
        <v>4.74</v>
      </c>
      <c r="O576" s="187">
        <v>0.08900250341397098</v>
      </c>
      <c r="P576" s="190">
        <v>1.5315965894603063</v>
      </c>
      <c r="Q576" s="4"/>
      <c r="R576" s="4">
        <v>4.74</v>
      </c>
      <c r="S576" s="187">
        <v>-0.41574377893408687</v>
      </c>
      <c r="T576" s="190">
        <v>0.06807955791560588</v>
      </c>
      <c r="U576" s="4"/>
      <c r="V576" s="4">
        <v>4.74</v>
      </c>
      <c r="W576" s="187">
        <v>0.11497314322831698</v>
      </c>
      <c r="X576" s="190">
        <v>1.7231458264354387</v>
      </c>
      <c r="Y576" s="4"/>
      <c r="Z576" s="4">
        <v>4.74</v>
      </c>
      <c r="AA576" s="187">
        <v>-2.0556445198418842</v>
      </c>
      <c r="AB576" s="190">
        <v>-1.310957122597074</v>
      </c>
      <c r="AC576" s="4"/>
      <c r="AD576" s="4">
        <v>4.74</v>
      </c>
      <c r="AE576" s="187">
        <v>0.13464001531621084</v>
      </c>
      <c r="AF576" s="190">
        <v>1.8805742221416688</v>
      </c>
      <c r="AG576" s="4"/>
      <c r="AH576" s="4"/>
    </row>
    <row r="577" ht="12.75" hidden="1" outlineLevel="1">
      <c r="A577" s="4"/>
      <c r="B577" s="4">
        <v>4.76</v>
      </c>
      <c r="C577" s="187">
        <v>0.11194335026826696</v>
      </c>
      <c r="D577" s="190">
        <v>1.6998606083917567</v>
      </c>
      <c r="E577" s="4"/>
      <c r="F577" s="4">
        <v>4.76</v>
      </c>
      <c r="G577" s="187">
        <v>0.022807828741856717</v>
      </c>
      <c r="H577" s="190">
        <v>1.1193611190779593</v>
      </c>
      <c r="I577" s="4"/>
      <c r="J577" s="4">
        <v>4.76</v>
      </c>
      <c r="K577" s="187">
        <v>0.15818257821718507</v>
      </c>
      <c r="L577" s="190">
        <v>2.083939656555962</v>
      </c>
      <c r="M577" s="4"/>
      <c r="N577" s="4">
        <v>4.76</v>
      </c>
      <c r="O577" s="187">
        <v>0.08835322731407746</v>
      </c>
      <c r="P577" s="190">
        <v>1.5270362510622522</v>
      </c>
      <c r="Q577" s="4"/>
      <c r="R577" s="4">
        <v>4.76</v>
      </c>
      <c r="S577" s="187">
        <v>-0.4375652854266865</v>
      </c>
      <c r="T577" s="190">
        <v>0.056280842722493576</v>
      </c>
      <c r="U577" s="4"/>
      <c r="V577" s="4">
        <v>4.76</v>
      </c>
      <c r="W577" s="187">
        <v>0.11450084698051421</v>
      </c>
      <c r="X577" s="190">
        <v>1.719499343409323</v>
      </c>
      <c r="Y577" s="4"/>
      <c r="Z577" s="4">
        <v>4.76</v>
      </c>
      <c r="AA577" s="187">
        <v>-2.058354290065542</v>
      </c>
      <c r="AB577" s="190">
        <v>-1.327869430197635</v>
      </c>
      <c r="AC577" s="4"/>
      <c r="AD577" s="4">
        <v>4.76</v>
      </c>
      <c r="AE577" s="187">
        <v>0.13437401839338414</v>
      </c>
      <c r="AF577" s="190">
        <v>1.878370913316067</v>
      </c>
      <c r="AG577" s="4"/>
      <c r="AH577" s="4"/>
    </row>
    <row r="578" ht="12.75" hidden="1" outlineLevel="1">
      <c r="A578" s="4"/>
      <c r="B578" s="4">
        <v>4.78</v>
      </c>
      <c r="C578" s="187">
        <v>0.11149613296918393</v>
      </c>
      <c r="D578" s="190">
        <v>1.6964449855820067</v>
      </c>
      <c r="E578" s="4"/>
      <c r="F578" s="4">
        <v>4.78</v>
      </c>
      <c r="G578" s="187">
        <v>0.021801554746489815</v>
      </c>
      <c r="H578" s="190">
        <v>1.1138656106268299</v>
      </c>
      <c r="I578" s="4"/>
      <c r="J578" s="4">
        <v>4.78</v>
      </c>
      <c r="K578" s="187">
        <v>0.15793566754344646</v>
      </c>
      <c r="L578" s="190">
        <v>2.0817192484330915</v>
      </c>
      <c r="M578" s="4"/>
      <c r="N578" s="4">
        <v>4.78</v>
      </c>
      <c r="O578" s="187">
        <v>0.0877023981588636</v>
      </c>
      <c r="P578" s="190">
        <v>1.5224759126641976</v>
      </c>
      <c r="Q578" s="4"/>
      <c r="R578" s="4">
        <v>4.78</v>
      </c>
      <c r="S578" s="187">
        <v>-0.46341675175565633</v>
      </c>
      <c r="T578" s="190">
        <v>0.04448212752938168</v>
      </c>
      <c r="U578" s="4"/>
      <c r="V578" s="4">
        <v>4.78</v>
      </c>
      <c r="W578" s="187">
        <v>0.11402774878589095</v>
      </c>
      <c r="X578" s="190">
        <v>1.7158528603832075</v>
      </c>
      <c r="Y578" s="4"/>
      <c r="Z578" s="4">
        <v>4.78</v>
      </c>
      <c r="AA578" s="187">
        <v>-2.061036589215104</v>
      </c>
      <c r="AB578" s="190">
        <v>-1.3447817377981974</v>
      </c>
      <c r="AC578" s="4"/>
      <c r="AD578" s="4">
        <v>4.78</v>
      </c>
      <c r="AE578" s="187">
        <v>0.13410841219110026</v>
      </c>
      <c r="AF578" s="190">
        <v>1.876172901990788</v>
      </c>
      <c r="AG578" s="4"/>
      <c r="AH578" s="4"/>
    </row>
    <row r="579" ht="12.75" hidden="1" outlineLevel="1">
      <c r="A579" s="4"/>
      <c r="B579" s="4">
        <v>4.8</v>
      </c>
      <c r="C579" s="187">
        <v>0.11104862839007934</v>
      </c>
      <c r="D579" s="190">
        <v>1.693032666728838</v>
      </c>
      <c r="E579" s="4"/>
      <c r="F579" s="4">
        <v>4.8</v>
      </c>
      <c r="G579" s="187">
        <v>0.02079242314501606</v>
      </c>
      <c r="H579" s="190">
        <v>1.1083761935519236</v>
      </c>
      <c r="I579" s="4"/>
      <c r="J579" s="4">
        <v>4.8</v>
      </c>
      <c r="K579" s="187">
        <v>0.15768854609139638</v>
      </c>
      <c r="L579" s="190">
        <v>2.079498840310221</v>
      </c>
      <c r="M579" s="4"/>
      <c r="N579" s="4">
        <v>4.8</v>
      </c>
      <c r="O579" s="187">
        <v>0.0870500075647822</v>
      </c>
      <c r="P579" s="190">
        <v>1.5179155742661419</v>
      </c>
      <c r="Q579" s="4"/>
      <c r="R579" s="4">
        <v>4.8</v>
      </c>
      <c r="S579" s="187">
        <v>-0.49549499552128984</v>
      </c>
      <c r="T579" s="190">
        <v>0.03268341233626897</v>
      </c>
      <c r="U579" s="4"/>
      <c r="V579" s="4">
        <v>4.8</v>
      </c>
      <c r="W579" s="187">
        <v>0.11355384557413806</v>
      </c>
      <c r="X579" s="190">
        <v>1.712206377357092</v>
      </c>
      <c r="Y579" s="4"/>
      <c r="Z579" s="4">
        <v>4.8</v>
      </c>
      <c r="AA579" s="187">
        <v>-2.06369203607479</v>
      </c>
      <c r="AB579" s="190">
        <v>-1.3616940453987585</v>
      </c>
      <c r="AC579" s="4"/>
      <c r="AD579" s="4">
        <v>4.8</v>
      </c>
      <c r="AE579" s="187">
        <v>0.13384319567470881</v>
      </c>
      <c r="AF579" s="190">
        <v>1.873980169083295</v>
      </c>
      <c r="AG579" s="4"/>
      <c r="AH579" s="4"/>
    </row>
    <row r="580" ht="12.75" hidden="1" outlineLevel="1">
      <c r="A580" s="4"/>
      <c r="B580" s="4">
        <v>4.82</v>
      </c>
      <c r="C580" s="187">
        <v>0.11060083569515378</v>
      </c>
      <c r="D580" s="190">
        <v>1.6896236494198411</v>
      </c>
      <c r="E580" s="4"/>
      <c r="F580" s="4">
        <v>4.82</v>
      </c>
      <c r="G580" s="187">
        <v>0.01978041081324511</v>
      </c>
      <c r="H580" s="190">
        <v>1.1028928628094372</v>
      </c>
      <c r="I580" s="4"/>
      <c r="J580" s="4">
        <v>4.82</v>
      </c>
      <c r="K580" s="187">
        <v>0.15744121345575213</v>
      </c>
      <c r="L580" s="190">
        <v>2.0772784321873496</v>
      </c>
      <c r="M580" s="4"/>
      <c r="N580" s="4">
        <v>4.82</v>
      </c>
      <c r="O580" s="187">
        <v>0.08639604707767745</v>
      </c>
      <c r="P580" s="190">
        <v>1.5133552358680877</v>
      </c>
      <c r="Q580" s="4"/>
      <c r="R580" s="4">
        <v>4.82</v>
      </c>
      <c r="S580" s="187">
        <v>-0.5387189258476985</v>
      </c>
      <c r="T580" s="190">
        <v>0.020884697143157882</v>
      </c>
      <c r="U580" s="4"/>
      <c r="V580" s="4">
        <v>4.82</v>
      </c>
      <c r="W580" s="187">
        <v>0.11307913425662197</v>
      </c>
      <c r="X580" s="190">
        <v>1.7085598943309768</v>
      </c>
      <c r="Y580" s="4"/>
      <c r="Z580" s="4">
        <v>4.82</v>
      </c>
      <c r="AA580" s="187">
        <v>-2.0663212280150085</v>
      </c>
      <c r="AB580" s="190">
        <v>-1.3786063529993207</v>
      </c>
      <c r="AC580" s="4"/>
      <c r="AD580" s="4">
        <v>4.82</v>
      </c>
      <c r="AE580" s="187">
        <v>0.13357836781353516</v>
      </c>
      <c r="AF580" s="190">
        <v>1.8717926956025954</v>
      </c>
      <c r="AG580" s="4"/>
      <c r="AH580" s="4"/>
    </row>
    <row r="581" ht="12.75" hidden="1" outlineLevel="1">
      <c r="A581" s="4"/>
      <c r="B581" s="4">
        <v>4.84</v>
      </c>
      <c r="C581" s="187">
        <v>0.11015275404512748</v>
      </c>
      <c r="D581" s="190">
        <v>1.6862179312437569</v>
      </c>
      <c r="E581" s="4"/>
      <c r="F581" s="4">
        <v>4.84</v>
      </c>
      <c r="G581" s="187">
        <v>0.01876549434114394</v>
      </c>
      <c r="H581" s="190">
        <v>1.097415613358324</v>
      </c>
      <c r="I581" s="4"/>
      <c r="J581" s="4">
        <v>4.84</v>
      </c>
      <c r="K581" s="187">
        <v>0.15719366923001754</v>
      </c>
      <c r="L581" s="190">
        <v>2.0750580240644783</v>
      </c>
      <c r="M581" s="4"/>
      <c r="N581" s="4">
        <v>4.84</v>
      </c>
      <c r="O581" s="187">
        <v>0.08574050817197465</v>
      </c>
      <c r="P581" s="190">
        <v>1.5087948974700331</v>
      </c>
      <c r="Q581" s="4"/>
      <c r="R581" s="4">
        <v>4.84</v>
      </c>
      <c r="S581" s="187">
        <v>-0.6094520397268387</v>
      </c>
      <c r="T581" s="190">
        <v>0.009085981950045176</v>
      </c>
      <c r="U581" s="4"/>
      <c r="V581" s="4">
        <v>4.84</v>
      </c>
      <c r="W581" s="187">
        <v>0.1126036117262359</v>
      </c>
      <c r="X581" s="190">
        <v>1.7049134113048605</v>
      </c>
      <c r="Y581" s="4"/>
      <c r="Z581" s="4">
        <v>4.84</v>
      </c>
      <c r="AA581" s="187">
        <v>-2.0689247419858043</v>
      </c>
      <c r="AB581" s="190">
        <v>-1.3955186605998815</v>
      </c>
      <c r="AC581" s="4"/>
      <c r="AD581" s="4">
        <v>4.84</v>
      </c>
      <c r="AE581" s="187">
        <v>0.13331392758085947</v>
      </c>
      <c r="AF581" s="190">
        <v>1.8696104626486871</v>
      </c>
      <c r="AG581" s="4"/>
      <c r="AH581" s="4"/>
    </row>
    <row r="582" ht="12.75" hidden="1" outlineLevel="1">
      <c r="A582" s="4"/>
      <c r="B582" s="4">
        <v>4.86</v>
      </c>
      <c r="C582" s="187">
        <v>0.10970438259722481</v>
      </c>
      <c r="D582" s="190">
        <v>1.6828155097905</v>
      </c>
      <c r="E582" s="4"/>
      <c r="F582" s="4">
        <v>4.86</v>
      </c>
      <c r="G582" s="187">
        <v>0.017747650028037132</v>
      </c>
      <c r="H582" s="190">
        <v>1.091944440160297</v>
      </c>
      <c r="I582" s="4"/>
      <c r="J582" s="4">
        <v>4.86</v>
      </c>
      <c r="K582" s="187">
        <v>0.15694591300647742</v>
      </c>
      <c r="L582" s="190">
        <v>2.0728376159416078</v>
      </c>
      <c r="M582" s="4"/>
      <c r="N582" s="4">
        <v>4.86</v>
      </c>
      <c r="O582" s="187">
        <v>0.08508338224986</v>
      </c>
      <c r="P582" s="190">
        <v>1.504234559071979</v>
      </c>
      <c r="Q582" s="4"/>
      <c r="R582" s="4">
        <v>4.86</v>
      </c>
      <c r="S582" s="187">
        <v>-1.3066771494761384</v>
      </c>
      <c r="T582" s="190">
        <v>-0.0027127332430663194</v>
      </c>
      <c r="U582" s="4"/>
      <c r="V582" s="4">
        <v>4.86</v>
      </c>
      <c r="W582" s="187">
        <v>0.11212727485724994</v>
      </c>
      <c r="X582" s="190">
        <v>1.701266928278745</v>
      </c>
      <c r="Y582" s="4"/>
      <c r="Z582" s="4">
        <v>4.86</v>
      </c>
      <c r="AA582" s="187">
        <v>-2.0715031354527946</v>
      </c>
      <c r="AB582" s="190">
        <v>-1.412430968200444</v>
      </c>
      <c r="AC582" s="4"/>
      <c r="AD582" s="4">
        <v>4.86</v>
      </c>
      <c r="AE582" s="187">
        <v>0.13304987395389767</v>
      </c>
      <c r="AF582" s="190">
        <v>1.8674334514120199</v>
      </c>
      <c r="AG582" s="4"/>
      <c r="AH582" s="4"/>
    </row>
    <row r="583" ht="12.75" hidden="1" outlineLevel="1">
      <c r="A583" s="4"/>
      <c r="B583" s="4">
        <v>4.88</v>
      </c>
      <c r="C583" s="187">
        <v>0.10925572050515164</v>
      </c>
      <c r="D583" s="190">
        <v>1.6794163826511386</v>
      </c>
      <c r="E583" s="4"/>
      <c r="F583" s="4">
        <v>4.88</v>
      </c>
      <c r="G583" s="187">
        <v>0.016726853877707226</v>
      </c>
      <c r="H583" s="190">
        <v>1.086479338179833</v>
      </c>
      <c r="I583" s="4"/>
      <c r="J583" s="4">
        <v>4.88</v>
      </c>
      <c r="K583" s="187">
        <v>0.156697944376194</v>
      </c>
      <c r="L583" s="190">
        <v>2.0706172078187377</v>
      </c>
      <c r="M583" s="4"/>
      <c r="N583" s="4">
        <v>4.88</v>
      </c>
      <c r="O583" s="187">
        <v>0.08442466064044618</v>
      </c>
      <c r="P583" s="190">
        <v>1.4996742206739242</v>
      </c>
      <c r="Q583" s="4"/>
      <c r="R583" s="4">
        <v>4.88</v>
      </c>
      <c r="S583" s="187">
        <v>-1.4288862791539065</v>
      </c>
      <c r="T583" s="190">
        <v>-0.014511448436177814</v>
      </c>
      <c r="U583" s="4"/>
      <c r="V583" s="4">
        <v>4.88</v>
      </c>
      <c r="W583" s="187">
        <v>0.11165012050515877</v>
      </c>
      <c r="X583" s="190">
        <v>1.69762044525263</v>
      </c>
      <c r="Y583" s="4"/>
      <c r="Z583" s="4">
        <v>4.88</v>
      </c>
      <c r="AA583" s="187">
        <v>-2.0740569472795585</v>
      </c>
      <c r="AB583" s="190">
        <v>-1.4293432758010054</v>
      </c>
      <c r="AC583" s="4"/>
      <c r="AD583" s="4">
        <v>4.88</v>
      </c>
      <c r="AE583" s="187">
        <v>0.1327862059137801</v>
      </c>
      <c r="AF583" s="190">
        <v>1.8652616431729498</v>
      </c>
      <c r="AG583" s="4"/>
      <c r="AH583" s="4"/>
    </row>
    <row r="584" ht="12.75" hidden="1" outlineLevel="1">
      <c r="A584" s="4"/>
      <c r="B584" s="4">
        <v>4.9</v>
      </c>
      <c r="C584" s="187">
        <v>0.10880676691907754</v>
      </c>
      <c r="D584" s="190">
        <v>1.6760205474179013</v>
      </c>
      <c r="E584" s="4"/>
      <c r="F584" s="4">
        <v>4.9</v>
      </c>
      <c r="G584" s="187">
        <v>0.015703081593386514</v>
      </c>
      <c r="H584" s="190">
        <v>1.0810203023841551</v>
      </c>
      <c r="I584" s="4"/>
      <c r="J584" s="4">
        <v>4.9</v>
      </c>
      <c r="K584" s="187">
        <v>0.15644976292900048</v>
      </c>
      <c r="L584" s="190">
        <v>2.0683967996958663</v>
      </c>
      <c r="M584" s="4"/>
      <c r="N584" s="4">
        <v>4.9</v>
      </c>
      <c r="O584" s="187">
        <v>0.08376433459892829</v>
      </c>
      <c r="P584" s="190">
        <v>1.49511388227587</v>
      </c>
      <c r="Q584" s="4"/>
      <c r="R584" s="4">
        <v>4.9</v>
      </c>
      <c r="S584" s="187">
        <v>-1.483086287153861</v>
      </c>
      <c r="T584" s="190">
        <v>-0.026310163629290118</v>
      </c>
      <c r="U584" s="4"/>
      <c r="V584" s="4">
        <v>4.9</v>
      </c>
      <c r="W584" s="187">
        <v>0.11117921595409896</v>
      </c>
      <c r="X584" s="190">
        <v>1.6940278571453062</v>
      </c>
      <c r="Y584" s="4"/>
      <c r="Z584" s="4">
        <v>4.9</v>
      </c>
      <c r="AA584" s="187">
        <v>-2.07658669856015</v>
      </c>
      <c r="AB584" s="190">
        <v>-1.4462555834015671</v>
      </c>
      <c r="AC584" s="4"/>
      <c r="AD584" s="4">
        <v>4.9</v>
      </c>
      <c r="AE584" s="187">
        <v>0.1325229224455342</v>
      </c>
      <c r="AF584" s="190">
        <v>1.8630950193012052</v>
      </c>
      <c r="AG584" s="4"/>
      <c r="AH584" s="4"/>
    </row>
    <row r="585" ht="12.75" hidden="1" outlineLevel="1">
      <c r="A585" s="4"/>
      <c r="B585" s="4">
        <v>4.92</v>
      </c>
      <c r="C585" s="187">
        <v>0.10835752098561469</v>
      </c>
      <c r="D585" s="190">
        <v>1.6726280016841788</v>
      </c>
      <c r="E585" s="4"/>
      <c r="F585" s="4">
        <v>4.92</v>
      </c>
      <c r="G585" s="187">
        <v>0.014676308572647567</v>
      </c>
      <c r="H585" s="190">
        <v>1.0755673277432602</v>
      </c>
      <c r="I585" s="4"/>
      <c r="J585" s="4">
        <v>4.92</v>
      </c>
      <c r="K585" s="187">
        <v>0.15620136825349684</v>
      </c>
      <c r="L585" s="190">
        <v>2.066176391572995</v>
      </c>
      <c r="M585" s="4"/>
      <c r="N585" s="4">
        <v>4.92</v>
      </c>
      <c r="O585" s="187">
        <v>0.08310239530572483</v>
      </c>
      <c r="P585" s="190">
        <v>1.490553543877816</v>
      </c>
      <c r="Q585" s="4"/>
      <c r="R585" s="4">
        <v>4.92</v>
      </c>
      <c r="S585" s="187">
        <v>-1.5202417889071245</v>
      </c>
      <c r="T585" s="190">
        <v>-0.038108878822402825</v>
      </c>
      <c r="U585" s="4"/>
      <c r="V585" s="4">
        <v>4.92</v>
      </c>
      <c r="W585" s="187">
        <v>0.11071640621759338</v>
      </c>
      <c r="X585" s="190">
        <v>1.6905029542342693</v>
      </c>
      <c r="Y585" s="4"/>
      <c r="Z585" s="4">
        <v>4.92</v>
      </c>
      <c r="AA585" s="187">
        <v>-2.0790928934050914</v>
      </c>
      <c r="AB585" s="190">
        <v>-1.4631678910021286</v>
      </c>
      <c r="AC585" s="4"/>
      <c r="AD585" s="4">
        <v>4.92</v>
      </c>
      <c r="AE585" s="187">
        <v>0.13226002253806302</v>
      </c>
      <c r="AF585" s="190">
        <v>1.8609335612553557</v>
      </c>
      <c r="AG585" s="4"/>
      <c r="AH585" s="4"/>
    </row>
    <row r="586" ht="12.75" hidden="1" outlineLevel="1">
      <c r="A586" s="4"/>
      <c r="B586" s="4">
        <v>4.94</v>
      </c>
      <c r="C586" s="187">
        <v>0.10790798184779948</v>
      </c>
      <c r="D586" s="190">
        <v>1.6692387430445208</v>
      </c>
      <c r="E586" s="4"/>
      <c r="F586" s="4">
        <v>4.94</v>
      </c>
      <c r="G586" s="187">
        <v>0.01364650990217564</v>
      </c>
      <c r="H586" s="190">
        <v>1.0701204092298848</v>
      </c>
      <c r="I586" s="4"/>
      <c r="J586" s="4">
        <v>4.94</v>
      </c>
      <c r="K586" s="187">
        <v>0.15595275993704472</v>
      </c>
      <c r="L586" s="190">
        <v>2.0639559834501235</v>
      </c>
      <c r="M586" s="4"/>
      <c r="N586" s="4">
        <v>4.94</v>
      </c>
      <c r="O586" s="187">
        <v>0.08243883386560791</v>
      </c>
      <c r="P586" s="190">
        <v>1.4859932054797598</v>
      </c>
      <c r="Q586" s="4"/>
      <c r="R586" s="4">
        <v>4.94</v>
      </c>
      <c r="S586" s="187">
        <v>-1.5490770942619922</v>
      </c>
      <c r="T586" s="190">
        <v>-0.049907594015513916</v>
      </c>
      <c r="U586" s="4"/>
      <c r="V586" s="4">
        <v>4.94</v>
      </c>
      <c r="W586" s="187">
        <v>0.1102528238246756</v>
      </c>
      <c r="X586" s="190">
        <v>1.6869780513232315</v>
      </c>
      <c r="Y586" s="4"/>
      <c r="Z586" s="4">
        <v>4.94</v>
      </c>
      <c r="AA586" s="187">
        <v>-2.081576019683957</v>
      </c>
      <c r="AB586" s="190">
        <v>-1.4800801986026904</v>
      </c>
      <c r="AC586" s="4"/>
      <c r="AD586" s="4">
        <v>4.94</v>
      </c>
      <c r="AE586" s="187">
        <v>0.13199750518412645</v>
      </c>
      <c r="AF586" s="190">
        <v>1.8587772505822786</v>
      </c>
      <c r="AG586" s="4"/>
      <c r="AH586" s="4"/>
    </row>
    <row r="587" ht="12.75" hidden="1" outlineLevel="1">
      <c r="A587" s="4"/>
      <c r="B587" s="4">
        <v>4.96</v>
      </c>
      <c r="C587" s="187">
        <v>0.10745814864507186</v>
      </c>
      <c r="D587" s="190">
        <v>1.6658527690946392</v>
      </c>
      <c r="E587" s="4"/>
      <c r="F587" s="4">
        <v>4.96</v>
      </c>
      <c r="G587" s="187">
        <v>0.012613660352434941</v>
      </c>
      <c r="H587" s="190">
        <v>1.0646795418195292</v>
      </c>
      <c r="I587" s="4"/>
      <c r="J587" s="4">
        <v>4.96</v>
      </c>
      <c r="K587" s="187">
        <v>0.15570393756576206</v>
      </c>
      <c r="L587" s="190">
        <v>2.0617355753272517</v>
      </c>
      <c r="M587" s="4"/>
      <c r="N587" s="4">
        <v>4.96</v>
      </c>
      <c r="O587" s="187">
        <v>0.08177364130682041</v>
      </c>
      <c r="P587" s="190">
        <v>1.4814328670817056</v>
      </c>
      <c r="Q587" s="4"/>
      <c r="R587" s="4">
        <v>4.96</v>
      </c>
      <c r="S587" s="187">
        <v>-1.5728829726059854</v>
      </c>
      <c r="T587" s="190">
        <v>-0.061706309208627026</v>
      </c>
      <c r="U587" s="4"/>
      <c r="V587" s="4">
        <v>4.96</v>
      </c>
      <c r="W587" s="187">
        <v>0.10978846586690416</v>
      </c>
      <c r="X587" s="190">
        <v>1.6834531484121942</v>
      </c>
      <c r="Y587" s="4"/>
      <c r="Z587" s="4">
        <v>4.96</v>
      </c>
      <c r="AA587" s="187">
        <v>-2.084036549727408</v>
      </c>
      <c r="AB587" s="190">
        <v>-1.496992506203252</v>
      </c>
      <c r="AC587" s="4"/>
      <c r="AD587" s="4">
        <v>4.96</v>
      </c>
      <c r="AE587" s="187">
        <v>0.13173536938032293</v>
      </c>
      <c r="AF587" s="190">
        <v>1.8566260689166398</v>
      </c>
      <c r="AG587" s="4"/>
      <c r="AH587" s="4"/>
    </row>
    <row r="588" ht="12.75" hidden="1" outlineLevel="1">
      <c r="A588" s="4"/>
      <c r="B588" s="4">
        <v>4.98</v>
      </c>
      <c r="C588" s="187">
        <v>0.1070080205132542</v>
      </c>
      <c r="D588" s="190">
        <v>1.6624700774314003</v>
      </c>
      <c r="E588" s="4"/>
      <c r="F588" s="4">
        <v>4.98</v>
      </c>
      <c r="G588" s="187">
        <v>0.011577734372214987</v>
      </c>
      <c r="H588" s="190">
        <v>1.0592447204904445</v>
      </c>
      <c r="I588" s="4"/>
      <c r="J588" s="4">
        <v>4.98</v>
      </c>
      <c r="K588" s="187">
        <v>0.15545490072451917</v>
      </c>
      <c r="L588" s="190">
        <v>2.059515167204383</v>
      </c>
      <c r="M588" s="4"/>
      <c r="N588" s="4">
        <v>4.98</v>
      </c>
      <c r="O588" s="187">
        <v>0.08110680858017871</v>
      </c>
      <c r="P588" s="190">
        <v>1.4768725286836513</v>
      </c>
      <c r="Q588" s="4"/>
      <c r="R588" s="4">
        <v>4.98</v>
      </c>
      <c r="S588" s="187">
        <v>-1.5932850505347673</v>
      </c>
      <c r="T588" s="190">
        <v>-0.07350502440173771</v>
      </c>
      <c r="U588" s="4"/>
      <c r="V588" s="4">
        <v>4.98</v>
      </c>
      <c r="W588" s="187">
        <v>0.10932332941877165</v>
      </c>
      <c r="X588" s="190">
        <v>1.6799282455011577</v>
      </c>
      <c r="Y588" s="4"/>
      <c r="Z588" s="4">
        <v>4.98</v>
      </c>
      <c r="AA588" s="187">
        <v>-2.08647494099133</v>
      </c>
      <c r="AB588" s="190">
        <v>-1.5139048138038143</v>
      </c>
      <c r="AC588" s="4"/>
      <c r="AD588" s="4">
        <v>4.98</v>
      </c>
      <c r="AE588" s="187">
        <v>0.13147361412706848</v>
      </c>
      <c r="AF588" s="190">
        <v>1.8544799979803666</v>
      </c>
      <c r="AG588" s="4"/>
      <c r="AH588" s="4"/>
    </row>
    <row r="589" ht="12.75" hidden="1" outlineLevel="1">
      <c r="A589" s="4"/>
      <c r="B589" s="4">
        <v>5</v>
      </c>
      <c r="C589" s="187">
        <v>0.10655759658453245</v>
      </c>
      <c r="D589" s="190">
        <v>1.6590906656528326</v>
      </c>
      <c r="E589" s="4"/>
      <c r="F589" s="4">
        <v>5</v>
      </c>
      <c r="G589" s="187">
        <v>0.010538706083059957</v>
      </c>
      <c r="H589" s="190">
        <v>1.053815940223642</v>
      </c>
      <c r="I589" s="4"/>
      <c r="J589" s="4">
        <v>5</v>
      </c>
      <c r="K589" s="187">
        <v>0.1552056489969309</v>
      </c>
      <c r="L589" s="190">
        <v>2.0572947590815125</v>
      </c>
      <c r="M589" s="4"/>
      <c r="N589" s="4">
        <v>5</v>
      </c>
      <c r="O589" s="187">
        <v>0.08043832655816296</v>
      </c>
      <c r="P589" s="190">
        <v>1.472312190285597</v>
      </c>
      <c r="Q589" s="4"/>
      <c r="R589" s="4">
        <v>5</v>
      </c>
      <c r="S589" s="187">
        <v>-1.611214451469949</v>
      </c>
      <c r="T589" s="190">
        <v>-0.08530373959485082</v>
      </c>
      <c r="U589" s="4"/>
      <c r="V589" s="4">
        <v>5</v>
      </c>
      <c r="W589" s="187">
        <v>0.10885838476506682</v>
      </c>
      <c r="X589" s="190">
        <v>1.6764106993732257</v>
      </c>
      <c r="Y589" s="4"/>
      <c r="Z589" s="4">
        <v>5</v>
      </c>
      <c r="AA589" s="187">
        <v>-2.088891636685509</v>
      </c>
      <c r="AB589" s="190">
        <v>-1.530817121404375</v>
      </c>
      <c r="AC589" s="4"/>
      <c r="AD589" s="4">
        <v>5</v>
      </c>
      <c r="AE589" s="187">
        <v>0.13121223842857854</v>
      </c>
      <c r="AF589" s="190">
        <v>1.8523390195821312</v>
      </c>
      <c r="AG589" s="4"/>
      <c r="AH589" s="4"/>
    </row>
    <row r="590" ht="12.75" hidden="1" outlineLevel="1">
      <c r="A590" s="4"/>
      <c r="B590" s="4">
        <v>5.02</v>
      </c>
      <c r="C590" s="187">
        <v>0.10610687598743507</v>
      </c>
      <c r="D590" s="190">
        <v>1.655714531358123</v>
      </c>
      <c r="E590" s="4"/>
      <c r="F590" s="4">
        <v>5.02</v>
      </c>
      <c r="G590" s="187">
        <v>0.009496549273573018</v>
      </c>
      <c r="H590" s="190">
        <v>1.0483931960028814</v>
      </c>
      <c r="I590" s="4"/>
      <c r="J590" s="4">
        <v>5.02</v>
      </c>
      <c r="K590" s="187">
        <v>0.1549561819653542</v>
      </c>
      <c r="L590" s="190">
        <v>2.05507435095864</v>
      </c>
      <c r="M590" s="4"/>
      <c r="N590" s="4">
        <v>5.02</v>
      </c>
      <c r="O590" s="187">
        <v>0.07976818603399538</v>
      </c>
      <c r="P590" s="190">
        <v>1.4677518518875423</v>
      </c>
      <c r="Q590" s="4"/>
      <c r="R590" s="4">
        <v>5.02</v>
      </c>
      <c r="S590" s="187">
        <v>-1.627257758591437</v>
      </c>
      <c r="T590" s="190">
        <v>-0.09710245478796313</v>
      </c>
      <c r="U590" s="4"/>
      <c r="V590" s="4">
        <v>5.02</v>
      </c>
      <c r="W590" s="187">
        <v>0.10839593078759835</v>
      </c>
      <c r="X590" s="190">
        <v>1.6729178439150432</v>
      </c>
      <c r="Y590" s="4"/>
      <c r="Z590" s="4">
        <v>5.02</v>
      </c>
      <c r="AA590" s="187">
        <v>-2.091287066369116</v>
      </c>
      <c r="AB590" s="190">
        <v>-1.5477294290049362</v>
      </c>
      <c r="AC590" s="4"/>
      <c r="AD590" s="4">
        <v>5.02</v>
      </c>
      <c r="AE590" s="187">
        <v>0.13095124129284996</v>
      </c>
      <c r="AF590" s="190">
        <v>1.8502031156168433</v>
      </c>
      <c r="AG590" s="4"/>
      <c r="AH590" s="4"/>
    </row>
    <row r="591" ht="12.75" hidden="1" outlineLevel="1">
      <c r="A591" s="4"/>
      <c r="B591" s="4">
        <v>5.04</v>
      </c>
      <c r="C591" s="187">
        <v>0.1056558578468123</v>
      </c>
      <c r="D591" s="190">
        <v>1.652341672147616</v>
      </c>
      <c r="E591" s="4"/>
      <c r="F591" s="4">
        <v>5.04</v>
      </c>
      <c r="G591" s="187">
        <v>0.008451237393596323</v>
      </c>
      <c r="H591" s="190">
        <v>1.0429764828146717</v>
      </c>
      <c r="I591" s="4"/>
      <c r="J591" s="4">
        <v>5.04</v>
      </c>
      <c r="K591" s="187">
        <v>0.15470649921088264</v>
      </c>
      <c r="L591" s="190">
        <v>2.0528539428357706</v>
      </c>
      <c r="M591" s="4"/>
      <c r="N591" s="4">
        <v>5.04</v>
      </c>
      <c r="O591" s="187">
        <v>0.07909637772070188</v>
      </c>
      <c r="P591" s="190">
        <v>1.4631915134894886</v>
      </c>
      <c r="Q591" s="4"/>
      <c r="R591" s="4">
        <v>5.04</v>
      </c>
      <c r="S591" s="187">
        <v>-1.6418100437427001</v>
      </c>
      <c r="T591" s="190">
        <v>-0.10890116998107462</v>
      </c>
      <c r="U591" s="4"/>
      <c r="V591" s="4">
        <v>5.04</v>
      </c>
      <c r="W591" s="187">
        <v>0.10793270372432029</v>
      </c>
      <c r="X591" s="190">
        <v>1.6694249884568602</v>
      </c>
      <c r="Y591" s="4"/>
      <c r="Z591" s="4">
        <v>5.04</v>
      </c>
      <c r="AA591" s="187">
        <v>-2.0936616465150903</v>
      </c>
      <c r="AB591" s="190">
        <v>-1.5646417366054983</v>
      </c>
      <c r="AC591" s="4"/>
      <c r="AD591" s="4">
        <v>5.04</v>
      </c>
      <c r="AE591" s="187">
        <v>0.1306906217316406</v>
      </c>
      <c r="AF591" s="190">
        <v>1.8480722680651296</v>
      </c>
      <c r="AG591" s="4"/>
      <c r="AH591" s="4"/>
    </row>
    <row r="592" ht="12.75" hidden="1" outlineLevel="1">
      <c r="A592" s="4"/>
      <c r="B592" s="4">
        <v>5.06</v>
      </c>
      <c r="C592" s="187">
        <v>0.10520454128381629</v>
      </c>
      <c r="D592" s="190">
        <v>1.648972085622817</v>
      </c>
      <c r="E592" s="4"/>
      <c r="F592" s="4">
        <v>5.06</v>
      </c>
      <c r="G592" s="187">
        <v>0.0074027435482653114</v>
      </c>
      <c r="H592" s="190">
        <v>1.037565795648279</v>
      </c>
      <c r="I592" s="4"/>
      <c r="J592" s="4">
        <v>5.06</v>
      </c>
      <c r="K592" s="187">
        <v>0.1544566003133394</v>
      </c>
      <c r="L592" s="190">
        <v>2.0506335347128988</v>
      </c>
      <c r="M592" s="4"/>
      <c r="N592" s="4">
        <v>5.06</v>
      </c>
      <c r="O592" s="187">
        <v>0.07842289225016152</v>
      </c>
      <c r="P592" s="190">
        <v>1.458631175091435</v>
      </c>
      <c r="Q592" s="4"/>
      <c r="R592" s="4">
        <v>5.06</v>
      </c>
      <c r="S592" s="187">
        <v>-1.6551509443923662</v>
      </c>
      <c r="T592" s="190">
        <v>-0.12069988517418732</v>
      </c>
      <c r="U592" s="4"/>
      <c r="V592" s="4">
        <v>5.06</v>
      </c>
      <c r="W592" s="187">
        <v>0.10746870066131042</v>
      </c>
      <c r="X592" s="190">
        <v>1.6659321329986776</v>
      </c>
      <c r="Y592" s="4"/>
      <c r="Z592" s="4">
        <v>5.06</v>
      </c>
      <c r="AA592" s="187">
        <v>-2.0960157810453666</v>
      </c>
      <c r="AB592" s="190">
        <v>-1.58155404420606</v>
      </c>
      <c r="AC592" s="4"/>
      <c r="AD592" s="4">
        <v>5.06</v>
      </c>
      <c r="AE592" s="187">
        <v>0.13043037876045105</v>
      </c>
      <c r="AF592" s="190">
        <v>1.8459464589928325</v>
      </c>
      <c r="AG592" s="4"/>
      <c r="AH592" s="4"/>
    </row>
    <row r="593" ht="12.75" hidden="1" outlineLevel="1">
      <c r="A593" s="4"/>
      <c r="B593" s="4">
        <v>5.08</v>
      </c>
      <c r="C593" s="187">
        <v>0.10475292541587766</v>
      </c>
      <c r="D593" s="190">
        <v>1.6456057693863797</v>
      </c>
      <c r="E593" s="4"/>
      <c r="F593" s="4">
        <v>5.08</v>
      </c>
      <c r="G593" s="187">
        <v>0.006351040491924476</v>
      </c>
      <c r="H593" s="190">
        <v>1.0321611294957185</v>
      </c>
      <c r="I593" s="4"/>
      <c r="J593" s="4">
        <v>5.08</v>
      </c>
      <c r="K593" s="187">
        <v>0.15420648485127364</v>
      </c>
      <c r="L593" s="190">
        <v>2.048413126590028</v>
      </c>
      <c r="M593" s="4"/>
      <c r="N593" s="4">
        <v>5.08</v>
      </c>
      <c r="O593" s="187">
        <v>0.07774772017214082</v>
      </c>
      <c r="P593" s="190">
        <v>1.4540708366933783</v>
      </c>
      <c r="Q593" s="4"/>
      <c r="R593" s="4">
        <v>5.08</v>
      </c>
      <c r="S593" s="187">
        <v>-1.667486149072997</v>
      </c>
      <c r="T593" s="190">
        <v>-0.1324986003672984</v>
      </c>
      <c r="U593" s="4"/>
      <c r="V593" s="4">
        <v>5.08</v>
      </c>
      <c r="W593" s="187">
        <v>0.10700391866752468</v>
      </c>
      <c r="X593" s="190">
        <v>1.6624392775404946</v>
      </c>
      <c r="Y593" s="4"/>
      <c r="Z593" s="4">
        <v>5.08</v>
      </c>
      <c r="AA593" s="187">
        <v>-2.098349861838742</v>
      </c>
      <c r="AB593" s="190">
        <v>-1.5984663518066216</v>
      </c>
      <c r="AC593" s="4"/>
      <c r="AD593" s="4">
        <v>5.08</v>
      </c>
      <c r="AE593" s="187">
        <v>0.13017051139850744</v>
      </c>
      <c r="AF593" s="190">
        <v>1.8438256705505098</v>
      </c>
      <c r="AG593" s="4"/>
      <c r="AH593" s="4"/>
    </row>
    <row r="594" ht="12.75" hidden="1" outlineLevel="1">
      <c r="A594" s="4"/>
      <c r="B594" s="4">
        <v>5.1</v>
      </c>
      <c r="C594" s="187">
        <v>0.10430100935668896</v>
      </c>
      <c r="D594" s="190">
        <v>1.6422427210421293</v>
      </c>
      <c r="E594" s="4"/>
      <c r="F594" s="4">
        <v>5.1</v>
      </c>
      <c r="G594" s="187">
        <v>0.005296100621910549</v>
      </c>
      <c r="H594" s="190">
        <v>1.0267624793517476</v>
      </c>
      <c r="I594" s="4"/>
      <c r="J594" s="4">
        <v>5.1</v>
      </c>
      <c r="K594" s="187">
        <v>0.15395615240195526</v>
      </c>
      <c r="L594" s="190">
        <v>2.046192718467157</v>
      </c>
      <c r="M594" s="4"/>
      <c r="N594" s="4">
        <v>5.1</v>
      </c>
      <c r="O594" s="187">
        <v>0.07707085195331587</v>
      </c>
      <c r="P594" s="190">
        <v>1.4495104982953253</v>
      </c>
      <c r="Q594" s="4"/>
      <c r="R594" s="4">
        <v>5.1</v>
      </c>
      <c r="S594" s="187">
        <v>-1.6789716646388748</v>
      </c>
      <c r="T594" s="190">
        <v>-0.14429731556041112</v>
      </c>
      <c r="U594" s="4"/>
      <c r="V594" s="4">
        <v>5.1</v>
      </c>
      <c r="W594" s="187">
        <v>0.10653835479466167</v>
      </c>
      <c r="X594" s="190">
        <v>1.6589464220823116</v>
      </c>
      <c r="Y594" s="4"/>
      <c r="Z594" s="4">
        <v>5.1</v>
      </c>
      <c r="AA594" s="187">
        <v>-2.1006642692130617</v>
      </c>
      <c r="AB594" s="190">
        <v>-1.6153786594071833</v>
      </c>
      <c r="AC594" s="4"/>
      <c r="AD594" s="4">
        <v>5.1</v>
      </c>
      <c r="AE594" s="187">
        <v>0.12991101866874066</v>
      </c>
      <c r="AF594" s="190">
        <v>1.8417098849729268</v>
      </c>
      <c r="AG594" s="4"/>
      <c r="AH594" s="4"/>
    </row>
    <row r="595" ht="12.75" hidden="1" outlineLevel="1">
      <c r="A595" s="4"/>
      <c r="B595" s="4">
        <v>5.12</v>
      </c>
      <c r="C595" s="187">
        <v>0.10384879221617949</v>
      </c>
      <c r="D595" s="190">
        <v>1.6388829381950414</v>
      </c>
      <c r="E595" s="4"/>
      <c r="F595" s="4">
        <v>5.12</v>
      </c>
      <c r="G595" s="187">
        <v>0.004237895972199368</v>
      </c>
      <c r="H595" s="190">
        <v>1.021369840213883</v>
      </c>
      <c r="I595" s="4"/>
      <c r="J595" s="4">
        <v>5.12</v>
      </c>
      <c r="K595" s="187">
        <v>0.15370560254136856</v>
      </c>
      <c r="L595" s="190">
        <v>2.043972310344287</v>
      </c>
      <c r="M595" s="4"/>
      <c r="N595" s="4">
        <v>5.12</v>
      </c>
      <c r="O595" s="187">
        <v>0.07639227797627424</v>
      </c>
      <c r="P595" s="190">
        <v>1.44495015989727</v>
      </c>
      <c r="Q595" s="4"/>
      <c r="R595" s="4">
        <v>5.12</v>
      </c>
      <c r="S595" s="187">
        <v>-1.6897288181098862</v>
      </c>
      <c r="T595" s="190">
        <v>-0.15609603075352302</v>
      </c>
      <c r="U595" s="4"/>
      <c r="V595" s="4">
        <v>5.12</v>
      </c>
      <c r="W595" s="187">
        <v>0.10607200607702438</v>
      </c>
      <c r="X595" s="190">
        <v>1.6554535666241286</v>
      </c>
      <c r="Y595" s="4"/>
      <c r="Z595" s="4">
        <v>5.12</v>
      </c>
      <c r="AA595" s="187">
        <v>-2.1029593723832676</v>
      </c>
      <c r="AB595" s="190">
        <v>-1.6322909670077448</v>
      </c>
      <c r="AC595" s="4"/>
      <c r="AD595" s="4">
        <v>5.12</v>
      </c>
      <c r="AE595" s="187">
        <v>0.12965189959777002</v>
      </c>
      <c r="AF595" s="190">
        <v>1.8395990845785704</v>
      </c>
      <c r="AG595" s="4"/>
      <c r="AH595" s="4"/>
    </row>
    <row r="596" ht="12.75" hidden="1" outlineLevel="1">
      <c r="A596" s="4"/>
      <c r="B596" s="4">
        <v>5.14</v>
      </c>
      <c r="C596" s="187">
        <v>0.10339627310049448</v>
      </c>
      <c r="D596" s="190">
        <v>1.6355264184512437</v>
      </c>
      <c r="E596" s="4"/>
      <c r="F596" s="4">
        <v>5.14</v>
      </c>
      <c r="G596" s="187">
        <v>0.0031763982069019647</v>
      </c>
      <c r="H596" s="190">
        <v>1.015983207082386</v>
      </c>
      <c r="I596" s="4"/>
      <c r="J596" s="4">
        <v>5.14</v>
      </c>
      <c r="K596" s="187">
        <v>0.15345483484420752</v>
      </c>
      <c r="L596" s="190">
        <v>2.041751902221415</v>
      </c>
      <c r="M596" s="4"/>
      <c r="N596" s="4">
        <v>5.14</v>
      </c>
      <c r="O596" s="187">
        <v>0.07571198853850869</v>
      </c>
      <c r="P596" s="190">
        <v>1.4403898214992152</v>
      </c>
      <c r="Q596" s="4"/>
      <c r="R596" s="4">
        <v>5.14</v>
      </c>
      <c r="S596" s="187">
        <v>-1.6998539548544724</v>
      </c>
      <c r="T596" s="190">
        <v>-0.16789474594663492</v>
      </c>
      <c r="U596" s="4"/>
      <c r="V596" s="4">
        <v>5.14</v>
      </c>
      <c r="W596" s="187">
        <v>0.10560486953138049</v>
      </c>
      <c r="X596" s="190">
        <v>1.651960711165946</v>
      </c>
      <c r="Y596" s="4"/>
      <c r="Z596" s="4">
        <v>5.14</v>
      </c>
      <c r="AA596" s="187">
        <v>-2.1052355298967633</v>
      </c>
      <c r="AB596" s="190">
        <v>-1.6492032746083063</v>
      </c>
      <c r="AC596" s="4"/>
      <c r="AD596" s="4">
        <v>5.14</v>
      </c>
      <c r="AE596" s="187">
        <v>0.12939315321588407</v>
      </c>
      <c r="AF596" s="190">
        <v>1.837493251769146</v>
      </c>
      <c r="AG596" s="4"/>
      <c r="AH596" s="4"/>
    </row>
    <row r="597" ht="12.75" hidden="1" outlineLevel="1">
      <c r="A597" s="4"/>
      <c r="B597" s="4">
        <v>5.16</v>
      </c>
      <c r="C597" s="187">
        <v>0.10294345111197578</v>
      </c>
      <c r="D597" s="190">
        <v>1.6321731594180269</v>
      </c>
      <c r="E597" s="4"/>
      <c r="F597" s="4">
        <v>5.16</v>
      </c>
      <c r="G597" s="187">
        <v>0.0021115786136181036</v>
      </c>
      <c r="H597" s="190">
        <v>1.010602574960262</v>
      </c>
      <c r="I597" s="4"/>
      <c r="J597" s="4">
        <v>5.16</v>
      </c>
      <c r="K597" s="187">
        <v>0.1532038488838714</v>
      </c>
      <c r="L597" s="190">
        <v>2.0395314940985445</v>
      </c>
      <c r="M597" s="4"/>
      <c r="N597" s="4">
        <v>5.16</v>
      </c>
      <c r="O597" s="187">
        <v>0.07502997385138999</v>
      </c>
      <c r="P597" s="190">
        <v>1.4358294831011609</v>
      </c>
      <c r="Q597" s="4"/>
      <c r="R597" s="4">
        <v>5.16</v>
      </c>
      <c r="S597" s="187">
        <v>-1.709424944320328</v>
      </c>
      <c r="T597" s="190">
        <v>-0.1796934611397464</v>
      </c>
      <c r="U597" s="4"/>
      <c r="V597" s="4">
        <v>5.16</v>
      </c>
      <c r="W597" s="187">
        <v>0.10513694215682046</v>
      </c>
      <c r="X597" s="190">
        <v>1.648467855707763</v>
      </c>
      <c r="Y597" s="4"/>
      <c r="Z597" s="4">
        <v>5.16</v>
      </c>
      <c r="AA597" s="187">
        <v>-2.1074930900474316</v>
      </c>
      <c r="AB597" s="190">
        <v>-1.6661155822088687</v>
      </c>
      <c r="AC597" s="4"/>
      <c r="AD597" s="4">
        <v>5.16</v>
      </c>
      <c r="AE597" s="187">
        <v>0.12913477855702227</v>
      </c>
      <c r="AF597" s="190">
        <v>1.835392369029099</v>
      </c>
      <c r="AG597" s="4"/>
      <c r="AH597" s="4"/>
    </row>
    <row r="598" ht="12.75" hidden="1" outlineLevel="1">
      <c r="A598" s="4"/>
      <c r="B598" s="4">
        <v>5.18</v>
      </c>
      <c r="C598" s="187">
        <v>0.10249032534913871</v>
      </c>
      <c r="D598" s="190">
        <v>1.6288231587038358</v>
      </c>
      <c r="E598" s="4"/>
      <c r="F598" s="4">
        <v>5.18</v>
      </c>
      <c r="G598" s="187">
        <v>0.0010434080966381654</v>
      </c>
      <c r="H598" s="190">
        <v>1.0052279388532679</v>
      </c>
      <c r="I598" s="4"/>
      <c r="J598" s="4">
        <v>5.18</v>
      </c>
      <c r="K598" s="187">
        <v>0.15295264423245758</v>
      </c>
      <c r="L598" s="190">
        <v>2.037311085975675</v>
      </c>
      <c r="M598" s="4"/>
      <c r="N598" s="4">
        <v>5.18</v>
      </c>
      <c r="O598" s="187">
        <v>0.07434622403912661</v>
      </c>
      <c r="P598" s="190">
        <v>1.4312691447031063</v>
      </c>
      <c r="Q598" s="4"/>
      <c r="R598" s="4">
        <v>5.18</v>
      </c>
      <c r="S598" s="187">
        <v>-1.7184383164981765</v>
      </c>
      <c r="T598" s="190">
        <v>-0.1914024235785729</v>
      </c>
      <c r="U598" s="4"/>
      <c r="V598" s="4">
        <v>5.18</v>
      </c>
      <c r="W598" s="187">
        <v>0.1046682209346168</v>
      </c>
      <c r="X598" s="190">
        <v>1.6449750002495804</v>
      </c>
      <c r="Y598" s="4"/>
      <c r="Z598" s="4">
        <v>5.18</v>
      </c>
      <c r="AA598" s="187">
        <v>-2.1097323912695654</v>
      </c>
      <c r="AB598" s="190">
        <v>-1.6830278898094297</v>
      </c>
      <c r="AC598" s="4"/>
      <c r="AD598" s="4">
        <v>5.18</v>
      </c>
      <c r="AE598" s="187">
        <v>0.1288767746587578</v>
      </c>
      <c r="AF598" s="190">
        <v>1.8332964189251195</v>
      </c>
      <c r="AG598" s="4"/>
      <c r="AH598" s="4"/>
    </row>
    <row r="599" ht="12.75" hidden="1" outlineLevel="1">
      <c r="A599" s="4"/>
      <c r="B599" s="4">
        <v>5.2</v>
      </c>
      <c r="C599" s="187">
        <v>0.10203689490665013</v>
      </c>
      <c r="D599" s="190">
        <v>1.6254764139182734</v>
      </c>
      <c r="E599" s="4"/>
      <c r="F599" s="4">
        <v>5.2</v>
      </c>
      <c r="G599" s="187">
        <v>-0.000029624119356141954</v>
      </c>
      <c r="H599" s="190">
        <v>0.9998518881788436</v>
      </c>
      <c r="I599" s="4"/>
      <c r="J599" s="4">
        <v>5.2</v>
      </c>
      <c r="K599" s="187">
        <v>0.15270122046075674</v>
      </c>
      <c r="L599" s="190">
        <v>2.0350906778528017</v>
      </c>
      <c r="M599" s="4"/>
      <c r="N599" s="4">
        <v>5.2</v>
      </c>
      <c r="O599" s="187">
        <v>0.07366072913770871</v>
      </c>
      <c r="P599" s="190">
        <v>1.426708806305052</v>
      </c>
      <c r="Q599" s="4"/>
      <c r="R599" s="4">
        <v>5.2</v>
      </c>
      <c r="S599" s="187">
        <v>-1.726942663181481</v>
      </c>
      <c r="T599" s="190">
        <v>-0.20300222055645098</v>
      </c>
      <c r="U599" s="4"/>
      <c r="V599" s="4">
        <v>5.2</v>
      </c>
      <c r="W599" s="187">
        <v>0.10419870282807886</v>
      </c>
      <c r="X599" s="190">
        <v>1.6414821447913974</v>
      </c>
      <c r="Y599" s="4"/>
      <c r="Z599" s="4">
        <v>5.2</v>
      </c>
      <c r="AA599" s="187">
        <v>-2.111953762512866</v>
      </c>
      <c r="AB599" s="190">
        <v>-1.699940197409992</v>
      </c>
      <c r="AC599" s="4"/>
      <c r="AD599" s="4">
        <v>5.2</v>
      </c>
      <c r="AE599" s="187">
        <v>0.12861914056227874</v>
      </c>
      <c r="AF599" s="190">
        <v>1.8312053841056661</v>
      </c>
      <c r="AG599" s="4"/>
      <c r="AH599" s="4"/>
    </row>
    <row r="600" ht="12.75" hidden="1" outlineLevel="1">
      <c r="A600" s="4"/>
      <c r="B600" s="4">
        <v>5.22</v>
      </c>
      <c r="C600" s="187">
        <v>0.10158315887530689</v>
      </c>
      <c r="D600" s="190">
        <v>1.6221329226720942</v>
      </c>
      <c r="E600" s="4"/>
      <c r="F600" s="4">
        <v>5.22</v>
      </c>
      <c r="G600" s="187">
        <v>-0.0011612973089659695</v>
      </c>
      <c r="H600" s="190">
        <v>0.9942069839172717</v>
      </c>
      <c r="I600" s="4"/>
      <c r="J600" s="4">
        <v>5.22</v>
      </c>
      <c r="K600" s="187">
        <v>0.15244957713824947</v>
      </c>
      <c r="L600" s="190">
        <v>2.032870269729932</v>
      </c>
      <c r="M600" s="4"/>
      <c r="N600" s="4">
        <v>5.22</v>
      </c>
      <c r="O600" s="187">
        <v>0.07297347909383411</v>
      </c>
      <c r="P600" s="190">
        <v>1.422148467906997</v>
      </c>
      <c r="Q600" s="4"/>
      <c r="R600" s="4">
        <v>5.22</v>
      </c>
      <c r="S600" s="187">
        <v>-1.7350667191820928</v>
      </c>
      <c r="T600" s="190">
        <v>-0.21460201753432903</v>
      </c>
      <c r="U600" s="4"/>
      <c r="V600" s="4">
        <v>5.22</v>
      </c>
      <c r="W600" s="187">
        <v>0.10372838478240776</v>
      </c>
      <c r="X600" s="190">
        <v>1.6379892893332149</v>
      </c>
      <c r="Y600" s="4"/>
      <c r="Z600" s="4">
        <v>5.22</v>
      </c>
      <c r="AA600" s="187">
        <v>-2.114157523599609</v>
      </c>
      <c r="AB600" s="190">
        <v>-1.716852505010553</v>
      </c>
      <c r="AC600" s="4"/>
      <c r="AD600" s="4">
        <v>5.22</v>
      </c>
      <c r="AE600" s="187">
        <v>0.12836187531237098</v>
      </c>
      <c r="AF600" s="190">
        <v>1.8291192473004871</v>
      </c>
      <c r="AG600" s="4"/>
      <c r="AH600" s="4"/>
    </row>
    <row r="601" ht="12.75" hidden="1" outlineLevel="1">
      <c r="A601" s="4"/>
      <c r="B601" s="4">
        <v>5.24</v>
      </c>
      <c r="C601" s="187">
        <v>0.1011291163420136</v>
      </c>
      <c r="D601" s="190">
        <v>1.6187926825772094</v>
      </c>
      <c r="E601" s="4"/>
      <c r="F601" s="4">
        <v>5.24</v>
      </c>
      <c r="G601" s="187">
        <v>-0.002296851750210993</v>
      </c>
      <c r="H601" s="190">
        <v>0.9885683754966055</v>
      </c>
      <c r="I601" s="4"/>
      <c r="J601" s="4">
        <v>5.24</v>
      </c>
      <c r="K601" s="187">
        <v>0.15219771383309721</v>
      </c>
      <c r="L601" s="190">
        <v>2.0306498616070625</v>
      </c>
      <c r="M601" s="4"/>
      <c r="N601" s="4">
        <v>5.24</v>
      </c>
      <c r="O601" s="187">
        <v>0.07228446376382003</v>
      </c>
      <c r="P601" s="190">
        <v>1.4175881295089423</v>
      </c>
      <c r="Q601" s="4"/>
      <c r="R601" s="4">
        <v>5.24</v>
      </c>
      <c r="S601" s="187">
        <v>-1.7428467315976048</v>
      </c>
      <c r="T601" s="190">
        <v>-0.2262018145122075</v>
      </c>
      <c r="U601" s="4"/>
      <c r="V601" s="4">
        <v>5.24</v>
      </c>
      <c r="W601" s="187">
        <v>0.10325726372454991</v>
      </c>
      <c r="X601" s="190">
        <v>1.6344964338750316</v>
      </c>
      <c r="Y601" s="4"/>
      <c r="Z601" s="4">
        <v>5.24</v>
      </c>
      <c r="AA601" s="187">
        <v>-2.116343985564984</v>
      </c>
      <c r="AB601" s="190">
        <v>-1.7337648126111151</v>
      </c>
      <c r="AC601" s="4"/>
      <c r="AD601" s="4">
        <v>5.24</v>
      </c>
      <c r="AE601" s="187">
        <v>0.12810497795740017</v>
      </c>
      <c r="AF601" s="190">
        <v>1.82703799132014</v>
      </c>
      <c r="AG601" s="4"/>
      <c r="AH601" s="4"/>
    </row>
    <row r="602" ht="12.75" hidden="1" outlineLevel="1">
      <c r="A602" s="4"/>
      <c r="B602" s="4">
        <v>5.26</v>
      </c>
      <c r="C602" s="187">
        <v>0.10067476638976047</v>
      </c>
      <c r="D602" s="190">
        <v>1.6154556912466878</v>
      </c>
      <c r="E602" s="4"/>
      <c r="F602" s="4">
        <v>5.26</v>
      </c>
      <c r="G602" s="187">
        <v>-0.003436324097230825</v>
      </c>
      <c r="H602" s="190">
        <v>0.9829360576713024</v>
      </c>
      <c r="I602" s="4"/>
      <c r="J602" s="4">
        <v>5.26</v>
      </c>
      <c r="K602" s="187">
        <v>0.15194563011213957</v>
      </c>
      <c r="L602" s="190">
        <v>2.0284294534841893</v>
      </c>
      <c r="M602" s="4"/>
      <c r="N602" s="4">
        <v>5.26</v>
      </c>
      <c r="O602" s="187">
        <v>0.07159367291249574</v>
      </c>
      <c r="P602" s="190">
        <v>1.413027791110888</v>
      </c>
      <c r="Q602" s="4"/>
      <c r="R602" s="4">
        <v>5.26</v>
      </c>
      <c r="S602" s="187">
        <v>-1.7503138422721214</v>
      </c>
      <c r="T602" s="190">
        <v>-0.237801611490086</v>
      </c>
      <c r="U602" s="4"/>
      <c r="V602" s="4">
        <v>5.26</v>
      </c>
      <c r="W602" s="187">
        <v>0.10278533656304845</v>
      </c>
      <c r="X602" s="190">
        <v>1.6310035784168493</v>
      </c>
      <c r="Y602" s="4"/>
      <c r="Z602" s="4">
        <v>5.26</v>
      </c>
      <c r="AA602" s="187">
        <v>-2.1185134509815624</v>
      </c>
      <c r="AB602" s="190">
        <v>-1.750677120211676</v>
      </c>
      <c r="AC602" s="4"/>
      <c r="AD602" s="4">
        <v>5.26</v>
      </c>
      <c r="AE602" s="187">
        <v>0.12784844754929425</v>
      </c>
      <c r="AF602" s="190">
        <v>1.8249615990555272</v>
      </c>
      <c r="AG602" s="4"/>
      <c r="AH602" s="4"/>
    </row>
    <row r="603" ht="12.75" hidden="1" outlineLevel="1">
      <c r="A603" s="4"/>
      <c r="B603" s="4">
        <v>5.28</v>
      </c>
      <c r="C603" s="187">
        <v>0.10022010809760151</v>
      </c>
      <c r="D603" s="190">
        <v>1.6121219462947536</v>
      </c>
      <c r="E603" s="4"/>
      <c r="F603" s="4">
        <v>5.28</v>
      </c>
      <c r="G603" s="187">
        <v>-0.004579751535469412</v>
      </c>
      <c r="H603" s="190">
        <v>0.9773100251987024</v>
      </c>
      <c r="I603" s="4"/>
      <c r="J603" s="4">
        <v>5.28</v>
      </c>
      <c r="K603" s="187">
        <v>0.1516933255408881</v>
      </c>
      <c r="L603" s="190">
        <v>2.0262090453613197</v>
      </c>
      <c r="M603" s="4"/>
      <c r="N603" s="4">
        <v>5.28</v>
      </c>
      <c r="O603" s="187">
        <v>0.07090109621208018</v>
      </c>
      <c r="P603" s="190">
        <v>1.4084674527128334</v>
      </c>
      <c r="Q603" s="4"/>
      <c r="R603" s="4">
        <v>5.28</v>
      </c>
      <c r="S603" s="187">
        <v>-1.757495017130878</v>
      </c>
      <c r="T603" s="190">
        <v>-0.24940140846796446</v>
      </c>
      <c r="U603" s="4"/>
      <c r="V603" s="4">
        <v>5.28</v>
      </c>
      <c r="W603" s="187">
        <v>0.10231260018789268</v>
      </c>
      <c r="X603" s="190">
        <v>1.6275107229586658</v>
      </c>
      <c r="Y603" s="4"/>
      <c r="Z603" s="4">
        <v>5.28</v>
      </c>
      <c r="AA603" s="187">
        <v>-2.120666214268774</v>
      </c>
      <c r="AB603" s="190">
        <v>-1.7675894278122384</v>
      </c>
      <c r="AC603" s="4"/>
      <c r="AD603" s="4">
        <v>5.28</v>
      </c>
      <c r="AE603" s="187">
        <v>0.1275922831435259</v>
      </c>
      <c r="AF603" s="190">
        <v>1.8228900534774188</v>
      </c>
      <c r="AG603" s="4"/>
      <c r="AH603" s="4"/>
    </row>
    <row r="604" ht="12.75" hidden="1" outlineLevel="1">
      <c r="A604" s="4"/>
      <c r="B604" s="4">
        <v>5.3</v>
      </c>
      <c r="C604" s="187">
        <v>0.09976514054062968</v>
      </c>
      <c r="D604" s="190">
        <v>1.608791445336778</v>
      </c>
      <c r="E604" s="4"/>
      <c r="F604" s="4">
        <v>5.3</v>
      </c>
      <c r="G604" s="187">
        <v>-0.005727171792147545</v>
      </c>
      <c r="H604" s="190">
        <v>0.9716902728390345</v>
      </c>
      <c r="I604" s="4"/>
      <c r="J604" s="4">
        <v>5.3</v>
      </c>
      <c r="K604" s="187">
        <v>0.1514407996835201</v>
      </c>
      <c r="L604" s="190">
        <v>2.023988637238448</v>
      </c>
      <c r="M604" s="4"/>
      <c r="N604" s="4">
        <v>5.3</v>
      </c>
      <c r="O604" s="187">
        <v>0.07020672324103971</v>
      </c>
      <c r="P604" s="190">
        <v>1.4039071143147797</v>
      </c>
      <c r="Q604" s="4"/>
      <c r="R604" s="4">
        <v>5.3</v>
      </c>
      <c r="S604" s="187">
        <v>-1.7644137715508508</v>
      </c>
      <c r="T604" s="190">
        <v>-0.26100120544584254</v>
      </c>
      <c r="U604" s="4"/>
      <c r="V604" s="4">
        <v>5.3</v>
      </c>
      <c r="W604" s="187">
        <v>0.10183905147036776</v>
      </c>
      <c r="X604" s="190">
        <v>1.6240178675004833</v>
      </c>
      <c r="Y604" s="4"/>
      <c r="Z604" s="4">
        <v>5.3</v>
      </c>
      <c r="AA604" s="187">
        <v>-2.1228025619882276</v>
      </c>
      <c r="AB604" s="190">
        <v>-1.7845017354127994</v>
      </c>
      <c r="AC604" s="4"/>
      <c r="AD604" s="4">
        <v>5.3</v>
      </c>
      <c r="AE604" s="187">
        <v>0.12733648379909512</v>
      </c>
      <c r="AF604" s="190">
        <v>1.8208233376359921</v>
      </c>
      <c r="AG604" s="4"/>
      <c r="AH604" s="4"/>
    </row>
    <row r="605" ht="12.75" hidden="1" outlineLevel="1">
      <c r="A605" s="4"/>
      <c r="B605" s="4">
        <v>5.32</v>
      </c>
      <c r="C605" s="187">
        <v>0.0993098627899569</v>
      </c>
      <c r="D605" s="190">
        <v>1.6054641859892929</v>
      </c>
      <c r="E605" s="4"/>
      <c r="F605" s="4">
        <v>5.32</v>
      </c>
      <c r="G605" s="187">
        <v>-0.0068786231470004955</v>
      </c>
      <c r="H605" s="190">
        <v>0.9660767953554085</v>
      </c>
      <c r="I605" s="4"/>
      <c r="J605" s="4">
        <v>5.32</v>
      </c>
      <c r="K605" s="187">
        <v>0.15118805210287412</v>
      </c>
      <c r="L605" s="190">
        <v>2.0217682291155774</v>
      </c>
      <c r="M605" s="4"/>
      <c r="N605" s="4">
        <v>5.32</v>
      </c>
      <c r="O605" s="187">
        <v>0.06951054348293062</v>
      </c>
      <c r="P605" s="190">
        <v>1.399346775916725</v>
      </c>
      <c r="Q605" s="4"/>
      <c r="R605" s="4">
        <v>5.32</v>
      </c>
      <c r="S605" s="187">
        <v>-1.7710907435027154</v>
      </c>
      <c r="T605" s="190">
        <v>-0.2726010024237206</v>
      </c>
      <c r="U605" s="4"/>
      <c r="V605" s="4">
        <v>5.32</v>
      </c>
      <c r="W605" s="187">
        <v>0.10136468726290104</v>
      </c>
      <c r="X605" s="190">
        <v>1.6205250120423</v>
      </c>
      <c r="Y605" s="4"/>
      <c r="Z605" s="4">
        <v>5.32</v>
      </c>
      <c r="AA605" s="187">
        <v>-2.1249227731256424</v>
      </c>
      <c r="AB605" s="190">
        <v>-1.8014140430133616</v>
      </c>
      <c r="AC605" s="4"/>
      <c r="AD605" s="4">
        <v>5.32</v>
      </c>
      <c r="AE605" s="187">
        <v>0.1270810485785121</v>
      </c>
      <c r="AF605" s="190">
        <v>1.8187614346603698</v>
      </c>
      <c r="AG605" s="4"/>
      <c r="AH605" s="4"/>
    </row>
    <row r="606" ht="12.75" hidden="1" outlineLevel="1">
      <c r="A606" s="4"/>
      <c r="B606" s="4">
        <v>5.34</v>
      </c>
      <c r="C606" s="187">
        <v>0.09885427391269008</v>
      </c>
      <c r="D606" s="190">
        <v>1.602140165869986</v>
      </c>
      <c r="E606" s="4"/>
      <c r="F606" s="4">
        <v>5.34</v>
      </c>
      <c r="G606" s="187">
        <v>-0.00803414444328221</v>
      </c>
      <c r="H606" s="190">
        <v>0.9604695875138232</v>
      </c>
      <c r="I606" s="4"/>
      <c r="J606" s="4">
        <v>5.34</v>
      </c>
      <c r="K606" s="187">
        <v>0.1509350823604434</v>
      </c>
      <c r="L606" s="190">
        <v>2.0195478209927074</v>
      </c>
      <c r="M606" s="4"/>
      <c r="N606" s="4">
        <v>5.34</v>
      </c>
      <c r="O606" s="187">
        <v>0.06881254632522138</v>
      </c>
      <c r="P606" s="190">
        <v>1.3947864375186703</v>
      </c>
      <c r="Q606" s="4"/>
      <c r="R606" s="4">
        <v>5.34</v>
      </c>
      <c r="S606" s="187">
        <v>-1.7775441514564154</v>
      </c>
      <c r="T606" s="190">
        <v>-0.28420079940159865</v>
      </c>
      <c r="U606" s="4"/>
      <c r="V606" s="4">
        <v>5.34</v>
      </c>
      <c r="W606" s="187">
        <v>0.10088950439890776</v>
      </c>
      <c r="X606" s="190">
        <v>1.6170321565841177</v>
      </c>
      <c r="Y606" s="4"/>
      <c r="Z606" s="4">
        <v>5.34</v>
      </c>
      <c r="AA606" s="187">
        <v>-2.127027119360125</v>
      </c>
      <c r="AB606" s="190">
        <v>-1.8183263506139227</v>
      </c>
      <c r="AC606" s="4"/>
      <c r="AD606" s="4">
        <v>5.34</v>
      </c>
      <c r="AE606" s="187">
        <v>0.12682597654778038</v>
      </c>
      <c r="AF606" s="190">
        <v>1.8167043277581572</v>
      </c>
      <c r="AG606" s="4"/>
      <c r="AH606" s="4"/>
    </row>
    <row r="607" ht="12.75" hidden="1" outlineLevel="1">
      <c r="A607" s="4"/>
      <c r="B607" s="4">
        <v>5.36</v>
      </c>
      <c r="C607" s="187">
        <v>0.09839837297190734</v>
      </c>
      <c r="D607" s="190">
        <v>1.598819382597693</v>
      </c>
      <c r="E607" s="4"/>
      <c r="F607" s="4">
        <v>5.36</v>
      </c>
      <c r="G607" s="187">
        <v>-0.009193775099050394</v>
      </c>
      <c r="H607" s="190">
        <v>0.9548686440831589</v>
      </c>
      <c r="I607" s="4"/>
      <c r="J607" s="4">
        <v>5.36</v>
      </c>
      <c r="K607" s="187">
        <v>0.15068189001637022</v>
      </c>
      <c r="L607" s="190">
        <v>2.017327412869835</v>
      </c>
      <c r="M607" s="4"/>
      <c r="N607" s="4">
        <v>5.36</v>
      </c>
      <c r="O607" s="187">
        <v>0.06811272105809763</v>
      </c>
      <c r="P607" s="190">
        <v>1.3902260991206148</v>
      </c>
      <c r="Q607" s="4"/>
      <c r="R607" s="4">
        <v>5.36</v>
      </c>
      <c r="S607" s="187">
        <v>-1.783790163925608</v>
      </c>
      <c r="T607" s="190">
        <v>-0.2958005963794779</v>
      </c>
      <c r="U607" s="4"/>
      <c r="V607" s="4">
        <v>5.36</v>
      </c>
      <c r="W607" s="187">
        <v>0.10041349969263402</v>
      </c>
      <c r="X607" s="190">
        <v>1.6135393011259345</v>
      </c>
      <c r="Y607" s="4"/>
      <c r="Z607" s="4">
        <v>5.36</v>
      </c>
      <c r="AA607" s="187">
        <v>-2.1291158653214675</v>
      </c>
      <c r="AB607" s="190">
        <v>-1.8352386582144848</v>
      </c>
      <c r="AC607" s="4"/>
      <c r="AD607" s="4">
        <v>5.36</v>
      </c>
      <c r="AE607" s="187">
        <v>0.12657126677637898</v>
      </c>
      <c r="AF607" s="190">
        <v>1.8146520002149904</v>
      </c>
      <c r="AG607" s="4"/>
      <c r="AH607" s="4"/>
    </row>
    <row r="608" ht="12.75" hidden="1" outlineLevel="1">
      <c r="A608" s="4"/>
      <c r="B608" s="4">
        <v>5.38</v>
      </c>
      <c r="C608" s="187">
        <v>0.09794215902663539</v>
      </c>
      <c r="D608" s="190">
        <v>1.5955018337924058</v>
      </c>
      <c r="E608" s="4"/>
      <c r="F608" s="4">
        <v>5.38</v>
      </c>
      <c r="G608" s="187">
        <v>-0.010357555118737594</v>
      </c>
      <c r="H608" s="190">
        <v>0.9492739598351758</v>
      </c>
      <c r="I608" s="4"/>
      <c r="J608" s="4">
        <v>5.38</v>
      </c>
      <c r="K608" s="187">
        <v>0.15042847462944198</v>
      </c>
      <c r="L608" s="190">
        <v>2.0151070047469655</v>
      </c>
      <c r="M608" s="4"/>
      <c r="N608" s="4">
        <v>5.38</v>
      </c>
      <c r="O608" s="187">
        <v>0.06741105687324844</v>
      </c>
      <c r="P608" s="190">
        <v>1.3856657607225613</v>
      </c>
      <c r="Q608" s="4"/>
      <c r="R608" s="4">
        <v>5.38</v>
      </c>
      <c r="S608" s="187">
        <v>-1.7898432004608016</v>
      </c>
      <c r="T608" s="190">
        <v>-0.3074003933573548</v>
      </c>
      <c r="U608" s="4"/>
      <c r="V608" s="4">
        <v>5.38</v>
      </c>
      <c r="W608" s="187">
        <v>0.09993666993900052</v>
      </c>
      <c r="X608" s="190">
        <v>1.6100464456677521</v>
      </c>
      <c r="Y608" s="4"/>
      <c r="Z608" s="4">
        <v>5.38</v>
      </c>
      <c r="AA608" s="187">
        <v>-2.131189268836104</v>
      </c>
      <c r="AB608" s="190">
        <v>-1.8521509658150463</v>
      </c>
      <c r="AC608" s="4"/>
      <c r="AD608" s="4">
        <v>5.38</v>
      </c>
      <c r="AE608" s="187">
        <v>0.12631691833724612</v>
      </c>
      <c r="AF608" s="190">
        <v>1.8126044353940804</v>
      </c>
      <c r="AG608" s="4"/>
      <c r="AH608" s="4"/>
    </row>
    <row r="609" ht="12.75" hidden="1" outlineLevel="1">
      <c r="A609" s="4"/>
      <c r="B609" s="4">
        <v>5.4</v>
      </c>
      <c r="C609" s="187">
        <v>0.09748563113182596</v>
      </c>
      <c r="D609" s="190">
        <v>1.5921875170752657</v>
      </c>
      <c r="E609" s="4"/>
      <c r="F609" s="4">
        <v>5.4</v>
      </c>
      <c r="G609" s="187">
        <v>-0.011525525105015255</v>
      </c>
      <c r="H609" s="190">
        <v>0.943685529544522</v>
      </c>
      <c r="I609" s="4"/>
      <c r="J609" s="4">
        <v>5.4</v>
      </c>
      <c r="K609" s="187">
        <v>0.15017483575708268</v>
      </c>
      <c r="L609" s="190">
        <v>2.0128865966240936</v>
      </c>
      <c r="M609" s="4"/>
      <c r="N609" s="4">
        <v>5.4</v>
      </c>
      <c r="O609" s="187">
        <v>0.06670754286263114</v>
      </c>
      <c r="P609" s="190">
        <v>1.3811054223245056</v>
      </c>
      <c r="Q609" s="4"/>
      <c r="R609" s="4">
        <v>5.4</v>
      </c>
      <c r="S609" s="187">
        <v>-1.7957161788871763</v>
      </c>
      <c r="T609" s="190">
        <v>-0.31900019033523286</v>
      </c>
      <c r="U609" s="4"/>
      <c r="V609" s="4">
        <v>5.4</v>
      </c>
      <c r="W609" s="187">
        <v>0.09945901191344153</v>
      </c>
      <c r="X609" s="190">
        <v>1.606553590209569</v>
      </c>
      <c r="Y609" s="4"/>
      <c r="Z609" s="4">
        <v>5.4</v>
      </c>
      <c r="AA609" s="187">
        <v>-2.1332475811623297</v>
      </c>
      <c r="AB609" s="190">
        <v>-1.8690632734156083</v>
      </c>
      <c r="AC609" s="4"/>
      <c r="AD609" s="4">
        <v>5.4</v>
      </c>
      <c r="AE609" s="187">
        <v>0.12606293030676197</v>
      </c>
      <c r="AF609" s="190">
        <v>1.8105616167357643</v>
      </c>
      <c r="AG609" s="4"/>
      <c r="AH609" s="4"/>
    </row>
    <row r="610" ht="12.75" hidden="1" outlineLevel="1">
      <c r="A610" s="4"/>
      <c r="B610" s="4">
        <v>5.42</v>
      </c>
      <c r="C610" s="187">
        <v>0.09702878833833295</v>
      </c>
      <c r="D610" s="190">
        <v>1.5888764300685727</v>
      </c>
      <c r="E610" s="4"/>
      <c r="F610" s="4">
        <v>5.42</v>
      </c>
      <c r="G610" s="187">
        <v>-0.012697726270966991</v>
      </c>
      <c r="H610" s="190">
        <v>0.9381033479887202</v>
      </c>
      <c r="I610" s="4"/>
      <c r="J610" s="4">
        <v>5.42</v>
      </c>
      <c r="K610" s="187">
        <v>0.14992097295535012</v>
      </c>
      <c r="L610" s="190">
        <v>2.0106661885012227</v>
      </c>
      <c r="M610" s="4"/>
      <c r="N610" s="4">
        <v>5.42</v>
      </c>
      <c r="O610" s="187">
        <v>0.06600216801722047</v>
      </c>
      <c r="P610" s="190">
        <v>1.376545083926451</v>
      </c>
      <c r="Q610" s="4"/>
      <c r="R610" s="4">
        <v>5.42</v>
      </c>
      <c r="S610" s="187">
        <v>-1.8014207199727754</v>
      </c>
      <c r="T610" s="190">
        <v>-0.33059998731311174</v>
      </c>
      <c r="U610" s="4"/>
      <c r="V610" s="4">
        <v>5.42</v>
      </c>
      <c r="W610" s="187">
        <v>0.09898052237174504</v>
      </c>
      <c r="X610" s="190">
        <v>1.603060734751386</v>
      </c>
      <c r="Y610" s="4"/>
      <c r="Z610" s="4">
        <v>5.42</v>
      </c>
      <c r="AA610" s="187">
        <v>-2.1352910472153344</v>
      </c>
      <c r="AB610" s="190">
        <v>-1.8859755810161696</v>
      </c>
      <c r="AC610" s="4"/>
      <c r="AD610" s="4">
        <v>5.42</v>
      </c>
      <c r="AE610" s="187">
        <v>0.12580930176473215</v>
      </c>
      <c r="AF610" s="190">
        <v>1.808523527757062</v>
      </c>
      <c r="AG610" s="4"/>
      <c r="AH610" s="4"/>
    </row>
    <row r="611" ht="12.75" hidden="1" outlineLevel="1">
      <c r="A611" s="4"/>
      <c r="B611" s="4">
        <v>5.44</v>
      </c>
      <c r="C611" s="187">
        <v>0.09657162969288735</v>
      </c>
      <c r="D611" s="190">
        <v>1.585568570395778</v>
      </c>
      <c r="E611" s="4"/>
      <c r="F611" s="4">
        <v>5.44</v>
      </c>
      <c r="G611" s="187">
        <v>-0.013874200452571817</v>
      </c>
      <c r="H611" s="190">
        <v>0.9325274099481764</v>
      </c>
      <c r="I611" s="4"/>
      <c r="J611" s="4">
        <v>5.44</v>
      </c>
      <c r="K611" s="187">
        <v>0.14966688577892784</v>
      </c>
      <c r="L611" s="190">
        <v>2.008445780378352</v>
      </c>
      <c r="M611" s="4"/>
      <c r="N611" s="4">
        <v>5.44</v>
      </c>
      <c r="O611" s="187">
        <v>0.06529492122573455</v>
      </c>
      <c r="P611" s="190">
        <v>1.3719847455283973</v>
      </c>
      <c r="Q611" s="4"/>
      <c r="R611" s="4">
        <v>5.44</v>
      </c>
      <c r="S611" s="187">
        <v>-1.8069673180781003</v>
      </c>
      <c r="T611" s="190">
        <v>-0.342199784290991</v>
      </c>
      <c r="U611" s="4"/>
      <c r="V611" s="4">
        <v>5.44</v>
      </c>
      <c r="W611" s="187">
        <v>0.09850119804988888</v>
      </c>
      <c r="X611" s="190">
        <v>1.5995678792932029</v>
      </c>
      <c r="Y611" s="4"/>
      <c r="Z611" s="4">
        <v>5.44</v>
      </c>
      <c r="AA611" s="187">
        <v>-2.1373199057825882</v>
      </c>
      <c r="AB611" s="190">
        <v>-1.9028878886167315</v>
      </c>
      <c r="AC611" s="4"/>
      <c r="AD611" s="4">
        <v>5.44</v>
      </c>
      <c r="AE611" s="187">
        <v>0.12555603179437136</v>
      </c>
      <c r="AF611" s="190">
        <v>1.806490152051227</v>
      </c>
      <c r="AG611" s="4"/>
      <c r="AH611" s="4"/>
    </row>
    <row r="612" ht="12.75" hidden="1" outlineLevel="1">
      <c r="A612" s="4"/>
      <c r="B612" s="4">
        <v>5.46</v>
      </c>
      <c r="C612" s="187">
        <v>0.09611415423807368</v>
      </c>
      <c r="D612" s="190">
        <v>1.5822639356814754</v>
      </c>
      <c r="E612" s="4"/>
      <c r="F612" s="4">
        <v>5.46</v>
      </c>
      <c r="G612" s="187">
        <v>-0.0150549901215139</v>
      </c>
      <c r="H612" s="190">
        <v>0.9269577102061728</v>
      </c>
      <c r="I612" s="4"/>
      <c r="J612" s="4">
        <v>5.46</v>
      </c>
      <c r="K612" s="187">
        <v>0.14941257378112072</v>
      </c>
      <c r="L612" s="190">
        <v>2.0062253722554804</v>
      </c>
      <c r="M612" s="4"/>
      <c r="N612" s="4">
        <v>5.46</v>
      </c>
      <c r="O612" s="187">
        <v>0.06458579127334074</v>
      </c>
      <c r="P612" s="190">
        <v>1.3674244071303416</v>
      </c>
      <c r="Q612" s="4"/>
      <c r="R612" s="4">
        <v>5.46</v>
      </c>
      <c r="S612" s="187">
        <v>-1.8123654843915042</v>
      </c>
      <c r="T612" s="190">
        <v>-0.3537995812688675</v>
      </c>
      <c r="U612" s="4"/>
      <c r="V612" s="4">
        <v>5.46</v>
      </c>
      <c r="W612" s="187">
        <v>0.09802103566387688</v>
      </c>
      <c r="X612" s="190">
        <v>1.5960750238350205</v>
      </c>
      <c r="Y612" s="4"/>
      <c r="Z612" s="4">
        <v>5.46</v>
      </c>
      <c r="AA612" s="187">
        <v>-2.1393343897300703</v>
      </c>
      <c r="AB612" s="190">
        <v>-1.9198001962172928</v>
      </c>
      <c r="AC612" s="4"/>
      <c r="AD612" s="4">
        <v>5.46</v>
      </c>
      <c r="AE612" s="187">
        <v>0.125303119482286</v>
      </c>
      <c r="AF612" s="190">
        <v>1.8044614732873125</v>
      </c>
      <c r="AG612" s="4"/>
      <c r="AH612" s="4"/>
    </row>
    <row r="613" ht="12.75" hidden="1" outlineLevel="1">
      <c r="A613" s="4"/>
      <c r="B613" s="4">
        <v>5.48</v>
      </c>
      <c r="C613" s="187">
        <v>0.09565636101230712</v>
      </c>
      <c r="D613" s="190">
        <v>1.578962523551424</v>
      </c>
      <c r="E613" s="4"/>
      <c r="F613" s="4">
        <v>5.48</v>
      </c>
      <c r="G613" s="187">
        <v>-0.01624013839832339</v>
      </c>
      <c r="H613" s="190">
        <v>0.9213942435488771</v>
      </c>
      <c r="I613" s="4"/>
      <c r="J613" s="4">
        <v>5.48</v>
      </c>
      <c r="K613" s="187">
        <v>0.14915803651384874</v>
      </c>
      <c r="L613" s="190">
        <v>2.0040049641326116</v>
      </c>
      <c r="M613" s="4"/>
      <c r="N613" s="4">
        <v>5.48</v>
      </c>
      <c r="O613" s="187">
        <v>0.06387476684034366</v>
      </c>
      <c r="P613" s="190">
        <v>1.3628640687322886</v>
      </c>
      <c r="Q613" s="4"/>
      <c r="R613" s="4">
        <v>5.48</v>
      </c>
      <c r="S613" s="187">
        <v>-1.8176238679000851</v>
      </c>
      <c r="T613" s="190">
        <v>-0.36539937824674634</v>
      </c>
      <c r="U613" s="4"/>
      <c r="V613" s="4">
        <v>5.48</v>
      </c>
      <c r="W613" s="187">
        <v>0.0975400319095725</v>
      </c>
      <c r="X613" s="190">
        <v>1.5925821683768373</v>
      </c>
      <c r="Y613" s="4"/>
      <c r="Z613" s="4">
        <v>5.48</v>
      </c>
      <c r="AA613" s="187">
        <v>-2.1413347261998052</v>
      </c>
      <c r="AB613" s="190">
        <v>-1.9367125038178552</v>
      </c>
      <c r="AC613" s="4"/>
      <c r="AD613" s="4">
        <v>5.48</v>
      </c>
      <c r="AE613" s="187">
        <v>0.12505056391845848</v>
      </c>
      <c r="AF613" s="190">
        <v>1.8024374752097294</v>
      </c>
      <c r="AG613" s="4"/>
      <c r="AH613" s="4"/>
    </row>
    <row r="614" ht="12.75" hidden="1" outlineLevel="1">
      <c r="A614" s="4"/>
      <c r="B614" s="4">
        <v>5.5</v>
      </c>
      <c r="C614" s="187">
        <v>0.09519824904980778</v>
      </c>
      <c r="D614" s="190">
        <v>1.5756643316325298</v>
      </c>
      <c r="E614" s="4"/>
      <c r="F614" s="4">
        <v>5.5</v>
      </c>
      <c r="G614" s="187">
        <v>-0.01742968906586817</v>
      </c>
      <c r="H614" s="190">
        <v>0.9158370047653234</v>
      </c>
      <c r="I614" s="4"/>
      <c r="J614" s="4">
        <v>5.5</v>
      </c>
      <c r="K614" s="187">
        <v>0.14890327352764077</v>
      </c>
      <c r="L614" s="190">
        <v>2.00178455600974</v>
      </c>
      <c r="M614" s="4"/>
      <c r="N614" s="4">
        <v>5.5</v>
      </c>
      <c r="O614" s="187">
        <v>0.0631618365008475</v>
      </c>
      <c r="P614" s="190">
        <v>1.358303730334233</v>
      </c>
      <c r="Q614" s="4"/>
      <c r="R614" s="4">
        <v>5.5</v>
      </c>
      <c r="S614" s="187">
        <v>-1.822750358147074</v>
      </c>
      <c r="T614" s="190">
        <v>-0.3769991752246252</v>
      </c>
      <c r="U614" s="4"/>
      <c r="V614" s="4">
        <v>5.5</v>
      </c>
      <c r="W614" s="187">
        <v>0.09705818346253059</v>
      </c>
      <c r="X614" s="190">
        <v>1.589089312918655</v>
      </c>
      <c r="Y614" s="4"/>
      <c r="Z614" s="4">
        <v>5.5</v>
      </c>
      <c r="AA614" s="187">
        <v>-2.14332113679915</v>
      </c>
      <c r="AB614" s="190">
        <v>-1.9536248114184163</v>
      </c>
      <c r="AC614" s="4"/>
      <c r="AD614" s="4">
        <v>5.5</v>
      </c>
      <c r="AE614" s="187">
        <v>0.12479836419623025</v>
      </c>
      <c r="AF614" s="190">
        <v>1.8004181416378127</v>
      </c>
      <c r="AG614" s="4"/>
      <c r="AH614" s="4"/>
    </row>
    <row r="615" ht="12.75" hidden="1" outlineLevel="1">
      <c r="A615" s="4"/>
      <c r="B615" s="4">
        <v>5.52</v>
      </c>
      <c r="C615" s="187">
        <v>0.09473981738057646</v>
      </c>
      <c r="D615" s="190">
        <v>1.5723693575528441</v>
      </c>
      <c r="E615" s="4"/>
      <c r="F615" s="4">
        <v>5.52</v>
      </c>
      <c r="G615" s="187">
        <v>-0.018623686583193022</v>
      </c>
      <c r="H615" s="190">
        <v>0.910285988647431</v>
      </c>
      <c r="I615" s="4"/>
      <c r="J615" s="4">
        <v>5.52</v>
      </c>
      <c r="K615" s="187">
        <v>0.14864828437162947</v>
      </c>
      <c r="L615" s="190">
        <v>1.999564147886868</v>
      </c>
      <c r="M615" s="4"/>
      <c r="N615" s="4">
        <v>5.52</v>
      </c>
      <c r="O615" s="187">
        <v>0.062446988721402086</v>
      </c>
      <c r="P615" s="190">
        <v>1.3537433919361799</v>
      </c>
      <c r="Q615" s="4"/>
      <c r="R615" s="4">
        <v>5.52</v>
      </c>
      <c r="S615" s="187">
        <v>-1.827752172988809</v>
      </c>
      <c r="T615" s="190">
        <v>-0.38859897220250167</v>
      </c>
      <c r="U615" s="4"/>
      <c r="V615" s="4">
        <v>5.52</v>
      </c>
      <c r="W615" s="187">
        <v>0.0965754869778277</v>
      </c>
      <c r="X615" s="190">
        <v>1.5855964574604717</v>
      </c>
      <c r="Y615" s="4"/>
      <c r="Z615" s="4">
        <v>5.52</v>
      </c>
      <c r="AA615" s="187">
        <v>-2.145293837782243</v>
      </c>
      <c r="AB615" s="190">
        <v>-1.9705371190189773</v>
      </c>
      <c r="AC615" s="4"/>
      <c r="AD615" s="4">
        <v>5.52</v>
      </c>
      <c r="AE615" s="187">
        <v>0.12454651941228656</v>
      </c>
      <c r="AF615" s="190">
        <v>1.7984034564653948</v>
      </c>
      <c r="AG615" s="4"/>
      <c r="AH615" s="4"/>
    </row>
    <row r="616" ht="12.75" hidden="1" outlineLevel="1">
      <c r="A616" s="4"/>
      <c r="B616" s="4">
        <v>5.54</v>
      </c>
      <c r="C616" s="187">
        <v>0.09428106503037026</v>
      </c>
      <c r="D616" s="190">
        <v>1.5690775989415726</v>
      </c>
      <c r="E616" s="4"/>
      <c r="F616" s="4">
        <v>5.54</v>
      </c>
      <c r="G616" s="187">
        <v>-0.01982217609973269</v>
      </c>
      <c r="H616" s="190">
        <v>0.9047411899899941</v>
      </c>
      <c r="I616" s="4"/>
      <c r="J616" s="4">
        <v>5.54</v>
      </c>
      <c r="K616" s="187">
        <v>0.14839306859354529</v>
      </c>
      <c r="L616" s="190">
        <v>1.9973437397639984</v>
      </c>
      <c r="M616" s="4"/>
      <c r="N616" s="4">
        <v>5.54</v>
      </c>
      <c r="O616" s="187">
        <v>0.06173021185962124</v>
      </c>
      <c r="P616" s="190">
        <v>1.3491830535381246</v>
      </c>
      <c r="Q616" s="4"/>
      <c r="R616" s="4">
        <v>5.54</v>
      </c>
      <c r="S616" s="187">
        <v>-1.8326359339193543</v>
      </c>
      <c r="T616" s="190">
        <v>-0.400198769180381</v>
      </c>
      <c r="U616" s="4"/>
      <c r="V616" s="4">
        <v>5.54</v>
      </c>
      <c r="W616" s="187">
        <v>0.09609193908989111</v>
      </c>
      <c r="X616" s="190">
        <v>1.5821036020022887</v>
      </c>
      <c r="Y616" s="4"/>
      <c r="Z616" s="4">
        <v>5.54</v>
      </c>
      <c r="AA616" s="187">
        <v>-2.147253040223998</v>
      </c>
      <c r="AB616" s="190">
        <v>-1.9874494266195395</v>
      </c>
      <c r="AC616" s="4"/>
      <c r="AD616" s="4">
        <v>5.54</v>
      </c>
      <c r="AE616" s="187">
        <v>0.1242950286666391</v>
      </c>
      <c r="AF616" s="190">
        <v>1.796393403660372</v>
      </c>
      <c r="AG616" s="4"/>
      <c r="AH616" s="4"/>
    </row>
    <row r="617" ht="12.75" hidden="1" outlineLevel="1">
      <c r="A617" s="4"/>
      <c r="B617" s="4">
        <v>5.56</v>
      </c>
      <c r="C617" s="187">
        <v>0.0938219910206779</v>
      </c>
      <c r="D617" s="190">
        <v>1.5657890534290737</v>
      </c>
      <c r="E617" s="4"/>
      <c r="F617" s="4">
        <v>5.56</v>
      </c>
      <c r="G617" s="187">
        <v>-0.021025203469901887</v>
      </c>
      <c r="H617" s="190">
        <v>0.8992026035906754</v>
      </c>
      <c r="I617" s="4"/>
      <c r="J617" s="4">
        <v>5.56</v>
      </c>
      <c r="K617" s="187">
        <v>0.14813762573970934</v>
      </c>
      <c r="L617" s="190">
        <v>1.9951233316411259</v>
      </c>
      <c r="M617" s="4"/>
      <c r="N617" s="4">
        <v>5.56</v>
      </c>
      <c r="O617" s="187">
        <v>0.061011494162784397</v>
      </c>
      <c r="P617" s="190">
        <v>1.3446227151400696</v>
      </c>
      <c r="Q617" s="4"/>
      <c r="R617" s="4">
        <v>5.56</v>
      </c>
      <c r="S617" s="187">
        <v>-1.8374077310301118</v>
      </c>
      <c r="T617" s="190">
        <v>-0.41179856615825866</v>
      </c>
      <c r="U617" s="4"/>
      <c r="V617" s="4">
        <v>5.56</v>
      </c>
      <c r="W617" s="187">
        <v>0.09560753641232433</v>
      </c>
      <c r="X617" s="190">
        <v>1.578610746544106</v>
      </c>
      <c r="Y617" s="4"/>
      <c r="Z617" s="4">
        <v>5.56</v>
      </c>
      <c r="AA617" s="187">
        <v>-2.1491989501870234</v>
      </c>
      <c r="AB617" s="190">
        <v>-2.004361734220101</v>
      </c>
      <c r="AC617" s="4"/>
      <c r="AD617" s="4">
        <v>5.56</v>
      </c>
      <c r="AE617" s="187">
        <v>0.12404389106261027</v>
      </c>
      <c r="AF617" s="190">
        <v>1.794387967264279</v>
      </c>
      <c r="AG617" s="4"/>
      <c r="AH617" s="4"/>
    </row>
    <row r="618" ht="12.75" hidden="1" outlineLevel="1">
      <c r="A618" s="4"/>
      <c r="B618" s="4">
        <v>5.58</v>
      </c>
      <c r="C618" s="187">
        <v>0.09336259436869554</v>
      </c>
      <c r="D618" s="190">
        <v>1.562503718646861</v>
      </c>
      <c r="E618" s="4"/>
      <c r="F618" s="4">
        <v>5.58</v>
      </c>
      <c r="G618" s="187">
        <v>-0.022232815268073747</v>
      </c>
      <c r="H618" s="190">
        <v>0.8936702242500193</v>
      </c>
      <c r="I618" s="4"/>
      <c r="J618" s="4">
        <v>5.58</v>
      </c>
      <c r="K618" s="187">
        <v>0.14788195535502968</v>
      </c>
      <c r="L618" s="190">
        <v>1.9929029235182572</v>
      </c>
      <c r="M618" s="4"/>
      <c r="N618" s="4">
        <v>5.58</v>
      </c>
      <c r="O618" s="187">
        <v>0.06029082376641104</v>
      </c>
      <c r="P618" s="190">
        <v>1.340062376742015</v>
      </c>
      <c r="Q618" s="4"/>
      <c r="R618" s="4">
        <v>5.58</v>
      </c>
      <c r="S618" s="187">
        <v>-1.8420731792799598</v>
      </c>
      <c r="T618" s="190">
        <v>-0.42339836313613755</v>
      </c>
      <c r="U618" s="4"/>
      <c r="V618" s="4">
        <v>5.58</v>
      </c>
      <c r="W618" s="187">
        <v>0.09512227553773278</v>
      </c>
      <c r="X618" s="190">
        <v>1.5751178910859231</v>
      </c>
      <c r="Y618" s="4"/>
      <c r="Z618" s="4">
        <v>5.58</v>
      </c>
      <c r="AA618" s="187">
        <v>-2.151131768881797</v>
      </c>
      <c r="AB618" s="190">
        <v>-2.0212740418206625</v>
      </c>
      <c r="AC618" s="4"/>
      <c r="AD618" s="4">
        <v>5.58</v>
      </c>
      <c r="AE618" s="187">
        <v>0.12379310570681801</v>
      </c>
      <c r="AF618" s="190">
        <v>1.7923871313918742</v>
      </c>
      <c r="AG618" s="4"/>
      <c r="AH618" s="4"/>
    </row>
    <row r="619" ht="12.75" hidden="1" outlineLevel="1">
      <c r="A619" s="4"/>
      <c r="B619" s="4">
        <v>5.6</v>
      </c>
      <c r="C619" s="187">
        <v>0.09290287408729836</v>
      </c>
      <c r="D619" s="190">
        <v>1.559221592227583</v>
      </c>
      <c r="E619" s="4"/>
      <c r="F619" s="4">
        <v>5.6</v>
      </c>
      <c r="G619" s="187">
        <v>-0.023445058803966634</v>
      </c>
      <c r="H619" s="190">
        <v>0.8881440467714399</v>
      </c>
      <c r="I619" s="4"/>
      <c r="J619" s="4">
        <v>5.6</v>
      </c>
      <c r="K619" s="187">
        <v>0.14762605698299236</v>
      </c>
      <c r="L619" s="190">
        <v>1.9906825153953847</v>
      </c>
      <c r="M619" s="4"/>
      <c r="N619" s="4">
        <v>5.6</v>
      </c>
      <c r="O619" s="187">
        <v>0.059568188692813884</v>
      </c>
      <c r="P619" s="190">
        <v>1.3355020383439602</v>
      </c>
      <c r="Q619" s="4"/>
      <c r="R619" s="4">
        <v>5.6</v>
      </c>
      <c r="S619" s="187">
        <v>-1.8466374674424424</v>
      </c>
      <c r="T619" s="190">
        <v>-0.434998160114016</v>
      </c>
      <c r="U619" s="4"/>
      <c r="V619" s="4">
        <v>5.6</v>
      </c>
      <c r="W619" s="187">
        <v>0.09463615303754591</v>
      </c>
      <c r="X619" s="190">
        <v>1.5716250356277406</v>
      </c>
      <c r="Y619" s="4"/>
      <c r="Z619" s="4">
        <v>5.6</v>
      </c>
      <c r="AA619" s="187">
        <v>-2.153051692820429</v>
      </c>
      <c r="AB619" s="190">
        <v>-2.0381863494212245</v>
      </c>
      <c r="AC619" s="4"/>
      <c r="AD619" s="4">
        <v>5.6</v>
      </c>
      <c r="AE619" s="187">
        <v>0.12354267170915922</v>
      </c>
      <c r="AF619" s="190">
        <v>1.790390880230709</v>
      </c>
      <c r="AG619" s="4"/>
      <c r="AH619" s="4"/>
    </row>
    <row r="620" ht="12.75" hidden="1" outlineLevel="1">
      <c r="A620" s="4"/>
      <c r="B620" s="4">
        <v>5.62</v>
      </c>
      <c r="C620" s="187">
        <v>0.09244282918501967</v>
      </c>
      <c r="D620" s="190">
        <v>1.5559426718050504</v>
      </c>
      <c r="E620" s="4"/>
      <c r="F620" s="4">
        <v>5.62</v>
      </c>
      <c r="G620" s="187">
        <v>-0.024661982138445615</v>
      </c>
      <c r="H620" s="190">
        <v>0.8826240659612242</v>
      </c>
      <c r="I620" s="4"/>
      <c r="J620" s="4">
        <v>5.62</v>
      </c>
      <c r="K620" s="187">
        <v>0.1473699301656588</v>
      </c>
      <c r="L620" s="190">
        <v>1.988462107272515</v>
      </c>
      <c r="M620" s="4"/>
      <c r="N620" s="4">
        <v>5.62</v>
      </c>
      <c r="O620" s="187">
        <v>0.05884357684962782</v>
      </c>
      <c r="P620" s="190">
        <v>1.3309416999459067</v>
      </c>
      <c r="Q620" s="4"/>
      <c r="R620" s="4">
        <v>5.62</v>
      </c>
      <c r="S620" s="187">
        <v>-1.8511160326101874</v>
      </c>
      <c r="T620" s="190">
        <v>-0.4466258516419831</v>
      </c>
      <c r="U620" s="4"/>
      <c r="V620" s="4">
        <v>5.62</v>
      </c>
      <c r="W620" s="187">
        <v>0.09414916546183916</v>
      </c>
      <c r="X620" s="190">
        <v>1.5681321801695576</v>
      </c>
      <c r="Y620" s="4"/>
      <c r="Z620" s="4">
        <v>5.62</v>
      </c>
      <c r="AA620" s="187">
        <v>-2.154958913964327</v>
      </c>
      <c r="AB620" s="190">
        <v>-2.0550986570217855</v>
      </c>
      <c r="AC620" s="4"/>
      <c r="AD620" s="4">
        <v>5.62</v>
      </c>
      <c r="AE620" s="187">
        <v>0.12329258818279398</v>
      </c>
      <c r="AF620" s="190">
        <v>1.7883991980407223</v>
      </c>
      <c r="AG620" s="4"/>
      <c r="AH620" s="4"/>
    </row>
    <row r="621" ht="12.75" hidden="1" outlineLevel="1">
      <c r="A621" s="4"/>
      <c r="B621" s="4">
        <v>5.64</v>
      </c>
      <c r="C621" s="187">
        <v>0.09198245866602206</v>
      </c>
      <c r="D621" s="190">
        <v>1.5526669550142231</v>
      </c>
      <c r="E621" s="4"/>
      <c r="F621" s="4">
        <v>5.64</v>
      </c>
      <c r="G621" s="187">
        <v>-0.025883634099755692</v>
      </c>
      <c r="H621" s="190">
        <v>0.8771102766285275</v>
      </c>
      <c r="I621" s="4"/>
      <c r="J621" s="4">
        <v>5.64</v>
      </c>
      <c r="K621" s="187">
        <v>0.1471135744436567</v>
      </c>
      <c r="L621" s="190">
        <v>1.9862416991496434</v>
      </c>
      <c r="M621" s="4"/>
      <c r="N621" s="4">
        <v>5.64</v>
      </c>
      <c r="O621" s="187">
        <v>0.05811697602831467</v>
      </c>
      <c r="P621" s="190">
        <v>1.326381361547851</v>
      </c>
      <c r="Q621" s="4"/>
      <c r="R621" s="4">
        <v>5.64</v>
      </c>
      <c r="S621" s="187">
        <v>-1.855538435240934</v>
      </c>
      <c r="T621" s="190">
        <v>-0.4583504113251283</v>
      </c>
      <c r="U621" s="4"/>
      <c r="V621" s="4">
        <v>5.64</v>
      </c>
      <c r="W621" s="187">
        <v>0.09366130933915251</v>
      </c>
      <c r="X621" s="190">
        <v>1.5646393247113746</v>
      </c>
      <c r="Y621" s="4"/>
      <c r="Z621" s="4">
        <v>5.64</v>
      </c>
      <c r="AA621" s="187">
        <v>-2.1568536198660393</v>
      </c>
      <c r="AB621" s="190">
        <v>-2.0720109646223475</v>
      </c>
      <c r="AC621" s="4"/>
      <c r="AD621" s="4">
        <v>5.64</v>
      </c>
      <c r="AE621" s="187">
        <v>0.12304285424412953</v>
      </c>
      <c r="AF621" s="190">
        <v>1.7864120691538163</v>
      </c>
      <c r="AG621" s="4"/>
      <c r="AH621" s="4"/>
    </row>
    <row r="622" ht="12.75" hidden="1" outlineLevel="1">
      <c r="A622" s="4"/>
      <c r="B622" s="4">
        <v>5.66</v>
      </c>
      <c r="C622" s="187">
        <v>0.0915217615300723</v>
      </c>
      <c r="D622" s="190">
        <v>1.5493944394912025</v>
      </c>
      <c r="E622" s="4"/>
      <c r="F622" s="4">
        <v>5.66</v>
      </c>
      <c r="G622" s="187">
        <v>-0.02711006430019769</v>
      </c>
      <c r="H622" s="190">
        <v>0.8716026735853846</v>
      </c>
      <c r="I622" s="4"/>
      <c r="J622" s="4">
        <v>5.66</v>
      </c>
      <c r="K622" s="187">
        <v>0.14685698935617553</v>
      </c>
      <c r="L622" s="190">
        <v>1.9840212910267714</v>
      </c>
      <c r="M622" s="4"/>
      <c r="N622" s="4">
        <v>5.66</v>
      </c>
      <c r="O622" s="187">
        <v>0.05738837390264462</v>
      </c>
      <c r="P622" s="190">
        <v>1.3218210231497987</v>
      </c>
      <c r="Q622" s="4"/>
      <c r="R622" s="4">
        <v>5.66</v>
      </c>
      <c r="S622" s="187">
        <v>-1.859871244326062</v>
      </c>
      <c r="T622" s="190">
        <v>-0.47007497100827633</v>
      </c>
      <c r="U622" s="4"/>
      <c r="V622" s="4">
        <v>5.66</v>
      </c>
      <c r="W622" s="187">
        <v>0.09317258117630711</v>
      </c>
      <c r="X622" s="190">
        <v>1.561146469253192</v>
      </c>
      <c r="Y622" s="4"/>
      <c r="Z622" s="4">
        <v>5.66</v>
      </c>
      <c r="AA622" s="187">
        <v>-2.1587359938055637</v>
      </c>
      <c r="AB622" s="190">
        <v>-2.08892327222291</v>
      </c>
      <c r="AC622" s="4"/>
      <c r="AD622" s="4">
        <v>5.66</v>
      </c>
      <c r="AE622" s="187">
        <v>0.1227934690128063</v>
      </c>
      <c r="AF622" s="190">
        <v>1.7844294779734569</v>
      </c>
      <c r="AG622" s="4"/>
      <c r="AH622" s="4"/>
    </row>
    <row r="623" ht="12.75" hidden="1" outlineLevel="1">
      <c r="A623" s="4"/>
      <c r="B623" s="4">
        <v>5.68</v>
      </c>
      <c r="C623" s="187">
        <v>0.09106073677251603</v>
      </c>
      <c r="D623" s="190">
        <v>1.54612512287324</v>
      </c>
      <c r="E623" s="4"/>
      <c r="F623" s="4">
        <v>5.68</v>
      </c>
      <c r="G623" s="187">
        <v>-0.028341323153270426</v>
      </c>
      <c r="H623" s="190">
        <v>0.8661012516466923</v>
      </c>
      <c r="I623" s="4"/>
      <c r="J623" s="4">
        <v>5.68</v>
      </c>
      <c r="K623" s="187">
        <v>0.14660017444096085</v>
      </c>
      <c r="L623" s="190">
        <v>1.9818008829039022</v>
      </c>
      <c r="M623" s="4"/>
      <c r="N623" s="4">
        <v>5.68</v>
      </c>
      <c r="O623" s="187">
        <v>0.05665775802714745</v>
      </c>
      <c r="P623" s="190">
        <v>1.317260684751742</v>
      </c>
      <c r="Q623" s="4"/>
      <c r="R623" s="4">
        <v>5.68</v>
      </c>
      <c r="S623" s="187">
        <v>-1.8641184431667837</v>
      </c>
      <c r="T623" s="190">
        <v>-0.48179953069142395</v>
      </c>
      <c r="U623" s="4"/>
      <c r="V623" s="4">
        <v>5.68</v>
      </c>
      <c r="W623" s="187">
        <v>0.09268297745822185</v>
      </c>
      <c r="X623" s="190">
        <v>1.557653613795009</v>
      </c>
      <c r="Y623" s="4"/>
      <c r="Z623" s="4">
        <v>5.68</v>
      </c>
      <c r="AA623" s="187">
        <v>-2.1606062149213727</v>
      </c>
      <c r="AB623" s="190">
        <v>-2.1058355798234705</v>
      </c>
      <c r="AC623" s="4"/>
      <c r="AD623" s="4">
        <v>5.68</v>
      </c>
      <c r="AE623" s="187">
        <v>0.12254443161168016</v>
      </c>
      <c r="AF623" s="190">
        <v>1.782451408974254</v>
      </c>
      <c r="AG623" s="4"/>
      <c r="AH623" s="4"/>
    </row>
    <row r="624" ht="12.75" hidden="1" outlineLevel="1">
      <c r="A624" s="4"/>
      <c r="B624" s="4">
        <v>5.7</v>
      </c>
      <c r="C624" s="187">
        <v>0.09059938338425177</v>
      </c>
      <c r="D624" s="190">
        <v>1.542859002798743</v>
      </c>
      <c r="E624" s="4"/>
      <c r="F624" s="4">
        <v>5.7</v>
      </c>
      <c r="G624" s="187">
        <v>-0.029577461891282186</v>
      </c>
      <c r="H624" s="190">
        <v>0.8606060056302153</v>
      </c>
      <c r="I624" s="4"/>
      <c r="J624" s="4">
        <v>5.7</v>
      </c>
      <c r="K624" s="187">
        <v>0.14634312923430604</v>
      </c>
      <c r="L624" s="190">
        <v>1.9795804747810297</v>
      </c>
      <c r="M624" s="4"/>
      <c r="N624" s="4">
        <v>5.7</v>
      </c>
      <c r="O624" s="187">
        <v>0.055925115835546935</v>
      </c>
      <c r="P624" s="190">
        <v>1.3127003463536875</v>
      </c>
      <c r="Q624" s="4"/>
      <c r="R624" s="4">
        <v>5.7</v>
      </c>
      <c r="S624" s="187">
        <v>-1.8682837462058792</v>
      </c>
      <c r="T624" s="190">
        <v>-0.49352409037457196</v>
      </c>
      <c r="U624" s="4"/>
      <c r="V624" s="4">
        <v>5.7</v>
      </c>
      <c r="W624" s="187">
        <v>0.09219249464772483</v>
      </c>
      <c r="X624" s="190">
        <v>1.554160758336826</v>
      </c>
      <c r="Y624" s="4"/>
      <c r="Z624" s="4">
        <v>5.7</v>
      </c>
      <c r="AA624" s="187">
        <v>-2.1624644583364088</v>
      </c>
      <c r="AB624" s="190">
        <v>-2.122747887424033</v>
      </c>
      <c r="AC624" s="4"/>
      <c r="AD624" s="4">
        <v>5.7</v>
      </c>
      <c r="AE624" s="187">
        <v>0.12229574116680886</v>
      </c>
      <c r="AF624" s="190">
        <v>1.7804778467015647</v>
      </c>
      <c r="AG624" s="4"/>
      <c r="AH624" s="4"/>
    </row>
    <row r="625" ht="12.75" hidden="1" outlineLevel="1">
      <c r="A625" s="4"/>
      <c r="B625" s="4">
        <v>5.72</v>
      </c>
      <c r="C625" s="187">
        <v>0.0901377003517041</v>
      </c>
      <c r="D625" s="190">
        <v>1.5395960769072614</v>
      </c>
      <c r="E625" s="4"/>
      <c r="F625" s="4">
        <v>5.72</v>
      </c>
      <c r="G625" s="187">
        <v>-0.030818532583454905</v>
      </c>
      <c r="H625" s="190">
        <v>0.8551169303565925</v>
      </c>
      <c r="I625" s="4"/>
      <c r="J625" s="4">
        <v>5.72</v>
      </c>
      <c r="K625" s="187">
        <v>0.14608585327104895</v>
      </c>
      <c r="L625" s="190">
        <v>1.97736006665816</v>
      </c>
      <c r="M625" s="4"/>
      <c r="N625" s="4">
        <v>5.72</v>
      </c>
      <c r="O625" s="187">
        <v>0.055190434639159625</v>
      </c>
      <c r="P625" s="190">
        <v>1.3081400079556338</v>
      </c>
      <c r="Q625" s="4"/>
      <c r="R625" s="4">
        <v>5.72</v>
      </c>
      <c r="S625" s="187">
        <v>-1.8723706230773542</v>
      </c>
      <c r="T625" s="190">
        <v>-0.5052486500577179</v>
      </c>
      <c r="U625" s="4"/>
      <c r="V625" s="4">
        <v>5.72</v>
      </c>
      <c r="W625" s="187">
        <v>0.09170112918536621</v>
      </c>
      <c r="X625" s="190">
        <v>1.5506679028786432</v>
      </c>
      <c r="Y625" s="4"/>
      <c r="Z625" s="4">
        <v>5.72</v>
      </c>
      <c r="AA625" s="187">
        <v>-2.16431089527927</v>
      </c>
      <c r="AB625" s="190">
        <v>-2.139660195024594</v>
      </c>
      <c r="AC625" s="4"/>
      <c r="AD625" s="4">
        <v>5.72</v>
      </c>
      <c r="AE625" s="187">
        <v>0.12204739680743559</v>
      </c>
      <c r="AF625" s="190">
        <v>1.7785087757710891</v>
      </c>
      <c r="AG625" s="4"/>
      <c r="AH625" s="4"/>
    </row>
    <row r="626" ht="12.75" hidden="1" outlineLevel="1">
      <c r="A626" s="4"/>
      <c r="B626" s="4">
        <v>5.74</v>
      </c>
      <c r="C626" s="187">
        <v>0.08967568665679648</v>
      </c>
      <c r="D626" s="190">
        <v>1.5363363428394938</v>
      </c>
      <c r="E626" s="4"/>
      <c r="F626" s="4">
        <v>5.74</v>
      </c>
      <c r="G626" s="187">
        <v>-0.03206458815454005</v>
      </c>
      <c r="H626" s="190">
        <v>0.8496340206493241</v>
      </c>
      <c r="I626" s="4"/>
      <c r="J626" s="4">
        <v>5.74</v>
      </c>
      <c r="K626" s="187">
        <v>0.1458283460845633</v>
      </c>
      <c r="L626" s="190">
        <v>1.9751396585352896</v>
      </c>
      <c r="M626" s="4"/>
      <c r="N626" s="4">
        <v>5.74</v>
      </c>
      <c r="O626" s="187">
        <v>0.05445370162527219</v>
      </c>
      <c r="P626" s="190">
        <v>1.3035796695575785</v>
      </c>
      <c r="Q626" s="4"/>
      <c r="R626" s="4">
        <v>5.74</v>
      </c>
      <c r="S626" s="187">
        <v>-1.8763823200010705</v>
      </c>
      <c r="T626" s="190">
        <v>-0.516973209740866</v>
      </c>
      <c r="U626" s="4"/>
      <c r="V626" s="4">
        <v>5.74</v>
      </c>
      <c r="W626" s="187">
        <v>0.09120887748922613</v>
      </c>
      <c r="X626" s="190">
        <v>1.5471750474204604</v>
      </c>
      <c r="Y626" s="4"/>
      <c r="Z626" s="4">
        <v>5.74</v>
      </c>
      <c r="AA626" s="187">
        <v>-2.166145693200817</v>
      </c>
      <c r="AB626" s="190">
        <v>-2.156572502625156</v>
      </c>
      <c r="AC626" s="4"/>
      <c r="AD626" s="4">
        <v>5.74</v>
      </c>
      <c r="AE626" s="187">
        <v>0.12179939766597392</v>
      </c>
      <c r="AF626" s="190">
        <v>1.776544180868466</v>
      </c>
      <c r="AG626" s="4"/>
      <c r="AH626" s="4"/>
    </row>
    <row r="627" ht="12.75" hidden="1" outlineLevel="1">
      <c r="A627" s="4"/>
      <c r="B627" s="4">
        <v>5.76</v>
      </c>
      <c r="C627" s="187">
        <v>0.08921334127692626</v>
      </c>
      <c r="D627" s="190">
        <v>1.5330797982372868</v>
      </c>
      <c r="E627" s="4"/>
      <c r="F627" s="4">
        <v>5.76</v>
      </c>
      <c r="G627" s="187">
        <v>-0.033315682403954994</v>
      </c>
      <c r="H627" s="190">
        <v>0.8441572713347816</v>
      </c>
      <c r="I627" s="4"/>
      <c r="J627" s="4">
        <v>5.76</v>
      </c>
      <c r="K627" s="187">
        <v>0.1455706072067533</v>
      </c>
      <c r="L627" s="190">
        <v>1.9729192504124176</v>
      </c>
      <c r="M627" s="4"/>
      <c r="N627" s="4">
        <v>5.76</v>
      </c>
      <c r="O627" s="187">
        <v>0.05371490385549138</v>
      </c>
      <c r="P627" s="190">
        <v>1.2990193311595246</v>
      </c>
      <c r="Q627" s="4"/>
      <c r="R627" s="4">
        <v>5.76</v>
      </c>
      <c r="S627" s="187">
        <v>-1.8803218788685614</v>
      </c>
      <c r="T627" s="190">
        <v>-0.5286977694240116</v>
      </c>
      <c r="U627" s="4"/>
      <c r="V627" s="4">
        <v>5.76</v>
      </c>
      <c r="W627" s="187">
        <v>0.09071573595472215</v>
      </c>
      <c r="X627" s="190">
        <v>1.5436821919622776</v>
      </c>
      <c r="Y627" s="4"/>
      <c r="Z627" s="4">
        <v>5.76</v>
      </c>
      <c r="AA627" s="187">
        <v>-2.167969015886402</v>
      </c>
      <c r="AB627" s="190">
        <v>-2.173484810225717</v>
      </c>
      <c r="AC627" s="4"/>
      <c r="AD627" s="4">
        <v>5.76</v>
      </c>
      <c r="AE627" s="187">
        <v>0.12155174287799397</v>
      </c>
      <c r="AF627" s="190">
        <v>1.7745840467488843</v>
      </c>
      <c r="AG627" s="4"/>
      <c r="AH627" s="4"/>
    </row>
    <row r="628" ht="12.75" hidden="1" outlineLevel="1">
      <c r="A628" s="4"/>
      <c r="B628" s="4">
        <v>5.78</v>
      </c>
      <c r="C628" s="187">
        <v>0.08875066318493552</v>
      </c>
      <c r="D628" s="190">
        <v>1.5298264407436333</v>
      </c>
      <c r="E628" s="4"/>
      <c r="F628" s="4">
        <v>5.78</v>
      </c>
      <c r="G628" s="187">
        <v>-0.03457187002546658</v>
      </c>
      <c r="H628" s="190">
        <v>0.8386866772422017</v>
      </c>
      <c r="I628" s="4"/>
      <c r="J628" s="4">
        <v>5.78</v>
      </c>
      <c r="K628" s="187">
        <v>0.14531263616804835</v>
      </c>
      <c r="L628" s="190">
        <v>1.9706988422895475</v>
      </c>
      <c r="M628" s="4"/>
      <c r="N628" s="4">
        <v>5.78</v>
      </c>
      <c r="O628" s="187">
        <v>0.05297402826406361</v>
      </c>
      <c r="P628" s="190">
        <v>1.2944589927614694</v>
      </c>
      <c r="Q628" s="4"/>
      <c r="R628" s="4">
        <v>5.78</v>
      </c>
      <c r="S628" s="187">
        <v>-1.8841921543145124</v>
      </c>
      <c r="T628" s="190">
        <v>-0.5404223291071596</v>
      </c>
      <c r="U628" s="4"/>
      <c r="V628" s="4">
        <v>5.78</v>
      </c>
      <c r="W628" s="187">
        <v>0.09022170095441462</v>
      </c>
      <c r="X628" s="190">
        <v>1.5401893365040948</v>
      </c>
      <c r="Y628" s="4"/>
      <c r="Z628" s="4">
        <v>5.78</v>
      </c>
      <c r="AA628" s="187">
        <v>-2.169781023563919</v>
      </c>
      <c r="AB628" s="190">
        <v>-2.1903971178262793</v>
      </c>
      <c r="AC628" s="4"/>
      <c r="AD628" s="4">
        <v>5.78</v>
      </c>
      <c r="AE628" s="187">
        <v>0.12130443158220516</v>
      </c>
      <c r="AF628" s="190">
        <v>1.7726283582366789</v>
      </c>
      <c r="AG628" s="4"/>
      <c r="AH628" s="4"/>
    </row>
    <row r="629" ht="12.75" hidden="1" outlineLevel="1">
      <c r="A629" s="4"/>
      <c r="B629" s="4">
        <v>5.8</v>
      </c>
      <c r="C629" s="187">
        <v>0.08828765134908623</v>
      </c>
      <c r="D629" s="190">
        <v>1.5265762680026762</v>
      </c>
      <c r="E629" s="4"/>
      <c r="F629" s="4">
        <v>5.8</v>
      </c>
      <c r="G629" s="187">
        <v>-0.035833206627436276</v>
      </c>
      <c r="H629" s="190">
        <v>0.8332222332036822</v>
      </c>
      <c r="I629" s="4"/>
      <c r="J629" s="4">
        <v>5.8</v>
      </c>
      <c r="K629" s="187">
        <v>0.14505443249739436</v>
      </c>
      <c r="L629" s="190">
        <v>1.9684784341666755</v>
      </c>
      <c r="M629" s="4"/>
      <c r="N629" s="4">
        <v>5.8</v>
      </c>
      <c r="O629" s="187">
        <v>0.052231061656168754</v>
      </c>
      <c r="P629" s="190">
        <v>1.289898654363415</v>
      </c>
      <c r="Q629" s="4"/>
      <c r="R629" s="4">
        <v>5.8</v>
      </c>
      <c r="S629" s="187">
        <v>-1.887995829025256</v>
      </c>
      <c r="T629" s="190">
        <v>-0.5521468887903072</v>
      </c>
      <c r="U629" s="4"/>
      <c r="V629" s="4">
        <v>5.8</v>
      </c>
      <c r="W629" s="187">
        <v>0.08972676883780895</v>
      </c>
      <c r="X629" s="190">
        <v>1.5366964810459118</v>
      </c>
      <c r="Y629" s="4"/>
      <c r="Z629" s="4">
        <v>5.8</v>
      </c>
      <c r="AA629" s="187">
        <v>-2.171581873007864</v>
      </c>
      <c r="AB629" s="190">
        <v>-2.2073094254268404</v>
      </c>
      <c r="AC629" s="4"/>
      <c r="AD629" s="4">
        <v>5.8</v>
      </c>
      <c r="AE629" s="187">
        <v>0.12105746292044306</v>
      </c>
      <c r="AF629" s="190">
        <v>1.7706771002249457</v>
      </c>
      <c r="AG629" s="4"/>
      <c r="AH629" s="4"/>
    </row>
    <row r="630" ht="12.75" hidden="1" outlineLevel="1">
      <c r="A630" s="4"/>
      <c r="B630" s="4">
        <v>5.82</v>
      </c>
      <c r="C630" s="187">
        <v>0.08782430473303049</v>
      </c>
      <c r="D630" s="190">
        <v>1.5233292776596987</v>
      </c>
      <c r="E630" s="4"/>
      <c r="F630" s="4">
        <v>5.82</v>
      </c>
      <c r="G630" s="187">
        <v>-0.03709974875364552</v>
      </c>
      <c r="H630" s="190">
        <v>0.8277639340541879</v>
      </c>
      <c r="I630" s="4"/>
      <c r="J630" s="4">
        <v>5.82</v>
      </c>
      <c r="K630" s="187">
        <v>0.14479599572225044</v>
      </c>
      <c r="L630" s="190">
        <v>1.9662580260438047</v>
      </c>
      <c r="M630" s="4"/>
      <c r="N630" s="4">
        <v>5.82</v>
      </c>
      <c r="O630" s="187">
        <v>0.05148599070618198</v>
      </c>
      <c r="P630" s="190">
        <v>1.2853383159653606</v>
      </c>
      <c r="Q630" s="4"/>
      <c r="R630" s="4">
        <v>5.82</v>
      </c>
      <c r="S630" s="187">
        <v>-1.8917354274996696</v>
      </c>
      <c r="T630" s="190">
        <v>-0.5638714484734553</v>
      </c>
      <c r="U630" s="4"/>
      <c r="V630" s="4">
        <v>5.82</v>
      </c>
      <c r="W630" s="187">
        <v>0.0892309359311565</v>
      </c>
      <c r="X630" s="190">
        <v>1.5332036255877288</v>
      </c>
      <c r="Y630" s="4"/>
      <c r="Z630" s="4">
        <v>5.82</v>
      </c>
      <c r="AA630" s="187">
        <v>-2.173371717639574</v>
      </c>
      <c r="AB630" s="190">
        <v>-2.2242217330274023</v>
      </c>
      <c r="AC630" s="4"/>
      <c r="AD630" s="4">
        <v>5.82</v>
      </c>
      <c r="AE630" s="187">
        <v>0.12081083603765341</v>
      </c>
      <c r="AF630" s="190">
        <v>1.7687302576751527</v>
      </c>
      <c r="AG630" s="4"/>
      <c r="AH630" s="4"/>
    </row>
    <row r="631" ht="12.75" hidden="1" outlineLevel="1">
      <c r="A631" s="4"/>
      <c r="B631" s="4">
        <v>5.84</v>
      </c>
      <c r="C631" s="187">
        <v>0.08736062229578567</v>
      </c>
      <c r="D631" s="190">
        <v>1.520085467361137</v>
      </c>
      <c r="E631" s="4"/>
      <c r="F631" s="4">
        <v>5.84</v>
      </c>
      <c r="G631" s="187">
        <v>-0.0383715539047248</v>
      </c>
      <c r="H631" s="190">
        <v>0.822311774631545</v>
      </c>
      <c r="I631" s="4"/>
      <c r="J631" s="4">
        <v>5.84</v>
      </c>
      <c r="K631" s="187">
        <v>0.14453732536857977</v>
      </c>
      <c r="L631" s="190">
        <v>1.9640376179209338</v>
      </c>
      <c r="M631" s="4"/>
      <c r="N631" s="4">
        <v>5.84</v>
      </c>
      <c r="O631" s="187">
        <v>0.05073880195591007</v>
      </c>
      <c r="P631" s="190">
        <v>1.280777977567306</v>
      </c>
      <c r="Q631" s="4"/>
      <c r="R631" s="4">
        <v>5.84</v>
      </c>
      <c r="S631" s="187">
        <v>-1.895413328447619</v>
      </c>
      <c r="T631" s="190">
        <v>-0.5755960081566028</v>
      </c>
      <c r="U631" s="4"/>
      <c r="V631" s="4">
        <v>5.84</v>
      </c>
      <c r="W631" s="187">
        <v>0.0887341985372534</v>
      </c>
      <c r="X631" s="190">
        <v>1.5297107701295458</v>
      </c>
      <c r="Y631" s="4"/>
      <c r="Z631" s="4">
        <v>5.84</v>
      </c>
      <c r="AA631" s="187">
        <v>-2.1751507076238257</v>
      </c>
      <c r="AB631" s="190">
        <v>-2.2411340406279634</v>
      </c>
      <c r="AC631" s="4"/>
      <c r="AD631" s="4">
        <v>5.84</v>
      </c>
      <c r="AE631" s="187">
        <v>0.12056455008187816</v>
      </c>
      <c r="AF631" s="190">
        <v>1.766787815616748</v>
      </c>
      <c r="AG631" s="4"/>
      <c r="AH631" s="4"/>
    </row>
    <row r="632" ht="12.75" hidden="1" outlineLevel="1">
      <c r="A632" s="4"/>
      <c r="B632" s="4">
        <v>5.86</v>
      </c>
      <c r="C632" s="187">
        <v>0.08689660299170465</v>
      </c>
      <c r="D632" s="190">
        <v>1.5168448347545718</v>
      </c>
      <c r="E632" s="4"/>
      <c r="F632" s="4">
        <v>5.86</v>
      </c>
      <c r="G632" s="187">
        <v>-0.039648680560205096</v>
      </c>
      <c r="H632" s="190">
        <v>0.8168657497764432</v>
      </c>
      <c r="I632" s="4"/>
      <c r="J632" s="4">
        <v>5.86</v>
      </c>
      <c r="K632" s="187">
        <v>0.1442784209608443</v>
      </c>
      <c r="L632" s="190">
        <v>1.9618172097980637</v>
      </c>
      <c r="M632" s="4"/>
      <c r="N632" s="4">
        <v>5.86</v>
      </c>
      <c r="O632" s="187">
        <v>0.04998948181279328</v>
      </c>
      <c r="P632" s="190">
        <v>1.2762176391692515</v>
      </c>
      <c r="Q632" s="4"/>
      <c r="R632" s="4">
        <v>5.86</v>
      </c>
      <c r="S632" s="187">
        <v>-1.899031775985666</v>
      </c>
      <c r="T632" s="190">
        <v>-0.5873205678397505</v>
      </c>
      <c r="U632" s="4"/>
      <c r="V632" s="4">
        <v>5.86</v>
      </c>
      <c r="W632" s="187">
        <v>0.08823655293523602</v>
      </c>
      <c r="X632" s="190">
        <v>1.5262179146713633</v>
      </c>
      <c r="Y632" s="4"/>
      <c r="Z632" s="4">
        <v>5.86</v>
      </c>
      <c r="AA632" s="187">
        <v>-2.176918989961942</v>
      </c>
      <c r="AB632" s="190">
        <v>-2.258046348228526</v>
      </c>
      <c r="AC632" s="4"/>
      <c r="AD632" s="4">
        <v>5.86</v>
      </c>
      <c r="AE632" s="187">
        <v>0.12031860420424034</v>
      </c>
      <c r="AF632" s="190">
        <v>1.764849759146784</v>
      </c>
      <c r="AG632" s="4"/>
      <c r="AH632" s="4"/>
    </row>
    <row r="633" ht="12.75" hidden="1" outlineLevel="1">
      <c r="A633" s="4"/>
      <c r="B633" s="4">
        <v>5.88</v>
      </c>
      <c r="C633" s="187">
        <v>0.08643224577044828</v>
      </c>
      <c r="D633" s="190">
        <v>1.5136073774887273</v>
      </c>
      <c r="E633" s="4"/>
      <c r="F633" s="4">
        <v>5.88</v>
      </c>
      <c r="G633" s="187">
        <v>-0.04093118820121555</v>
      </c>
      <c r="H633" s="190">
        <v>0.8114258543324304</v>
      </c>
      <c r="I633" s="4"/>
      <c r="J633" s="4">
        <v>5.88</v>
      </c>
      <c r="K633" s="187">
        <v>0.14401928202199898</v>
      </c>
      <c r="L633" s="190">
        <v>1.9595968016751937</v>
      </c>
      <c r="M633" s="4"/>
      <c r="N633" s="4">
        <v>5.88</v>
      </c>
      <c r="O633" s="187">
        <v>0.04923801654807858</v>
      </c>
      <c r="P633" s="190">
        <v>1.2716573007711958</v>
      </c>
      <c r="Q633" s="4"/>
      <c r="R633" s="4">
        <v>5.88</v>
      </c>
      <c r="S633" s="187">
        <v>-1.9025928897682336</v>
      </c>
      <c r="T633" s="190">
        <v>-0.5990451275228968</v>
      </c>
      <c r="U633" s="4"/>
      <c r="V633" s="4">
        <v>5.88</v>
      </c>
      <c r="W633" s="187">
        <v>0.08773799538037608</v>
      </c>
      <c r="X633" s="190">
        <v>1.5227250592131805</v>
      </c>
      <c r="Y633" s="4"/>
      <c r="Z633" s="4">
        <v>5.88</v>
      </c>
      <c r="AA633" s="187">
        <v>-2.1786767085815586</v>
      </c>
      <c r="AB633" s="190">
        <v>-2.2749586558290873</v>
      </c>
      <c r="AC633" s="4"/>
      <c r="AD633" s="4">
        <v>5.88</v>
      </c>
      <c r="AE633" s="187">
        <v>0.12007299755892964</v>
      </c>
      <c r="AF633" s="190">
        <v>1.762916073429529</v>
      </c>
      <c r="AG633" s="4"/>
      <c r="AH633" s="4"/>
    </row>
    <row r="634" ht="12.75" hidden="1" outlineLevel="1">
      <c r="A634" s="4"/>
      <c r="B634" s="4">
        <v>5.9</v>
      </c>
      <c r="C634" s="187">
        <v>0.08596754957695762</v>
      </c>
      <c r="D634" s="190">
        <v>1.5103730932134751</v>
      </c>
      <c r="E634" s="4"/>
      <c r="F634" s="4">
        <v>5.9</v>
      </c>
      <c r="G634" s="187">
        <v>-0.042219137333846635</v>
      </c>
      <c r="H634" s="190">
        <v>0.8059920831459213</v>
      </c>
      <c r="I634" s="4"/>
      <c r="J634" s="4">
        <v>5.9</v>
      </c>
      <c r="K634" s="187">
        <v>0.1437599080734835</v>
      </c>
      <c r="L634" s="190">
        <v>1.9573763935523205</v>
      </c>
      <c r="M634" s="4"/>
      <c r="N634" s="4">
        <v>5.9</v>
      </c>
      <c r="O634" s="187">
        <v>0.048484392294962264</v>
      </c>
      <c r="P634" s="190">
        <v>1.2670969623731434</v>
      </c>
      <c r="Q634" s="4"/>
      <c r="R634" s="4">
        <v>5.9</v>
      </c>
      <c r="S634" s="187">
        <v>-1.9060986741741603</v>
      </c>
      <c r="T634" s="190">
        <v>-0.6107696872060441</v>
      </c>
      <c r="U634" s="4"/>
      <c r="V634" s="4">
        <v>5.9</v>
      </c>
      <c r="W634" s="187">
        <v>0.08723852210387162</v>
      </c>
      <c r="X634" s="190">
        <v>1.5192322037549977</v>
      </c>
      <c r="Y634" s="4"/>
      <c r="Z634" s="4">
        <v>5.9</v>
      </c>
      <c r="AA634" s="187">
        <v>-2.1804240044232026</v>
      </c>
      <c r="AB634" s="190">
        <v>-2.2918709634296492</v>
      </c>
      <c r="AC634" s="4"/>
      <c r="AD634" s="4">
        <v>5.9</v>
      </c>
      <c r="AE634" s="187">
        <v>0.11982772930318752</v>
      </c>
      <c r="AF634" s="190">
        <v>1.760986743696092</v>
      </c>
      <c r="AG634" s="4"/>
      <c r="AH634" s="4"/>
    </row>
    <row r="635" ht="12.75" hidden="1" outlineLevel="1">
      <c r="A635" s="4"/>
      <c r="B635" s="4">
        <v>5.92</v>
      </c>
      <c r="C635" s="187">
        <v>0.08550251335142489</v>
      </c>
      <c r="D635" s="190">
        <v>1.5071419795798287</v>
      </c>
      <c r="E635" s="4"/>
      <c r="F635" s="4">
        <v>5.92</v>
      </c>
      <c r="G635" s="187">
        <v>-0.043512589513210354</v>
      </c>
      <c r="H635" s="190">
        <v>0.8005644310661846</v>
      </c>
      <c r="I635" s="4"/>
      <c r="J635" s="4">
        <v>5.92</v>
      </c>
      <c r="K635" s="187">
        <v>0.1435002986352183</v>
      </c>
      <c r="L635" s="190">
        <v>1.9551559854294513</v>
      </c>
      <c r="M635" s="4"/>
      <c r="N635" s="4">
        <v>5.92</v>
      </c>
      <c r="O635" s="187">
        <v>0.047728595046696576</v>
      </c>
      <c r="P635" s="190">
        <v>1.2625366239750875</v>
      </c>
      <c r="Q635" s="4"/>
      <c r="R635" s="4">
        <v>5.92</v>
      </c>
      <c r="S635" s="187">
        <v>-1.9095510266530509</v>
      </c>
      <c r="T635" s="190">
        <v>-0.6224942468891916</v>
      </c>
      <c r="U635" s="4"/>
      <c r="V635" s="4">
        <v>5.92</v>
      </c>
      <c r="W635" s="187">
        <v>0.0867381293126368</v>
      </c>
      <c r="X635" s="190">
        <v>1.5157393482968147</v>
      </c>
      <c r="Y635" s="4"/>
      <c r="Z635" s="4">
        <v>5.92</v>
      </c>
      <c r="AA635" s="187">
        <v>-2.182161015523807</v>
      </c>
      <c r="AB635" s="190">
        <v>-2.3087832710302107</v>
      </c>
      <c r="AC635" s="4"/>
      <c r="AD635" s="4">
        <v>5.92</v>
      </c>
      <c r="AE635" s="187">
        <v>0.11958279859729326</v>
      </c>
      <c r="AF635" s="190">
        <v>1.7590617552440488</v>
      </c>
      <c r="AG635" s="4"/>
      <c r="AH635" s="4"/>
    </row>
    <row r="636" ht="12.75" hidden="1" outlineLevel="1">
      <c r="A636" s="4"/>
      <c r="B636" s="4">
        <v>5.94</v>
      </c>
      <c r="C636" s="187">
        <v>0.08503713602926588</v>
      </c>
      <c r="D636" s="190">
        <v>1.503914034239951</v>
      </c>
      <c r="E636" s="4"/>
      <c r="F636" s="4">
        <v>5.94</v>
      </c>
      <c r="G636" s="187">
        <v>-0.044811607368213324</v>
      </c>
      <c r="H636" s="190">
        <v>0.7951428929453483</v>
      </c>
      <c r="I636" s="4"/>
      <c r="J636" s="4">
        <v>5.94</v>
      </c>
      <c r="K636" s="187">
        <v>0.1432404532255951</v>
      </c>
      <c r="L636" s="190">
        <v>1.95293557730658</v>
      </c>
      <c r="M636" s="4"/>
      <c r="N636" s="4">
        <v>5.94</v>
      </c>
      <c r="O636" s="187">
        <v>0.04697061065466923</v>
      </c>
      <c r="P636" s="190">
        <v>1.2579762855770331</v>
      </c>
      <c r="Q636" s="4"/>
      <c r="R636" s="4">
        <v>5.94</v>
      </c>
      <c r="S636" s="187">
        <v>-1.9129517453225373</v>
      </c>
      <c r="T636" s="190">
        <v>-0.6342188065723393</v>
      </c>
      <c r="U636" s="4"/>
      <c r="V636" s="4">
        <v>5.94</v>
      </c>
      <c r="W636" s="187">
        <v>0.0862368131890896</v>
      </c>
      <c r="X636" s="190">
        <v>1.512246492838632</v>
      </c>
      <c r="Y636" s="4"/>
      <c r="Z636" s="4">
        <v>5.94</v>
      </c>
      <c r="AA636" s="187">
        <v>-2.1838878770973045</v>
      </c>
      <c r="AB636" s="190">
        <v>-2.3256955786307723</v>
      </c>
      <c r="AC636" s="4"/>
      <c r="AD636" s="4">
        <v>5.94</v>
      </c>
      <c r="AE636" s="187">
        <v>0.11933820460454925</v>
      </c>
      <c r="AF636" s="190">
        <v>1.757141093437063</v>
      </c>
      <c r="AG636" s="4"/>
      <c r="AH636" s="4"/>
    </row>
    <row r="637" ht="12.75" hidden="1" outlineLevel="1">
      <c r="A637" s="4"/>
      <c r="B637" s="4">
        <v>5.96</v>
      </c>
      <c r="C637" s="187">
        <v>0.08457141654109113</v>
      </c>
      <c r="D637" s="190">
        <v>1.50068925484715</v>
      </c>
      <c r="E637" s="4"/>
      <c r="F637" s="4">
        <v>5.96</v>
      </c>
      <c r="G637" s="187">
        <v>-0.046116254627072584</v>
      </c>
      <c r="H637" s="190">
        <v>0.7897274636384035</v>
      </c>
      <c r="I637" s="4"/>
      <c r="J637" s="4">
        <v>5.96</v>
      </c>
      <c r="K637" s="187">
        <v>0.14298037136147235</v>
      </c>
      <c r="L637" s="190">
        <v>1.9507151691837084</v>
      </c>
      <c r="M637" s="4"/>
      <c r="N637" s="4">
        <v>5.96</v>
      </c>
      <c r="O637" s="187">
        <v>0.04621042482644433</v>
      </c>
      <c r="P637" s="190">
        <v>1.2534159471789788</v>
      </c>
      <c r="Q637" s="4"/>
      <c r="R637" s="4">
        <v>5.96</v>
      </c>
      <c r="S637" s="187">
        <v>-1.9163025358962067</v>
      </c>
      <c r="T637" s="190">
        <v>-0.6459433662554857</v>
      </c>
      <c r="U637" s="4"/>
      <c r="V637" s="4">
        <v>5.96</v>
      </c>
      <c r="W637" s="187">
        <v>0.08573933894956043</v>
      </c>
      <c r="X637" s="190">
        <v>1.50878677346158</v>
      </c>
      <c r="Y637" s="4"/>
      <c r="Z637" s="4">
        <v>5.96</v>
      </c>
      <c r="AA637" s="187">
        <v>-2.1856047216124086</v>
      </c>
      <c r="AB637" s="190">
        <v>-2.3426078862313338</v>
      </c>
      <c r="AC637" s="4"/>
      <c r="AD637" s="4">
        <v>5.96</v>
      </c>
      <c r="AE637" s="187">
        <v>0.11909394649126726</v>
      </c>
      <c r="AF637" s="190">
        <v>1.7552247437045214</v>
      </c>
      <c r="AG637" s="4"/>
      <c r="AH637" s="4"/>
    </row>
    <row r="638" ht="12.75" hidden="1" outlineLevel="1">
      <c r="A638" s="4"/>
      <c r="B638" s="4">
        <v>5.98</v>
      </c>
      <c r="C638" s="187">
        <v>0.08410535381267525</v>
      </c>
      <c r="D638" s="190">
        <v>1.497467639055875</v>
      </c>
      <c r="E638" s="4"/>
      <c r="F638" s="4">
        <v>5.98</v>
      </c>
      <c r="G638" s="187">
        <v>-0.047426596143607</v>
      </c>
      <c r="H638" s="190">
        <v>0.7843181380031885</v>
      </c>
      <c r="I638" s="4"/>
      <c r="J638" s="4">
        <v>5.98</v>
      </c>
      <c r="K638" s="187">
        <v>0.14272005255816844</v>
      </c>
      <c r="L638" s="190">
        <v>1.9484947610608383</v>
      </c>
      <c r="M638" s="4"/>
      <c r="N638" s="4">
        <v>5.98</v>
      </c>
      <c r="O638" s="187">
        <v>0.04544802312377105</v>
      </c>
      <c r="P638" s="190">
        <v>1.2488556087809237</v>
      </c>
      <c r="Q638" s="4"/>
      <c r="R638" s="4">
        <v>5.98</v>
      </c>
      <c r="S638" s="187">
        <v>-1.9195990379857997</v>
      </c>
      <c r="T638" s="190">
        <v>-0.6576465427343798</v>
      </c>
      <c r="U638" s="4"/>
      <c r="V638" s="4">
        <v>5.98</v>
      </c>
      <c r="W638" s="187">
        <v>0.0852485416917026</v>
      </c>
      <c r="X638" s="190">
        <v>1.5053796977079177</v>
      </c>
      <c r="Y638" s="4"/>
      <c r="Z638" s="4">
        <v>5.98</v>
      </c>
      <c r="AA638" s="187">
        <v>-2.1873116788677116</v>
      </c>
      <c r="AB638" s="190">
        <v>-2.359520193831896</v>
      </c>
      <c r="AC638" s="4"/>
      <c r="AD638" s="4">
        <v>5.98</v>
      </c>
      <c r="AE638" s="187">
        <v>0.1188500234267531</v>
      </c>
      <c r="AF638" s="190">
        <v>1.7533126915411603</v>
      </c>
      <c r="AG638" s="4"/>
      <c r="AH638" s="4"/>
    </row>
    <row r="639" ht="12.75" hidden="1" outlineLevel="1">
      <c r="A639" s="4"/>
      <c r="B639" s="4">
        <v>6</v>
      </c>
      <c r="C639" s="187">
        <v>0.08363894676492856</v>
      </c>
      <c r="D639" s="190">
        <v>1.4942491845217156</v>
      </c>
      <c r="E639" s="4"/>
      <c r="F639" s="4">
        <v>6</v>
      </c>
      <c r="G639" s="187">
        <v>-0.04874269792431818</v>
      </c>
      <c r="H639" s="190">
        <v>0.778914910900409</v>
      </c>
      <c r="I639" s="4"/>
      <c r="J639" s="4">
        <v>6</v>
      </c>
      <c r="K639" s="187">
        <v>0.14245949632945365</v>
      </c>
      <c r="L639" s="190">
        <v>1.9462743529379671</v>
      </c>
      <c r="M639" s="4"/>
      <c r="N639" s="4">
        <v>6</v>
      </c>
      <c r="O639" s="187">
        <v>0.044683390960557956</v>
      </c>
      <c r="P639" s="190">
        <v>1.24429527038287</v>
      </c>
      <c r="Q639" s="4"/>
      <c r="R639" s="4">
        <v>6</v>
      </c>
      <c r="S639" s="187">
        <v>-1.9228410841260521</v>
      </c>
      <c r="T639" s="190">
        <v>-0.6693212347531305</v>
      </c>
      <c r="U639" s="4"/>
      <c r="V639" s="4">
        <v>6</v>
      </c>
      <c r="W639" s="187">
        <v>0.0847568549837241</v>
      </c>
      <c r="X639" s="190">
        <v>1.5019726219542555</v>
      </c>
      <c r="Y639" s="4"/>
      <c r="Z639" s="4">
        <v>6</v>
      </c>
      <c r="AA639" s="187">
        <v>-2.1890088760642064</v>
      </c>
      <c r="AB639" s="190">
        <v>-2.376432501432457</v>
      </c>
      <c r="AC639" s="4"/>
      <c r="AD639" s="4">
        <v>6</v>
      </c>
      <c r="AE639" s="187">
        <v>0.11860643458329401</v>
      </c>
      <c r="AF639" s="190">
        <v>1.7514049225067</v>
      </c>
      <c r="AG639" s="4"/>
      <c r="AH639" s="4"/>
    </row>
    <row r="640" ht="12.75" hidden="1" outlineLevel="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row>
    <row r="641" ht="12.75" hidden="1" outlineLevel="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row>
    <row r="642" ht="12.75" hidden="1" outlineLevel="1">
      <c r="A642" s="4"/>
      <c r="B642" t="s" s="16">
        <v>517</v>
      </c>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row>
    <row r="643" ht="12.75" hidden="1" outlineLevel="1">
      <c r="A643" s="4"/>
      <c r="B643" t="s" s="16">
        <v>574</v>
      </c>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row>
    <row r="644" ht="12.75" hidden="1" outlineLevel="1">
      <c r="A644" s="4"/>
      <c r="B644" s="187">
        <f>$C$166</f>
        <v>0.211735490955125</v>
      </c>
      <c r="C644" s="298">
        <f>D$28</f>
        <v>9</v>
      </c>
      <c r="D644" s="298">
        <f>E$28</f>
        <v>9.5</v>
      </c>
      <c r="E644" s="298">
        <f>F$28</f>
        <v>10</v>
      </c>
      <c r="F644" s="298">
        <f>G$28</f>
        <v>10.5</v>
      </c>
      <c r="G644" s="298">
        <f>H$28</f>
        <v>11</v>
      </c>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row>
    <row r="645" ht="12.75" hidden="1" outlineLevel="1">
      <c r="A645" s="4"/>
      <c r="B645" s="221">
        <f>$C29</f>
        <v>5</v>
      </c>
      <c r="C645" s="187">
        <f t="dataTable" ref="C645:G649" dt2D="1" dtr="1" r1="D162" r2="D161"/>
        <v>0.18029641045713185</v>
      </c>
      <c r="D645" s="187">
        <v>0.1582168553624015</v>
      </c>
      <c r="E645" s="187">
        <v>0.13848765810496078</v>
      </c>
      <c r="F645" s="187">
        <v>0.12069239600432313</v>
      </c>
      <c r="G645" s="187">
        <v>0.1045139028078923</v>
      </c>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row>
    <row r="646" ht="12.75" hidden="1" outlineLevel="1">
      <c r="A646" s="4"/>
      <c r="B646" s="221">
        <f>$C30</f>
        <v>5.5</v>
      </c>
      <c r="C646" s="187">
        <v>0.22079111868355872</v>
      </c>
      <c r="D646" s="187">
        <v>0.19787185554935038</v>
      </c>
      <c r="E646" s="187">
        <v>0.17738672250432508</v>
      </c>
      <c r="F646" s="187">
        <v>0.1589045804674487</v>
      </c>
      <c r="G646" s="187">
        <v>0.1420970451685819</v>
      </c>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row>
    <row r="647" ht="12.75" hidden="1" outlineLevel="1">
      <c r="A647" s="4"/>
      <c r="B647" s="221">
        <f>$C31</f>
        <v>6</v>
      </c>
      <c r="C647" s="187">
        <v>0.25653204642455973</v>
      </c>
      <c r="D647" s="187">
        <v>0.2328799064211835</v>
      </c>
      <c r="E647" s="187">
        <v>0.211735490955125</v>
      </c>
      <c r="F647" s="187">
        <v>0.1926547169488222</v>
      </c>
      <c r="G647" s="187">
        <v>0.1752993342244229</v>
      </c>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row>
    <row r="648" ht="12.75" hidden="1" outlineLevel="1">
      <c r="A648" s="4"/>
      <c r="B648" s="221">
        <f>$C32</f>
        <v>6.5</v>
      </c>
      <c r="C648" s="187">
        <v>0.28861594029243576</v>
      </c>
      <c r="D648" s="187">
        <v>0.26431144378106697</v>
      </c>
      <c r="E648" s="187">
        <v>0.242580510869856</v>
      </c>
      <c r="F648" s="187">
        <v>0.2229674686292744</v>
      </c>
      <c r="G648" s="187">
        <v>0.20512523377588776</v>
      </c>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row>
    <row r="649" ht="12.75" hidden="1" outlineLevel="1">
      <c r="A649" s="4"/>
      <c r="B649" s="221">
        <f>$C33</f>
        <v>7</v>
      </c>
      <c r="C649" s="187">
        <v>0.31779021393855333</v>
      </c>
      <c r="D649" s="187">
        <v>0.2928964211902114</v>
      </c>
      <c r="E649" s="187">
        <v>0.2706359042880413</v>
      </c>
      <c r="F649" s="187">
        <v>0.2505424722854508</v>
      </c>
      <c r="G649" s="187">
        <v>0.23226102614588684</v>
      </c>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row>
    <row r="650" ht="12.75" hidden="1" outlineLevel="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row>
    <row r="651" ht="12.75" hidden="1" outlineLevel="1">
      <c r="A651" s="4"/>
      <c r="B651" t="s" s="16">
        <v>575</v>
      </c>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row>
    <row r="652" ht="12.75" hidden="1" outlineLevel="1">
      <c r="A652" s="4"/>
      <c r="B652" s="187">
        <f>$C$166</f>
        <v>0.211735490955125</v>
      </c>
      <c r="C652" s="298">
        <f>L$28</f>
        <v>9</v>
      </c>
      <c r="D652" s="298">
        <f>M$28</f>
        <v>9.5</v>
      </c>
      <c r="E652" s="298">
        <f>N$28</f>
        <v>10</v>
      </c>
      <c r="F652" s="298">
        <f>O$28</f>
        <v>10.5</v>
      </c>
      <c r="G652" s="298">
        <f>P$28</f>
        <v>11</v>
      </c>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row>
    <row r="653" ht="12.75" hidden="1" outlineLevel="1">
      <c r="A653" s="4"/>
      <c r="B653" s="187">
        <f>$K29</f>
        <v>0.232</v>
      </c>
      <c r="C653" s="187">
        <f t="dataTable" ref="C653:G657" dt2D="1" dtr="1" r1="D162" r2="D159"/>
        <v>0.28698484181045947</v>
      </c>
      <c r="D653" s="187">
        <v>0.2627133965984365</v>
      </c>
      <c r="E653" s="187">
        <v>0.24101217238948358</v>
      </c>
      <c r="F653" s="187">
        <v>0.2214260848589562</v>
      </c>
      <c r="G653" s="187">
        <v>0.2036084993099685</v>
      </c>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row>
    <row r="654" ht="12.75" hidden="1" outlineLevel="1">
      <c r="A654" s="4"/>
      <c r="B654" s="187">
        <f>$K30</f>
        <v>0.2445</v>
      </c>
      <c r="C654" s="187">
        <v>0.27212286389364015</v>
      </c>
      <c r="D654" s="187">
        <v>0.24815311677088592</v>
      </c>
      <c r="E654" s="187">
        <v>0.22672311220422614</v>
      </c>
      <c r="F654" s="187">
        <v>0.2073831319383248</v>
      </c>
      <c r="G654" s="187">
        <v>0.1897906309210049</v>
      </c>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row>
    <row r="655" ht="12.75" hidden="1" outlineLevel="1">
      <c r="A655" s="4"/>
      <c r="B655" s="187">
        <f>$K31</f>
        <v>0.257</v>
      </c>
      <c r="C655" s="187">
        <v>0.25653204642455973</v>
      </c>
      <c r="D655" s="187">
        <v>0.2328799064211835</v>
      </c>
      <c r="E655" s="187">
        <v>0.211735490955125</v>
      </c>
      <c r="F655" s="187">
        <v>0.1926547169488222</v>
      </c>
      <c r="G655" s="187">
        <v>0.1752993342244229</v>
      </c>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row>
    <row r="656" ht="12.75" hidden="1" outlineLevel="1">
      <c r="A656" s="4"/>
      <c r="B656" s="187">
        <f>$K32</f>
        <v>0.2695</v>
      </c>
      <c r="C656" s="187">
        <v>0.2371946270810903</v>
      </c>
      <c r="D656" s="187">
        <v>0.21393813187016275</v>
      </c>
      <c r="E656" s="187">
        <v>0.1931495792582214</v>
      </c>
      <c r="F656" s="187">
        <v>0.174391884727227</v>
      </c>
      <c r="G656" s="187">
        <v>0.15733213228973986</v>
      </c>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row>
    <row r="657" ht="12.75" hidden="1" outlineLevel="1">
      <c r="A657" s="4"/>
      <c r="B657" s="187">
        <f>$K33</f>
        <v>0.28200000000000003</v>
      </c>
      <c r="C657" s="187">
        <v>0.21656670461215488</v>
      </c>
      <c r="D657" s="187">
        <v>0.19373454526234246</v>
      </c>
      <c r="E657" s="187">
        <v>0.17332779762334427</v>
      </c>
      <c r="F657" s="187">
        <v>0.15491685513558018</v>
      </c>
      <c r="G657" s="187">
        <v>0.13817450167600054</v>
      </c>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row>
    <row r="658" ht="12.75" hidden="1" outlineLevel="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row>
    <row r="659" ht="12.75" hidden="1" outlineLevel="1">
      <c r="A659" s="4"/>
      <c r="B659" t="s" s="16">
        <v>576</v>
      </c>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row>
    <row r="660" ht="12.75" hidden="1" outlineLevel="1">
      <c r="A660" s="4"/>
      <c r="B660" s="187">
        <f>$C$166</f>
        <v>0.211735490955125</v>
      </c>
      <c r="C660" s="298">
        <f>T$28</f>
        <v>9</v>
      </c>
      <c r="D660" s="298">
        <f>U$28</f>
        <v>9.5</v>
      </c>
      <c r="E660" s="298">
        <f>V$28</f>
        <v>10</v>
      </c>
      <c r="F660" s="298">
        <f>W$28</f>
        <v>10.5</v>
      </c>
      <c r="G660" s="298">
        <f>X$28</f>
        <v>11</v>
      </c>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row>
    <row r="661" ht="12.75" hidden="1" outlineLevel="1">
      <c r="A661" s="4"/>
      <c r="B661" s="187">
        <f>$S29</f>
        <v>0.1088</v>
      </c>
      <c r="C661" s="187">
        <f t="dataTable" ref="C661:G665" dt2D="1" dtr="1" r1="D162" r2="D156"/>
        <v>0.2827511355849768</v>
      </c>
      <c r="D661" s="187">
        <v>0.25856553332965637</v>
      </c>
      <c r="E661" s="187">
        <v>0.23694147379782882</v>
      </c>
      <c r="F661" s="187">
        <v>0.21742540074759975</v>
      </c>
      <c r="G661" s="187">
        <v>0.19967184406836513</v>
      </c>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row>
    <row r="662" ht="12.75" hidden="1" outlineLevel="1">
      <c r="A662" s="4"/>
      <c r="B662" s="187">
        <f>$S30</f>
        <v>0.11479999999999999</v>
      </c>
      <c r="C662" s="187">
        <v>0.2697791437540036</v>
      </c>
      <c r="D662" s="187">
        <v>0.24585706675081598</v>
      </c>
      <c r="E662" s="187">
        <v>0.22446992215634398</v>
      </c>
      <c r="F662" s="187">
        <v>0.20516883843398404</v>
      </c>
      <c r="G662" s="187">
        <v>0.18761191585275938</v>
      </c>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row>
    <row r="663" ht="12.75" hidden="1" outlineLevel="1">
      <c r="A663" s="4"/>
      <c r="B663" s="187">
        <f>$S31</f>
        <v>0.12079999999999999</v>
      </c>
      <c r="C663" s="187">
        <v>0.25653204642455973</v>
      </c>
      <c r="D663" s="187">
        <v>0.2328799064211835</v>
      </c>
      <c r="E663" s="187">
        <v>0.211735490955125</v>
      </c>
      <c r="F663" s="187">
        <v>0.1926547169488222</v>
      </c>
      <c r="G663" s="187">
        <v>0.1752993342244229</v>
      </c>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row>
    <row r="664" ht="12.75" hidden="1" outlineLevel="1">
      <c r="A664" s="4"/>
      <c r="B664" s="187">
        <f>$S32</f>
        <v>0.1268</v>
      </c>
      <c r="C664" s="187">
        <v>0.24417030172724363</v>
      </c>
      <c r="D664" s="187">
        <v>0.22077085507393912</v>
      </c>
      <c r="E664" s="187">
        <v>0.19985371108983307</v>
      </c>
      <c r="F664" s="187">
        <v>0.180979259404066</v>
      </c>
      <c r="G664" s="187">
        <v>0.16381265883638196</v>
      </c>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row>
    <row r="665" ht="12.75" hidden="1" outlineLevel="1">
      <c r="A665" s="4"/>
      <c r="B665" s="187">
        <f>$S33</f>
        <v>0.1328</v>
      </c>
      <c r="C665" s="187">
        <v>0.23153954808335753</v>
      </c>
      <c r="D665" s="187">
        <v>0.2083991387306825</v>
      </c>
      <c r="E665" s="187">
        <v>0.18771502237252968</v>
      </c>
      <c r="F665" s="187">
        <v>0.16905216322699568</v>
      </c>
      <c r="G665" s="187">
        <v>0.15207920686784182</v>
      </c>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row>
    <row r="666" ht="12.75" hidden="1" outlineLevel="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row>
    <row r="667" ht="12.75" hidden="1" outlineLevel="1">
      <c r="A667" s="4"/>
      <c r="B667" t="s" s="16">
        <v>577</v>
      </c>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row>
    <row r="668" ht="12.75" hidden="1" outlineLevel="1">
      <c r="A668" s="4"/>
      <c r="B668" s="187">
        <f>$C$166</f>
        <v>0.211735490955125</v>
      </c>
      <c r="C668" s="298">
        <f>D$38</f>
        <v>9</v>
      </c>
      <c r="D668" s="298">
        <f>E$38</f>
        <v>9.5</v>
      </c>
      <c r="E668" s="298">
        <f>F$38</f>
        <v>10</v>
      </c>
      <c r="F668" s="298">
        <f>G$38</f>
        <v>10.5</v>
      </c>
      <c r="G668" s="298">
        <f>H$38</f>
        <v>11</v>
      </c>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row>
    <row r="669" ht="12.75" hidden="1" outlineLevel="1">
      <c r="A669" s="4"/>
      <c r="B669" s="187">
        <f>$C39</f>
        <v>0.115</v>
      </c>
      <c r="C669" s="187">
        <f t="dataTable" ref="C669:G673" dt2D="1" dtr="1" r1="D162" r2="D158"/>
        <v>0.2726709254765869</v>
      </c>
      <c r="D669" s="187">
        <v>0.2486900347713641</v>
      </c>
      <c r="E669" s="187">
        <v>0.22725001128951017</v>
      </c>
      <c r="F669" s="187">
        <v>0.20790093879668636</v>
      </c>
      <c r="G669" s="187">
        <v>0.19030012135274688</v>
      </c>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row>
    <row r="670" ht="12.75" hidden="1" outlineLevel="1">
      <c r="A670" s="4"/>
      <c r="B670" s="187">
        <f>$C40</f>
        <v>0.1225</v>
      </c>
      <c r="C670" s="187">
        <v>0.26470445368774764</v>
      </c>
      <c r="D670" s="187">
        <v>0.2408856829123167</v>
      </c>
      <c r="E670" s="187">
        <v>0.2195914258625924</v>
      </c>
      <c r="F670" s="187">
        <v>0.20037464482055212</v>
      </c>
      <c r="G670" s="187">
        <v>0.18289483769895853</v>
      </c>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row>
    <row r="671" ht="12.75" hidden="1" outlineLevel="1">
      <c r="A671" s="4"/>
      <c r="B671" s="187">
        <f>$C41</f>
        <v>0.13</v>
      </c>
      <c r="C671" s="187">
        <v>0.25653204642455973</v>
      </c>
      <c r="D671" s="187">
        <v>0.2328799064211835</v>
      </c>
      <c r="E671" s="187">
        <v>0.211735490955125</v>
      </c>
      <c r="F671" s="187">
        <v>0.1926547169488222</v>
      </c>
      <c r="G671" s="187">
        <v>0.1752993342244229</v>
      </c>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row>
    <row r="672" ht="12.75" hidden="1" outlineLevel="1">
      <c r="A672" s="4"/>
      <c r="B672" s="187">
        <f>$C42</f>
        <v>0.1375</v>
      </c>
      <c r="C672" s="187">
        <v>0.24667003821785705</v>
      </c>
      <c r="D672" s="187">
        <v>0.22321942865643618</v>
      </c>
      <c r="E672" s="187">
        <v>0.20225626508835548</v>
      </c>
      <c r="F672" s="187">
        <v>0.18334003234585583</v>
      </c>
      <c r="G672" s="187">
        <v>0.16613519962471623</v>
      </c>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row>
    <row r="673" ht="12.75" hidden="1" outlineLevel="1">
      <c r="A673" s="4"/>
      <c r="B673" s="187">
        <f>$C43</f>
        <v>0.14500000000000002</v>
      </c>
      <c r="C673" s="187">
        <v>0.2364857183384106</v>
      </c>
      <c r="D673" s="187">
        <v>0.21324376560543334</v>
      </c>
      <c r="E673" s="187">
        <v>0.19246829550495703</v>
      </c>
      <c r="F673" s="187">
        <v>0.17372248029127135</v>
      </c>
      <c r="G673" s="187">
        <v>0.15667359968941041</v>
      </c>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row>
    <row r="674" ht="12.75" hidden="1" outlineLevel="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row>
    <row r="675" ht="12.75" hidden="1" outlineLevel="1">
      <c r="A675" s="4"/>
      <c r="B675" t="s" s="16">
        <v>578</v>
      </c>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row>
    <row r="676" ht="12.75" hidden="1" outlineLevel="1">
      <c r="A676" s="4"/>
      <c r="B676" s="187">
        <f>$C$166</f>
        <v>0.211735490955125</v>
      </c>
      <c r="C676" s="221">
        <f>L$38</f>
        <v>5</v>
      </c>
      <c r="D676" s="221">
        <f>M$38</f>
        <v>5.5</v>
      </c>
      <c r="E676" s="221">
        <f>N$38</f>
        <v>6</v>
      </c>
      <c r="F676" s="221">
        <f>O$38</f>
        <v>6.5</v>
      </c>
      <c r="G676" s="221">
        <f>P$38</f>
        <v>7</v>
      </c>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row>
    <row r="677" ht="12.75" hidden="1" outlineLevel="1">
      <c r="A677" s="4"/>
      <c r="B677" s="187">
        <f>$K39</f>
        <v>0.232</v>
      </c>
      <c r="C677" s="187">
        <f t="dataTable" ref="C677:G681" dt2D="1" dtr="1" r1="D161" r2="D159"/>
        <v>0.1718079386433109</v>
      </c>
      <c r="D677" s="187">
        <v>0.20838927514708794</v>
      </c>
      <c r="E677" s="187">
        <v>0.24101217238948358</v>
      </c>
      <c r="F677" s="187">
        <v>0.2705267694855349</v>
      </c>
      <c r="G677" s="187">
        <v>0.2975291787875738</v>
      </c>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row>
    <row r="678" ht="12.75" hidden="1" outlineLevel="1">
      <c r="A678" s="4"/>
      <c r="B678" s="187">
        <f>$K40</f>
        <v>0.2445</v>
      </c>
      <c r="C678" s="187">
        <v>0.15562801128088188</v>
      </c>
      <c r="D678" s="187">
        <v>0.19329063124098522</v>
      </c>
      <c r="E678" s="187">
        <v>0.22672311220422614</v>
      </c>
      <c r="F678" s="187">
        <v>0.25686427378920373</v>
      </c>
      <c r="G678" s="187">
        <v>0.2843640541268153</v>
      </c>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row>
    <row r="679" ht="12.75" hidden="1" outlineLevel="1">
      <c r="A679" s="4"/>
      <c r="B679" s="187">
        <f>$K41</f>
        <v>0.257</v>
      </c>
      <c r="C679" s="187">
        <v>0.13848765810496078</v>
      </c>
      <c r="D679" s="187">
        <v>0.17738672250432508</v>
      </c>
      <c r="E679" s="187">
        <v>0.211735490955125</v>
      </c>
      <c r="F679" s="187">
        <v>0.242580510869856</v>
      </c>
      <c r="G679" s="187">
        <v>0.2706359042880413</v>
      </c>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row>
    <row r="680" ht="12.75" hidden="1" outlineLevel="1">
      <c r="A680" s="4"/>
      <c r="B680" s="187">
        <f>$K42</f>
        <v>0.2695</v>
      </c>
      <c r="C680" s="187">
        <v>0.11720847086203157</v>
      </c>
      <c r="D680" s="187">
        <v>0.15766581603890284</v>
      </c>
      <c r="E680" s="187">
        <v>0.1931495792582214</v>
      </c>
      <c r="F680" s="187">
        <v>0.22485432911725844</v>
      </c>
      <c r="G680" s="187">
        <v>0.253580323599514</v>
      </c>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row>
    <row r="681" ht="12.75" hidden="1" outlineLevel="1">
      <c r="A681" s="4"/>
      <c r="B681" s="187">
        <f>$K43</f>
        <v>0.28200000000000003</v>
      </c>
      <c r="C681" s="187">
        <v>0.09417251847446906</v>
      </c>
      <c r="D681" s="187">
        <v>0.1365016546177482</v>
      </c>
      <c r="E681" s="187">
        <v>0.17332779762334427</v>
      </c>
      <c r="F681" s="187">
        <v>0.20603831457371102</v>
      </c>
      <c r="G681" s="187">
        <v>0.235542614324171</v>
      </c>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row>
    <row r="682" ht="12.75" hidden="1" outlineLevel="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row>
    <row r="683" ht="12.75" hidden="1" outlineLevel="1">
      <c r="A683" s="4"/>
      <c r="B683" t="s" s="16">
        <v>579</v>
      </c>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row>
    <row r="684" ht="12.75" hidden="1" outlineLevel="1">
      <c r="A684" s="4"/>
      <c r="B684" s="187">
        <f>$C$166</f>
        <v>0.211735490955125</v>
      </c>
      <c r="C684" s="221">
        <f>T$38</f>
        <v>5</v>
      </c>
      <c r="D684" s="221">
        <f>U$38</f>
        <v>5.5</v>
      </c>
      <c r="E684" s="221">
        <f>V$38</f>
        <v>6</v>
      </c>
      <c r="F684" s="221">
        <f>W$38</f>
        <v>6.5</v>
      </c>
      <c r="G684" s="221">
        <f>X$38</f>
        <v>7</v>
      </c>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row>
    <row r="685" ht="12.75" hidden="1" outlineLevel="1">
      <c r="A685" s="4"/>
      <c r="B685" s="187">
        <f>$S39</f>
        <v>0.1088</v>
      </c>
      <c r="C685" s="187">
        <f t="dataTable" ref="C685:G689" dt2D="1" dtr="1" r1="D161" r2="D156"/>
        <v>0.16625169370792214</v>
      </c>
      <c r="D685" s="187">
        <v>0.20366965334251375</v>
      </c>
      <c r="E685" s="187">
        <v>0.23694147379782882</v>
      </c>
      <c r="F685" s="187">
        <v>0.2669764302716586</v>
      </c>
      <c r="G685" s="187">
        <v>0.2944069692208269</v>
      </c>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row>
    <row r="686" ht="12.75" hidden="1" outlineLevel="1">
      <c r="A686" s="4"/>
      <c r="B686" s="187">
        <f>$S40</f>
        <v>0.11479999999999999</v>
      </c>
      <c r="C686" s="187">
        <v>0.15256415292369163</v>
      </c>
      <c r="D686" s="187">
        <v>0.1906852715090277</v>
      </c>
      <c r="E686" s="187">
        <v>0.22446992215634398</v>
      </c>
      <c r="F686" s="187">
        <v>0.25489134640053956</v>
      </c>
      <c r="G686" s="187">
        <v>0.28262031061114956</v>
      </c>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row>
    <row r="687" ht="12.75" hidden="1" outlineLevel="1">
      <c r="A687" s="4"/>
      <c r="B687" s="187">
        <f>$S41</f>
        <v>0.12079999999999999</v>
      </c>
      <c r="C687" s="187">
        <v>0.13848765810496078</v>
      </c>
      <c r="D687" s="187">
        <v>0.17738672250432508</v>
      </c>
      <c r="E687" s="187">
        <v>0.211735490955125</v>
      </c>
      <c r="F687" s="187">
        <v>0.242580510869856</v>
      </c>
      <c r="G687" s="187">
        <v>0.2706359042880413</v>
      </c>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row>
    <row r="688" ht="12.75" hidden="1" outlineLevel="1">
      <c r="A688" s="4"/>
      <c r="B688" s="187">
        <f>$S42</f>
        <v>0.1268</v>
      </c>
      <c r="C688" s="187">
        <v>0.12529965036277724</v>
      </c>
      <c r="D688" s="187">
        <v>0.16495864135107174</v>
      </c>
      <c r="E688" s="187">
        <v>0.19985371108983307</v>
      </c>
      <c r="F688" s="187">
        <v>0.231106238654315</v>
      </c>
      <c r="G688" s="187">
        <v>0.2594740007628651</v>
      </c>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row>
    <row r="689" ht="12.75" hidden="1" outlineLevel="1">
      <c r="A689" s="4"/>
      <c r="B689" s="187">
        <f>$S43</f>
        <v>0.1328</v>
      </c>
      <c r="C689" s="187">
        <v>0.11172294349461165</v>
      </c>
      <c r="D689" s="187">
        <v>0.15222083688860977</v>
      </c>
      <c r="E689" s="187">
        <v>0.18771502237252968</v>
      </c>
      <c r="F689" s="187">
        <v>0.21941257997322472</v>
      </c>
      <c r="G689" s="187">
        <v>0.24812060267106362</v>
      </c>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row>
    <row r="690" ht="12.75" hidden="1" outlineLevel="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row>
    <row r="691" ht="12.75" hidden="1" outlineLevel="1">
      <c r="A691" s="4"/>
      <c r="B691" t="s" s="16">
        <v>580</v>
      </c>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row>
    <row r="692" ht="12.75" hidden="1" outlineLevel="1">
      <c r="A692" s="4"/>
      <c r="B692" s="187">
        <f>$C$166</f>
        <v>0.211735490955125</v>
      </c>
      <c r="C692" s="221">
        <f>D$48</f>
        <v>5</v>
      </c>
      <c r="D692" s="221">
        <f>E$48</f>
        <v>5.5</v>
      </c>
      <c r="E692" s="221">
        <f>F$48</f>
        <v>6</v>
      </c>
      <c r="F692" s="221">
        <f>G$48</f>
        <v>6.5</v>
      </c>
      <c r="G692" s="221">
        <f>H$48</f>
        <v>7</v>
      </c>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row>
    <row r="693" ht="12.75" hidden="1" outlineLevel="1">
      <c r="A693" s="4"/>
      <c r="B693" s="187">
        <f>$C49</f>
        <v>0.115</v>
      </c>
      <c r="C693" s="187">
        <f t="dataTable" ref="C693:G697" dt2D="1" dtr="1" r1="D161" r2="D158"/>
        <v>0.1561565117315835</v>
      </c>
      <c r="D693" s="187">
        <v>0.1938173052826948</v>
      </c>
      <c r="E693" s="187">
        <v>0.22725001128951017</v>
      </c>
      <c r="F693" s="187">
        <v>0.25739263381834787</v>
      </c>
      <c r="G693" s="187">
        <v>0.2848946452860648</v>
      </c>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row>
    <row r="694" ht="12.75" hidden="1" outlineLevel="1">
      <c r="A694" s="4"/>
      <c r="B694" s="187">
        <f>$C50</f>
        <v>0.1225</v>
      </c>
      <c r="C694" s="187">
        <v>0.14745810758795797</v>
      </c>
      <c r="D694" s="187">
        <v>0.18571584580864986</v>
      </c>
      <c r="E694" s="187">
        <v>0.2195914258625924</v>
      </c>
      <c r="F694" s="187">
        <v>0.25007432210070313</v>
      </c>
      <c r="G694" s="187">
        <v>0.27784482364860796</v>
      </c>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row>
    <row r="695" ht="12.75" hidden="1" outlineLevel="1">
      <c r="A695" s="4"/>
      <c r="B695" s="187">
        <f>$C51</f>
        <v>0.13</v>
      </c>
      <c r="C695" s="187">
        <v>0.13848765810496078</v>
      </c>
      <c r="D695" s="187">
        <v>0.17738672250432508</v>
      </c>
      <c r="E695" s="187">
        <v>0.211735490955125</v>
      </c>
      <c r="F695" s="187">
        <v>0.242580510869856</v>
      </c>
      <c r="G695" s="187">
        <v>0.2706359042880413</v>
      </c>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row>
    <row r="696" ht="12.75" hidden="1" outlineLevel="1">
      <c r="A696" s="4"/>
      <c r="B696" s="187">
        <f>$C52</f>
        <v>0.1375</v>
      </c>
      <c r="C696" s="187">
        <v>0.1277074108190508</v>
      </c>
      <c r="D696" s="187">
        <v>0.16735858509812118</v>
      </c>
      <c r="E696" s="187">
        <v>0.20225626508835548</v>
      </c>
      <c r="F696" s="187">
        <v>0.23351743047133122</v>
      </c>
      <c r="G696" s="187">
        <v>0.261897443377322</v>
      </c>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row>
    <row r="697" ht="12.75" hidden="1" outlineLevel="1">
      <c r="A697" s="4"/>
      <c r="B697" s="187">
        <f>$C53</f>
        <v>0.14500000000000002</v>
      </c>
      <c r="C697" s="187">
        <v>0.11649845654789259</v>
      </c>
      <c r="D697" s="187">
        <v>0.15697353025373628</v>
      </c>
      <c r="E697" s="187">
        <v>0.19246829550495703</v>
      </c>
      <c r="F697" s="187">
        <v>0.22417988723308424</v>
      </c>
      <c r="G697" s="187">
        <v>0.25291000481461623</v>
      </c>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row>
    <row r="698" ht="12.75" hidden="1" outlineLevel="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row>
    <row r="699" ht="12.75" hidden="1" outlineLevel="1">
      <c r="A699" s="4"/>
      <c r="B699" t="s" s="16">
        <v>581</v>
      </c>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row>
    <row r="700" ht="12.75" hidden="1" outlineLevel="1">
      <c r="A700" s="4"/>
      <c r="B700" s="187">
        <f>$C$166</f>
        <v>0.211735490955125</v>
      </c>
      <c r="C700" s="187">
        <f>L$48</f>
        <v>0.232</v>
      </c>
      <c r="D700" s="187">
        <f>M$48</f>
        <v>0.2445</v>
      </c>
      <c r="E700" s="187">
        <f>N$48</f>
        <v>0.257</v>
      </c>
      <c r="F700" s="187">
        <f>O$48</f>
        <v>0.2695</v>
      </c>
      <c r="G700" s="187">
        <f>P$48</f>
        <v>0.28200000000000003</v>
      </c>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row>
    <row r="701" ht="12.75" hidden="1" outlineLevel="1">
      <c r="A701" s="4"/>
      <c r="B701" s="187">
        <f>$K49</f>
        <v>0.1088</v>
      </c>
      <c r="C701" s="187">
        <f t="dataTable" ref="C701:G705" dt2D="1" dtr="1" r1="D159" r2="D156"/>
        <v>0.2651961811601804</v>
      </c>
      <c r="D701" s="187">
        <v>0.25138774376709305</v>
      </c>
      <c r="E701" s="187">
        <v>0.23694147379782882</v>
      </c>
      <c r="F701" s="187">
        <v>0.21903918823094282</v>
      </c>
      <c r="G701" s="187">
        <v>0.20001897124610557</v>
      </c>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row>
    <row r="702" ht="12.75" hidden="1" outlineLevel="1">
      <c r="A702" s="4"/>
      <c r="B702" s="187">
        <f>$K50</f>
        <v>0.11479999999999999</v>
      </c>
      <c r="C702" s="187">
        <v>0.25321498299408174</v>
      </c>
      <c r="D702" s="187">
        <v>0.23917578373034964</v>
      </c>
      <c r="E702" s="187">
        <v>0.22446992215634398</v>
      </c>
      <c r="F702" s="187">
        <v>0.20624063953854144</v>
      </c>
      <c r="G702" s="187">
        <v>0.18683774016299814</v>
      </c>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row>
    <row r="703" ht="12.75" hidden="1" outlineLevel="1">
      <c r="A703" s="4"/>
      <c r="B703" s="187">
        <f>$K51</f>
        <v>0.12079999999999999</v>
      </c>
      <c r="C703" s="187">
        <v>0.24101217238948358</v>
      </c>
      <c r="D703" s="187">
        <v>0.22672311220422614</v>
      </c>
      <c r="E703" s="187">
        <v>0.211735490955125</v>
      </c>
      <c r="F703" s="187">
        <v>0.1931495792582214</v>
      </c>
      <c r="G703" s="187">
        <v>0.17332779762334427</v>
      </c>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row>
    <row r="704" ht="12.75" hidden="1" outlineLevel="1">
      <c r="A704" s="4"/>
      <c r="B704" s="187">
        <f>$K52</f>
        <v>0.1268</v>
      </c>
      <c r="C704" s="187">
        <v>0.229665905909904</v>
      </c>
      <c r="D704" s="187">
        <v>0.21512543591498612</v>
      </c>
      <c r="E704" s="187">
        <v>0.19985371108983307</v>
      </c>
      <c r="F704" s="187">
        <v>0.18090927308269844</v>
      </c>
      <c r="G704" s="187">
        <v>0.16066487886791192</v>
      </c>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row>
    <row r="705" ht="12.75" hidden="1" outlineLevel="1">
      <c r="A705" s="4"/>
      <c r="B705" s="187">
        <f>$K53</f>
        <v>0.1328</v>
      </c>
      <c r="C705" s="187">
        <v>0.21810600952718828</v>
      </c>
      <c r="D705" s="187">
        <v>0.20329420896409212</v>
      </c>
      <c r="E705" s="187">
        <v>0.18771502237252968</v>
      </c>
      <c r="F705" s="187">
        <v>0.16838065836967475</v>
      </c>
      <c r="G705" s="187">
        <v>0.14767472112461832</v>
      </c>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row>
    <row r="706" ht="12.75" hidden="1" outlineLevel="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row>
    <row r="707" ht="12.75" hidden="1" outlineLevel="1">
      <c r="A707" s="4"/>
      <c r="B707" t="s" s="16">
        <v>518</v>
      </c>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row>
    <row r="708" ht="12.75" hidden="1" outlineLevel="1">
      <c r="A708" s="4"/>
      <c r="B708" s="187">
        <f>$C$166</f>
        <v>0.211735490955125</v>
      </c>
      <c r="C708" s="187">
        <f>T$48</f>
        <v>0.115</v>
      </c>
      <c r="D708" s="187">
        <f>U$48</f>
        <v>0.1225</v>
      </c>
      <c r="E708" s="187">
        <f>V$48</f>
        <v>0.13</v>
      </c>
      <c r="F708" s="187">
        <f>W$48</f>
        <v>0.1375</v>
      </c>
      <c r="G708" s="187">
        <f>X$48</f>
        <v>0.14500000000000002</v>
      </c>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row>
    <row r="709" ht="12.75" hidden="1" outlineLevel="1">
      <c r="A709" s="4"/>
      <c r="B709" s="187">
        <f>$S49</f>
        <v>0.1088</v>
      </c>
      <c r="C709" s="187">
        <f t="dataTable" ref="C709:G713" dt2D="1" dtr="1" r1="D158" r2="D156"/>
        <v>0.25193274857717185</v>
      </c>
      <c r="D709" s="187">
        <v>0.2445273969021713</v>
      </c>
      <c r="E709" s="187">
        <v>0.23694147379782882</v>
      </c>
      <c r="F709" s="187">
        <v>0.22778585893893855</v>
      </c>
      <c r="G709" s="187">
        <v>0.21834871203625994</v>
      </c>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row>
    <row r="710" ht="12.75" hidden="1" outlineLevel="1">
      <c r="A710" s="4"/>
      <c r="B710" s="187">
        <f>$S50</f>
        <v>0.11479999999999999</v>
      </c>
      <c r="C710" s="187">
        <v>0.23971179767075945</v>
      </c>
      <c r="D710" s="187">
        <v>0.2321851239306214</v>
      </c>
      <c r="E710" s="187">
        <v>0.22446992215634398</v>
      </c>
      <c r="F710" s="187">
        <v>0.21515962299917346</v>
      </c>
      <c r="G710" s="187">
        <v>0.20555492243182627</v>
      </c>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row>
    <row r="711" ht="12.75" hidden="1" outlineLevel="1">
      <c r="A711" s="4"/>
      <c r="B711" s="187">
        <f>$S51</f>
        <v>0.12079999999999999</v>
      </c>
      <c r="C711" s="187">
        <v>0.22725001128951017</v>
      </c>
      <c r="D711" s="187">
        <v>0.2195914258625924</v>
      </c>
      <c r="E711" s="187">
        <v>0.211735490955125</v>
      </c>
      <c r="F711" s="187">
        <v>0.20225626508835548</v>
      </c>
      <c r="G711" s="187">
        <v>0.19246829550495703</v>
      </c>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row>
    <row r="712" ht="12.75" hidden="1" outlineLevel="1">
      <c r="A712" s="4"/>
      <c r="B712" s="187">
        <f>$S52</f>
        <v>0.1268</v>
      </c>
      <c r="C712" s="187">
        <v>0.21564051114167482</v>
      </c>
      <c r="D712" s="187">
        <v>0.20785027253239718</v>
      </c>
      <c r="E712" s="187">
        <v>0.19985371108983307</v>
      </c>
      <c r="F712" s="187">
        <v>0.19020696141235494</v>
      </c>
      <c r="G712" s="187">
        <v>0.18023692415458137</v>
      </c>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row>
    <row r="713" ht="12.75" hidden="1" outlineLevel="1">
      <c r="A713" s="4"/>
      <c r="B713" s="187">
        <f>$S53</f>
        <v>0.1328</v>
      </c>
      <c r="C713" s="187">
        <v>0.2037971688902096</v>
      </c>
      <c r="D713" s="187">
        <v>0.1958642257562122</v>
      </c>
      <c r="E713" s="187">
        <v>0.18771502237252968</v>
      </c>
      <c r="F713" s="187">
        <v>0.17788584328115475</v>
      </c>
      <c r="G713" s="187">
        <v>0.16771718276723524</v>
      </c>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row>
    <row r="714" ht="12.75" hidden="1" outlineLevel="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row>
    <row r="715" ht="12.75" hidden="1" outlineLevel="1">
      <c r="A715" s="4"/>
      <c r="B715" t="s" s="16">
        <v>582</v>
      </c>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row>
    <row r="716" ht="12.75" hidden="1" outlineLevel="1">
      <c r="A716" s="4"/>
      <c r="B716" s="187">
        <f>$C$166</f>
        <v>0.211735490955125</v>
      </c>
      <c r="C716" s="187">
        <f>D$58</f>
        <v>0.232</v>
      </c>
      <c r="D716" s="187">
        <f>E$58</f>
        <v>0.2445</v>
      </c>
      <c r="E716" s="187">
        <f>F$58</f>
        <v>0.257</v>
      </c>
      <c r="F716" s="187">
        <f>G$58</f>
        <v>0.2695</v>
      </c>
      <c r="G716" s="187">
        <f>H$58</f>
        <v>0.28200000000000003</v>
      </c>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row>
    <row r="717" ht="12.75" hidden="1" outlineLevel="1">
      <c r="A717" s="4"/>
      <c r="B717" s="187">
        <f>$C59</f>
        <v>0.115</v>
      </c>
      <c r="C717" s="187">
        <f t="dataTable" ref="C717:G721" dt2D="1" dtr="1" r1="D159" r2="D158"/>
        <v>0.2551534581987098</v>
      </c>
      <c r="D717" s="187">
        <v>0.24151524473284858</v>
      </c>
      <c r="E717" s="187">
        <v>0.22725001128951017</v>
      </c>
      <c r="F717" s="187">
        <v>0.2096206040984776</v>
      </c>
      <c r="G717" s="187">
        <v>0.19089917183165572</v>
      </c>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row>
    <row r="718" ht="12.75" hidden="1" outlineLevel="1">
      <c r="A718" s="4"/>
      <c r="B718" s="187">
        <f>$C60</f>
        <v>0.1225</v>
      </c>
      <c r="C718" s="187">
        <v>0.2481629195558237</v>
      </c>
      <c r="D718" s="187">
        <v>0.23420781645782784</v>
      </c>
      <c r="E718" s="187">
        <v>0.2195914258625924</v>
      </c>
      <c r="F718" s="187">
        <v>0.2014979822300571</v>
      </c>
      <c r="G718" s="187">
        <v>0.1822440532062768</v>
      </c>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row>
    <row r="719" ht="12.75" hidden="1" outlineLevel="1">
      <c r="A719" s="4"/>
      <c r="B719" s="187">
        <f>$C61</f>
        <v>0.13</v>
      </c>
      <c r="C719" s="187">
        <v>0.24101217238948358</v>
      </c>
      <c r="D719" s="187">
        <v>0.22672311220422614</v>
      </c>
      <c r="E719" s="187">
        <v>0.211735490955125</v>
      </c>
      <c r="F719" s="187">
        <v>0.1931495792582214</v>
      </c>
      <c r="G719" s="187">
        <v>0.17332779762334427</v>
      </c>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row>
    <row r="720" ht="12.75" hidden="1" outlineLevel="1">
      <c r="A720" s="4"/>
      <c r="B720" s="187">
        <f>$C62</f>
        <v>0.1375</v>
      </c>
      <c r="C720" s="187">
        <v>0.23241165189987378</v>
      </c>
      <c r="D720" s="187">
        <v>0.21770725766904997</v>
      </c>
      <c r="E720" s="187">
        <v>0.20225626508835548</v>
      </c>
      <c r="F720" s="187">
        <v>0.1830528674972971</v>
      </c>
      <c r="G720" s="187">
        <v>0.16251504405980466</v>
      </c>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row>
    <row r="721" ht="12.75" hidden="1" outlineLevel="1">
      <c r="A721" s="4"/>
      <c r="B721" s="187">
        <f>$C63</f>
        <v>0.14500000000000002</v>
      </c>
      <c r="C721" s="187">
        <v>0.22356412675619808</v>
      </c>
      <c r="D721" s="187">
        <v>0.20841620188360244</v>
      </c>
      <c r="E721" s="187">
        <v>0.19246829550495703</v>
      </c>
      <c r="F721" s="187">
        <v>0.17259922382392934</v>
      </c>
      <c r="G721" s="187">
        <v>0.15128436256037658</v>
      </c>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row>
    <row r="722" ht="12.75" hidden="1" outlineLevel="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row>
    <row r="723" ht="12.75" hidden="1" outlineLevel="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row>
    <row r="724" ht="12.75" hidden="1" outlineLevel="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row>
    <row r="725" ht="12.75" hidden="1" outlineLevel="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row>
    <row r="726" ht="12.75" hidden="1" outlineLevel="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row>
    <row r="727" ht="12.75" hidden="1" outlineLevel="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row>
    <row r="728" ht="12.75" hidden="1" outlineLevel="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row>
    <row r="729" ht="12.75" hidden="1" outlineLevel="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row>
    <row r="730" ht="12.75" hidden="1" outlineLevel="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row>
    <row r="731" ht="12.75" hidden="1" outlineLevel="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row>
    <row r="732" ht="12.75" hidden="1" outlineLevel="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row>
    <row r="733" ht="12.75" hidden="1" outlineLevel="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row>
    <row r="734" ht="12.75" hidden="1" outlineLevel="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row>
    <row r="735" ht="12.75" hidden="1" outlineLevel="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row>
    <row r="736" ht="12.75" hidden="1" outlineLevel="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row>
    <row r="737" ht="12.75" hidden="1" outlineLevel="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row>
    <row r="738" ht="12.75" hidden="1" outlineLevel="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row>
    <row r="739" ht="12.75" hidden="1" outlineLevel="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row>
    <row r="740" ht="12.75" hidden="1" outlineLevel="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row>
    <row r="741" ht="12.75" hidden="1" outlineLevel="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row>
    <row r="742" ht="12.75" hidden="1" outlineLevel="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row>
    <row r="743" ht="12.75" hidden="1" outlineLevel="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row>
    <row r="744" ht="12.75" hidden="1" outlineLevel="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row>
    <row r="745" ht="12.75" hidden="1" outlineLevel="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row>
    <row r="746" ht="12.75" hidden="1" outlineLevel="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row>
    <row r="747" ht="12.75" hidden="1" outlineLevel="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row>
    <row r="748" ht="12.75" hidden="1" outlineLevel="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row>
    <row r="749" ht="12.75" hidden="1" outlineLevel="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row>
    <row r="750" ht="12.75" hidden="1" outlineLevel="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row>
    <row r="751" ht="12.75" hidden="1" outlineLevel="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row>
    <row r="752" ht="12.75" hidden="1" outlineLevel="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row>
    <row r="753" ht="12.75" hidden="1" outlineLevel="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row>
    <row r="754" ht="12.75" hidden="1" outlineLevel="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row>
    <row r="755" ht="12.75" hidden="1" outlineLevel="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row>
    <row r="756" ht="12.75" hidden="1" outlineLevel="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row>
    <row r="757" ht="12.75" hidden="1" outlineLevel="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row>
    <row r="758" ht="12.75" hidden="1" outlineLevel="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row>
    <row r="759" ht="12.75" hidden="1" outlineLevel="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row>
    <row r="760" ht="12.75" hidden="1" outlineLevel="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row>
    <row r="761" ht="12.75" hidden="1" outlineLevel="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row>
    <row r="762" ht="12.75" hidden="1" outlineLevel="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row>
    <row r="763" ht="12.75" hidden="1" outlineLevel="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row>
    <row r="764" ht="12.75" hidden="1" outlineLevel="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row>
    <row r="765" ht="12.75" hidden="1" outlineLevel="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row>
    <row r="766" ht="12.75" hidden="1" outlineLevel="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row>
    <row r="767" ht="12.75" hidden="1" outlineLevel="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row>
    <row r="768" ht="12.75" hidden="1" outlineLevel="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row>
    <row r="769" ht="12.75" hidden="1" outlineLevel="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row>
    <row r="770" ht="12.75" hidden="1" outlineLevel="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row>
    <row r="771" ht="12.75" hidden="1" outlineLevel="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row>
    <row r="772" ht="12.75" hidden="1" outlineLevel="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row>
    <row r="773" ht="12.75" hidden="1" outlineLevel="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row>
    <row r="774" ht="12.75" hidden="1" outlineLevel="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row>
    <row r="775" ht="12.75" hidden="1" outlineLevel="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row>
    <row r="776" ht="12.75" hidden="1" outlineLevel="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row>
    <row r="777" ht="12.75" hidden="1" outlineLevel="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row>
    <row r="778" ht="12.75" hidden="1" outlineLevel="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row>
    <row r="779" ht="12.75" hidden="1" outlineLevel="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row>
    <row r="780" ht="12.75" hidden="1" outlineLevel="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row>
    <row r="781" ht="12.75" hidden="1" outlineLevel="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row>
    <row r="782" ht="12.75" hidden="1" outlineLevel="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row>
    <row r="783" ht="12.75" hidden="1" outlineLevel="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row>
    <row r="784" ht="12.75" hidden="1" outlineLevel="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row>
    <row r="785" ht="12.75" hidden="1" outlineLevel="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row>
    <row r="786" ht="12.75" hidden="1" outlineLevel="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row>
    <row r="787" ht="12.75" hidden="1" outlineLevel="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row>
    <row r="788" ht="12.75" hidden="1" outlineLevel="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row>
    <row r="789" ht="12.75" hidden="1" outlineLevel="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row>
    <row r="790" ht="12.75" hidden="1" outlineLevel="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row>
    <row r="791" ht="12.75" hidden="1" outlineLevel="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row>
    <row r="792" ht="12.75" hidden="1" outlineLevel="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row>
    <row r="793" ht="12.75" hidden="1" outlineLevel="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row>
    <row r="794" ht="12.75" hidden="1" outlineLevel="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row>
    <row r="795" ht="12.75" hidden="1" outlineLevel="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row>
    <row r="796" ht="12.75" hidden="1" outlineLevel="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row>
    <row r="797" ht="12.75" hidden="1" outlineLevel="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row>
    <row r="798" ht="12.75" hidden="1" outlineLevel="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row>
    <row r="799" ht="12.75" hidden="1" outlineLevel="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row>
    <row r="800" ht="12.75" hidden="1" outlineLevel="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row>
    <row r="801" ht="12.75" hidden="1" outlineLevel="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row>
    <row r="802" ht="12.75" hidden="1" outlineLevel="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row>
    <row r="803" ht="12.75" hidden="1" outlineLevel="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row>
    <row r="804" ht="12.75" hidden="1" outlineLevel="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row>
    <row r="805" ht="12.75" hidden="1" outlineLevel="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row>
    <row r="806" ht="12.75" hidden="1" outlineLevel="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row>
    <row r="807" ht="12.75" hidden="1" outlineLevel="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row>
    <row r="808" ht="12.75" hidden="1" outlineLevel="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row>
    <row r="809" ht="12.75" hidden="1" outlineLevel="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row>
    <row r="810" ht="12.75" hidden="1" outlineLevel="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row>
    <row r="811" ht="12.75" hidden="1" outlineLevel="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row>
    <row r="812" ht="12.75" hidden="1" outlineLevel="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row>
    <row r="813" ht="12.75" hidden="1" outlineLevel="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row>
    <row r="814" ht="12.75" hidden="1" outlineLevel="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row>
    <row r="815" ht="12.75" hidden="1" outlineLevel="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row>
    <row r="816" ht="12.75" hidden="1" outlineLevel="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row>
    <row r="817" ht="12.75" hidden="1" outlineLevel="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row>
    <row r="818" ht="12.75" hidden="1" outlineLevel="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row>
    <row r="819" ht="12.75" hidden="1" outlineLevel="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row>
    <row r="820" ht="12.75" hidden="1" outlineLevel="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row>
    <row r="821" ht="12.75" hidden="1" outlineLevel="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row>
    <row r="822" ht="12.75" hidden="1" outlineLevel="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row>
    <row r="823" ht="12.75" hidden="1" outlineLevel="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row>
    <row r="824" ht="12.75" hidden="1" outlineLevel="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row>
    <row r="825" ht="12.75" hidden="1" outlineLevel="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row>
    <row r="826" ht="12.75" hidden="1" outlineLevel="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row>
    <row r="827" ht="12.75" hidden="1" outlineLevel="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row>
    <row r="828" ht="12.75" hidden="1" outlineLevel="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row>
    <row r="829" ht="12.75" hidden="1" outlineLevel="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row>
    <row r="830" ht="12.75" hidden="1" outlineLevel="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row>
    <row r="831" ht="12.75" hidden="1" outlineLevel="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row>
    <row r="832" ht="12.75" hidden="1" outlineLevel="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row>
    <row r="833" ht="12.75" hidden="1" outlineLevel="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row>
    <row r="834" ht="12.75" hidden="1" outlineLevel="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row>
    <row r="835" ht="12.75" hidden="1" outlineLevel="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row>
    <row r="836" ht="12.75" hidden="1" outlineLevel="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row>
    <row r="837" ht="12.75" hidden="1" outlineLevel="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row>
    <row r="838" ht="12.75" hidden="1" outlineLevel="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row>
    <row r="839" ht="12.75" hidden="1" outlineLevel="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row>
    <row r="840" ht="12.75" hidden="1" outlineLevel="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row>
    <row r="841" ht="12.75" hidden="1" outlineLevel="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row>
    <row r="842" ht="12.75" hidden="1" outlineLevel="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row>
    <row r="843" ht="12.75" hidden="1" outlineLevel="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row>
    <row r="844" ht="12.75" hidden="1" outlineLevel="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row>
    <row r="845" ht="12.75" hidden="1" outlineLevel="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row>
    <row r="846" ht="12.75" hidden="1" outlineLevel="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row>
    <row r="847" ht="12.75" hidden="1" outlineLevel="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row>
    <row r="848" ht="12.75" hidden="1" outlineLevel="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row>
    <row r="849" ht="12.75" hidden="1" outlineLevel="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row>
    <row r="850" ht="12.75" hidden="1" outlineLevel="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row>
    <row r="851" ht="12.75" hidden="1" outlineLevel="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row>
    <row r="852" ht="12.75" hidden="1" outlineLevel="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row>
    <row r="853" ht="12.75" hidden="1" outlineLevel="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row>
    <row r="854" ht="12.75" hidden="1" outlineLevel="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row>
    <row r="855" ht="12.75" hidden="1" outlineLevel="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row>
    <row r="856" ht="12.75" hidden="1" outlineLevel="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row>
    <row r="857" ht="12.75" hidden="1" outlineLevel="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row>
    <row r="858" ht="12.75" hidden="1" outlineLevel="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row>
    <row r="859" ht="12.75" hidden="1" outlineLevel="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row>
    <row r="860" ht="12.75" hidden="1" outlineLevel="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row>
    <row r="861" ht="12.75" hidden="1" outlineLevel="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row>
    <row r="862" ht="12.75" hidden="1" outlineLevel="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row>
    <row r="863" ht="12.75" hidden="1" outlineLevel="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row>
    <row r="864" ht="12.75" hidden="1" outlineLevel="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row>
    <row r="865" ht="12.75" hidden="1" outlineLevel="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row>
    <row r="866" ht="12.75" hidden="1" outlineLevel="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row>
    <row r="867" ht="12.75" hidden="1" outlineLevel="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row>
    <row r="868" ht="12.75" hidden="1" outlineLevel="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row>
    <row r="869" ht="12.75" hidden="1" outlineLevel="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row>
    <row r="870" ht="12.75" hidden="1" outlineLevel="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row>
    <row r="871" ht="12.75" hidden="1" outlineLevel="1">
      <c r="A871" s="4"/>
      <c r="B871" t="s" s="16">
        <v>556</v>
      </c>
      <c r="C871" t="s" s="4">
        <v>557</v>
      </c>
      <c r="D871" t="s" s="4">
        <v>558</v>
      </c>
      <c r="E871" t="s" s="4">
        <v>559</v>
      </c>
      <c r="F871" t="s" s="4">
        <v>25</v>
      </c>
      <c r="G871" t="s" s="4">
        <v>619</v>
      </c>
      <c r="H871" t="s" s="4">
        <v>618</v>
      </c>
      <c r="I871" t="s" s="4">
        <v>620</v>
      </c>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row>
    <row r="872" ht="12.75" hidden="1" outlineLevel="1">
      <c r="A872" s="4"/>
      <c r="B872" t="s" s="4">
        <v>524</v>
      </c>
      <c r="C872" s="317"/>
      <c r="D872" s="317"/>
      <c r="E872" s="317"/>
      <c r="F872" s="317">
        <f>$H$68</f>
        <v>4505.505070000001</v>
      </c>
      <c r="G872" s="317">
        <f>$I$872</f>
        <v>700</v>
      </c>
      <c r="H872" t="str" s="4">
        <f>TEXT($H$68,"#,##0.0")</f>
        <v>4,505.5</v>
      </c>
      <c r="I872" s="289">
        <v>700</v>
      </c>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row>
    <row r="873" ht="12.75" hidden="1" outlineLevel="1">
      <c r="A873" s="4"/>
      <c r="B873" t="s" s="4">
        <v>560</v>
      </c>
      <c r="C873" s="317">
        <f>MIN($H$68,SUM($H$68:$H$69))</f>
        <v>4505.505070000001</v>
      </c>
      <c r="D873" s="317">
        <f>IF(MAX($H$69,0)=0,"",MAX($H$69,0))</f>
        <v>3606.2577389829867</v>
      </c>
      <c r="E873" t="str" s="317">
        <f>IF(MAX(-$H$69,0)=0,"",MAX(-$H$69,0))</f>
        <v/>
      </c>
      <c r="F873" s="317"/>
      <c r="G873" s="317">
        <f>$I$872</f>
        <v>700</v>
      </c>
      <c r="H873" t="str" s="4">
        <f>IF($H$69&lt;0,"("&amp;TEXT(-$H$69,"#,##0.0")&amp;")",TEXT($H$69,"#,##0.0"))</f>
        <v>3,606.3</v>
      </c>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row>
    <row r="874" ht="12.75" hidden="1" outlineLevel="1">
      <c r="A874" s="4"/>
      <c r="B874" t="s" s="4">
        <v>561</v>
      </c>
      <c r="C874" s="317">
        <f>MIN(SUM($H$68:$H$69),SUM($H$68:$H$70))</f>
        <v>8111.762808982988</v>
      </c>
      <c r="D874" s="317">
        <f>IF(MAX($H$70,0)=0,"",MAX($H$70,0))</f>
        <v>875.146781811155</v>
      </c>
      <c r="E874" t="str" s="317">
        <f>IF(MAX(-$H$70,0)=0,"",MAX(-$H$70,0))</f>
        <v/>
      </c>
      <c r="F874" s="317"/>
      <c r="G874" s="317">
        <f>$I$872</f>
        <v>700</v>
      </c>
      <c r="H874" t="str" s="4">
        <f>IF($H$70&lt;0,"("&amp;TEXT(-$H$70,"#,##0.0")&amp;")",TEXT($H$70,"#,##0.0"))</f>
        <v>875.1</v>
      </c>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row>
    <row r="875" ht="12.75" hidden="1" outlineLevel="1">
      <c r="A875" s="4"/>
      <c r="B875" t="s" s="4">
        <v>562</v>
      </c>
      <c r="C875" s="317">
        <f>MIN(SUM($H$68:$H$70),SUM($H$68:$H$71))</f>
        <v>8986.909590794143</v>
      </c>
      <c r="D875" s="317">
        <f>IF(MAX($H$71,0)=0,"",MAX($H$71,0))</f>
        <v>3573.244587408143</v>
      </c>
      <c r="E875" t="str" s="317">
        <f>IF(MAX(-$H$71,0)=0,"",MAX(-$H$71,0))</f>
        <v/>
      </c>
      <c r="F875" s="317"/>
      <c r="G875" s="317">
        <f>$I$872</f>
        <v>700</v>
      </c>
      <c r="H875" t="str" s="4">
        <f>IF($H$71&lt;0,"("&amp;TEXT(-$H$71,"#,##0.0")&amp;")",TEXT($H$71,"#,##0.0"))</f>
        <v>3,573.2</v>
      </c>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row>
    <row r="876" ht="12.75" hidden="1" outlineLevel="1">
      <c r="A876" s="4"/>
      <c r="B876" t="s" s="4">
        <v>563</v>
      </c>
      <c r="C876" s="317">
        <f>MIN(SUM($H$68:$H$71),SUM($H$68:$H$72))</f>
        <v>12152.517608202286</v>
      </c>
      <c r="D876" t="str" s="317">
        <f>IF(MAX($H$72,0)=0,"",MAX($H$72,0))</f>
        <v/>
      </c>
      <c r="E876" s="317">
        <f>IF(MAX(-$H$72,0)=0,"",MAX(-$H$72,0))</f>
        <v>407.63657</v>
      </c>
      <c r="F876" s="317"/>
      <c r="G876" s="317">
        <f>$I$872</f>
        <v>700</v>
      </c>
      <c r="H876" t="str" s="4">
        <f>IF($H$72&lt;0,"("&amp;TEXT(-$H$72,"#,##0.0")&amp;")",TEXT($H$72,"#,##0.0"))</f>
        <v>(407.6)</v>
      </c>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row>
    <row r="877" ht="12.75" hidden="1" outlineLevel="1">
      <c r="A877" s="4"/>
      <c r="B877" t="s" s="4">
        <v>564</v>
      </c>
      <c r="C877" s="317">
        <f>MIN(SUM($H$68:$H$72),SUM($H$68:$H$73))</f>
        <v>11770.166981292172</v>
      </c>
      <c r="D877" t="str" s="317">
        <f>IF(MAX($H$73,0)=0,"",MAX($H$73,0))</f>
        <v/>
      </c>
      <c r="E877" s="317">
        <f>IF(MAX(-$H$73,0)=0,"",MAX(-$H$73,0))</f>
        <v>382.3506269101142</v>
      </c>
      <c r="F877" s="317"/>
      <c r="G877" s="317">
        <f>$I$872</f>
        <v>700</v>
      </c>
      <c r="H877" t="str" s="4">
        <f>IF($H$73&lt;0,"("&amp;TEXT(-$H$73,"#,##0.0")&amp;")",TEXT($H$73,"#,##0.0"))</f>
        <v>(382.4)</v>
      </c>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row>
    <row r="878" ht="12.75" hidden="1" outlineLevel="1">
      <c r="A878" s="4"/>
      <c r="B878" t="s" s="4">
        <v>565</v>
      </c>
      <c r="C878" s="317"/>
      <c r="D878" s="317"/>
      <c r="E878" s="317"/>
      <c r="F878" s="317">
        <f>$H$74</f>
        <v>11770.166981292172</v>
      </c>
      <c r="G878" s="317">
        <f>$I$872</f>
        <v>700</v>
      </c>
      <c r="H878" t="str" s="4">
        <f>TEXT($H$74,"#,##0.0")</f>
        <v>11,770.2</v>
      </c>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row>
    <row r="879" ht="12.75" hidden="1" outlineLevel="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row>
    <row r="880" ht="12.75" hidden="1" outlineLevel="1">
      <c r="A880" s="4"/>
      <c r="B880" t="s" s="16">
        <v>566</v>
      </c>
      <c r="C880" t="s" s="4">
        <v>557</v>
      </c>
      <c r="D880" t="s" s="4">
        <v>558</v>
      </c>
      <c r="E880" t="s" s="4">
        <v>559</v>
      </c>
      <c r="F880" t="s" s="4">
        <v>25</v>
      </c>
      <c r="G880" t="s" s="4">
        <v>619</v>
      </c>
      <c r="H880" t="s" s="4">
        <v>618</v>
      </c>
      <c r="I880" t="s" s="4">
        <v>620</v>
      </c>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row>
    <row r="881" ht="12.75" hidden="1" outlineLevel="1">
      <c r="A881" s="4"/>
      <c r="B881" t="s" s="4">
        <v>124</v>
      </c>
      <c r="C881" s="187"/>
      <c r="D881" s="187"/>
      <c r="E881" s="187"/>
      <c r="F881" s="187">
        <f>$H$89</f>
        <v>0.03237015509973906</v>
      </c>
      <c r="G881" s="187">
        <f>$I$881</f>
        <v>0.016</v>
      </c>
      <c r="H881" t="str" s="4">
        <f>TEXT($H$89,"0.0%")</f>
        <v>3.2%</v>
      </c>
      <c r="I881" s="376">
        <v>0.016</v>
      </c>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row>
    <row r="882" ht="12.75" hidden="1" outlineLevel="1">
      <c r="A882" s="4"/>
      <c r="B882" t="s" s="4">
        <v>467</v>
      </c>
      <c r="C882" s="187">
        <f>MIN(SUM($H$89:$H$89),SUM($H$89:$H$90))</f>
        <v>0.03237015509973906</v>
      </c>
      <c r="D882" s="187">
        <f>IF(MAX($H$90,0)=0,"",MAX($H$90,0))</f>
        <v>0.020239959139801433</v>
      </c>
      <c r="E882" t="str" s="187">
        <f>IF(MAX(-$H$90,0)=0,"",MAX(-$H$90,0))</f>
        <v/>
      </c>
      <c r="F882" s="187"/>
      <c r="G882" s="187">
        <f>$I$881</f>
        <v>0.016</v>
      </c>
      <c r="H882" t="str" s="4">
        <f>IF($H$90&lt;0,"("&amp;TEXT(-$H$90,"0.0%")&amp;")",TEXT($H$90,"0.0%"))</f>
        <v>2.0%</v>
      </c>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row>
    <row r="883" ht="12.75" hidden="1" outlineLevel="1">
      <c r="A883" s="4"/>
      <c r="B883" t="s" s="4">
        <v>418</v>
      </c>
      <c r="C883" s="187">
        <f>MIN(SUM($H$89:$H$90),SUM($H$89:$H$91))</f>
        <v>0.0526101142395405</v>
      </c>
      <c r="D883" s="187">
        <f>IF(MAX($H$91,0)=0,"",MAX($H$91,0))</f>
        <v>0.039064937148002</v>
      </c>
      <c r="E883" t="str" s="187">
        <f>IF(MAX(-$H$91,0)=0,"",MAX(-$H$91,0))</f>
        <v/>
      </c>
      <c r="F883" s="187"/>
      <c r="G883" s="187">
        <f>$I$881</f>
        <v>0.016</v>
      </c>
      <c r="H883" t="str" s="4">
        <f>IF($H$91&lt;0,"("&amp;TEXT(-$H$91,"0.0%")&amp;")",TEXT($H$91,"0.0%"))</f>
        <v>3.9%</v>
      </c>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row>
    <row r="884" ht="12.75" hidden="1" outlineLevel="1">
      <c r="A884" s="4"/>
      <c r="B884" t="s" s="4">
        <v>468</v>
      </c>
      <c r="C884" s="187">
        <f>MIN(SUM($H$89:$H$91),SUM($H$89:$H$92))</f>
        <v>0.0916750513875425</v>
      </c>
      <c r="D884" s="187">
        <f>IF(MAX($H$92,0)=0,"",MAX($H$92,0))</f>
        <v>0.011692464262667818</v>
      </c>
      <c r="E884" t="str" s="187">
        <f>IF(MAX(-$H$92,0)=0,"",MAX(-$H$92,0))</f>
        <v/>
      </c>
      <c r="F884" s="187"/>
      <c r="G884" s="187">
        <f>$I$881</f>
        <v>0.016</v>
      </c>
      <c r="H884" t="str" s="4">
        <f>IF($H$92&lt;0,"("&amp;TEXT(-$H$92,"0.0%")&amp;")",TEXT($H$92,"0.0%"))</f>
        <v>1.2%</v>
      </c>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row>
    <row r="885" ht="12.75" hidden="1" outlineLevel="1">
      <c r="A885" s="4"/>
      <c r="B885" t="s" s="4">
        <v>420</v>
      </c>
      <c r="C885" s="187">
        <f>MIN(SUM($H$89:$H$92),SUM($H$89:$H$93))</f>
        <v>0.10336751565021032</v>
      </c>
      <c r="D885" s="187">
        <f>IF(MAX($H$93,0)=0,"",MAX($H$93,0))</f>
        <v>0.027208130277723452</v>
      </c>
      <c r="E885" t="str" s="187">
        <f>IF(MAX(-$H$93,0)=0,"",MAX(-$H$93,0))</f>
        <v/>
      </c>
      <c r="F885" s="187"/>
      <c r="G885" s="187">
        <f>$I$881</f>
        <v>0.016</v>
      </c>
      <c r="H885" t="str" s="4">
        <f>IF($H$93&lt;0,"("&amp;TEXT(-$H$93,"0.0%")&amp;")",TEXT($H$93,"0.0%"))</f>
        <v>2.7%</v>
      </c>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row>
    <row r="886" ht="12.75" hidden="1" outlineLevel="1">
      <c r="A886" s="4"/>
      <c r="B886" t="s" s="4">
        <v>419</v>
      </c>
      <c r="C886" s="187">
        <f>MIN(SUM($H$89:$H$93),SUM($H$89:$H$94))</f>
        <v>0.13057564592793378</v>
      </c>
      <c r="D886" s="187">
        <f>IF(MAX($H$94,0)=0,"",MAX($H$94,0))</f>
        <v>0.05912905378778792</v>
      </c>
      <c r="E886" t="str" s="187">
        <f>IF(MAX(-$H$94,0)=0,"",MAX(-$H$94,0))</f>
        <v/>
      </c>
      <c r="F886" s="187"/>
      <c r="G886" s="187">
        <f>$I$881</f>
        <v>0.016</v>
      </c>
      <c r="H886" t="str" s="4">
        <f>IF($H$94&lt;0,"("&amp;TEXT(-$H$94,"0.0%")&amp;")",TEXT($H$94,"0.0%"))</f>
        <v>5.9%</v>
      </c>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row>
    <row r="887" ht="12.75" hidden="1" outlineLevel="1">
      <c r="A887" s="4"/>
      <c r="B887" t="s" s="4">
        <v>469</v>
      </c>
      <c r="C887" s="187">
        <f>MIN(SUM($H$89:$H$94),SUM($H$89:$H$95))</f>
        <v>0.18970469971572168</v>
      </c>
      <c r="D887" s="187">
        <f>IF(MAX($H$95,0)=0,"",MAX($H$95,0))</f>
        <v>0.022030791239403314</v>
      </c>
      <c r="E887" t="str" s="187">
        <f>IF(MAX(-$H$95,0)=0,"",MAX(-$H$95,0))</f>
        <v/>
      </c>
      <c r="F887" s="187"/>
      <c r="G887" s="187">
        <f>$I$881</f>
        <v>0.016</v>
      </c>
      <c r="H887" t="str" s="4">
        <f>IF($H$95&lt;0,"("&amp;TEXT(-$H$95,"0.0%")&amp;")",TEXT($H$95,"0.0%"))</f>
        <v>2.2%</v>
      </c>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row>
    <row r="888" ht="12.75" hidden="1" outlineLevel="1">
      <c r="A888" s="4"/>
      <c r="B888" t="s" s="4">
        <v>125</v>
      </c>
      <c r="C888" s="187"/>
      <c r="D888" s="187"/>
      <c r="E888" s="187"/>
      <c r="F888" s="187">
        <f>$H$96</f>
        <v>0.211735490955125</v>
      </c>
      <c r="G888" s="187">
        <f>$I$881</f>
        <v>0.016</v>
      </c>
      <c r="H888" t="str" s="4">
        <f>TEXT($H$96,"0.0%")</f>
        <v>21.2%</v>
      </c>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row>
    <row r="889" ht="12.75" hidden="1" outlineLevel="1">
      <c r="A889" s="4"/>
      <c r="B889" t="s" s="4">
        <v>467</v>
      </c>
      <c r="C889" s="187">
        <f>MIN(SUM($H$89:$H$96)-$H$96,SUM($H$89:$H$97)-$H$96)</f>
        <v>0.211735490955125</v>
      </c>
      <c r="D889" s="187">
        <f>IF(MAX($H$97,0)=0,"",MAX($H$97,0))</f>
        <v>0.00873768078889649</v>
      </c>
      <c r="E889" t="str" s="187">
        <f>IF(MAX(-$H$97,0)=0,"",MAX(-$H$97,0))</f>
        <v/>
      </c>
      <c r="F889" s="187"/>
      <c r="G889" s="187">
        <f>$I$881</f>
        <v>0.016</v>
      </c>
      <c r="H889" t="str" s="4">
        <f>IF($H$97&lt;0,"("&amp;TEXT(-$H$97,"0.0%")&amp;")",TEXT($H$97,"0.0%"))</f>
        <v>0.9%</v>
      </c>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row>
    <row r="890" ht="12.75" hidden="1" outlineLevel="1">
      <c r="A890" s="4"/>
      <c r="B890" t="s" s="4">
        <v>418</v>
      </c>
      <c r="C890" s="187">
        <f>MIN(SUM($H$89:$H$97)-$H$96,SUM($H$89:$H$98)-$H$96)</f>
        <v>0.22047317174402148</v>
      </c>
      <c r="D890" s="187">
        <f>IF(MAX($H$98,0)=0,"",MAX($H$98,0))</f>
        <v>0.012647366655320624</v>
      </c>
      <c r="E890" t="str" s="187">
        <f>IF(MAX(-$H$98,0)=0,"",MAX(-$H$98,0))</f>
        <v/>
      </c>
      <c r="F890" s="187"/>
      <c r="G890" s="187">
        <f>$I$881</f>
        <v>0.016</v>
      </c>
      <c r="H890" t="str" s="4">
        <f>IF($H$98&lt;0,"("&amp;TEXT(-$H$98,"0.0%")&amp;")",TEXT($H$98,"0.0%"))</f>
        <v>1.3%</v>
      </c>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row>
    <row r="891" ht="12.75" hidden="1" outlineLevel="1">
      <c r="A891" s="4"/>
      <c r="B891" t="s" s="4">
        <v>468</v>
      </c>
      <c r="C891" s="187">
        <f>MIN(SUM($H$89:$H$98)-$H$96,SUM($H$89:$H$99)-$H$96)</f>
        <v>0.2331205383993421</v>
      </c>
      <c r="D891" s="187">
        <f>IF(MAX($H$99,0)=0,"",MAX($H$99,0))</f>
        <v>0.006033617815730217</v>
      </c>
      <c r="E891" t="str" s="187">
        <f>IF(MAX(-$H$99,0)=0,"",MAX(-$H$99,0))</f>
        <v/>
      </c>
      <c r="F891" s="187"/>
      <c r="G891" s="187">
        <f>$I$881</f>
        <v>0.016</v>
      </c>
      <c r="H891" t="str" s="4">
        <f>IF($H$99&lt;0,"("&amp;TEXT(-$H$99,"0.0%")&amp;")",TEXT($H$99,"0.0%"))</f>
        <v>0.6%</v>
      </c>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row>
    <row r="892" ht="12.75" hidden="1" outlineLevel="1">
      <c r="A892" s="4"/>
      <c r="B892" t="s" s="4">
        <v>420</v>
      </c>
      <c r="C892" s="187">
        <f>MIN(SUM($H$89:$H$99)-$H$96,SUM($H$89:$H$100)-$H$96)</f>
        <v>0.2391541562150723</v>
      </c>
      <c r="D892" s="187">
        <f>IF(MAX($H$100,0)=0,"",MAX($H$100,0))</f>
        <v>0.0117202087732796</v>
      </c>
      <c r="E892" t="str" s="187">
        <f>IF(MAX(-$H$100,0)=0,"",MAX(-$H$100,0))</f>
        <v/>
      </c>
      <c r="F892" s="187"/>
      <c r="G892" s="187">
        <f>$I$881</f>
        <v>0.016</v>
      </c>
      <c r="H892" t="str" s="4">
        <f>IF($H$100&lt;0,"("&amp;TEXT(-$H$100,"0.0%")&amp;")",TEXT($H$100,"0.0%"))</f>
        <v>1.2%</v>
      </c>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row>
    <row r="893" ht="12.75" hidden="1" outlineLevel="1">
      <c r="A893" s="4"/>
      <c r="B893" t="s" s="4">
        <v>419</v>
      </c>
      <c r="C893" s="187">
        <f>MIN(SUM($H$89:$H$100)-$H$96,SUM($H$89:$H$101)-$H$96)</f>
        <v>0.2508743649883519</v>
      </c>
      <c r="D893" s="187">
        <f>IF(MAX($H$101,0)=0,"",MAX($H$101,0))</f>
        <v>0.017160831410214798</v>
      </c>
      <c r="E893" t="str" s="187">
        <f>IF(MAX(-$H$101,0)=0,"",MAX(-$H$101,0))</f>
        <v/>
      </c>
      <c r="F893" s="187"/>
      <c r="G893" s="187">
        <f>$I$881</f>
        <v>0.016</v>
      </c>
      <c r="H893" t="str" s="4">
        <f>IF($H$101&lt;0,"("&amp;TEXT(-$H$101,"0.0%")&amp;")",TEXT($H$101,"0.0%"))</f>
        <v>1.7%</v>
      </c>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row>
    <row r="894" ht="12.75" hidden="1" outlineLevel="1">
      <c r="A894" s="4"/>
      <c r="B894" t="s" s="4">
        <v>469</v>
      </c>
      <c r="C894" s="187">
        <f>MIN(SUM($H$89:$H$101)-$H$96,SUM($H$89:$H$102)-$H$96)</f>
        <v>0.2680351963985667</v>
      </c>
      <c r="D894" s="187">
        <f>IF(MAX($H$102,0)=0,"",MAX($H$102,0))</f>
        <v>0.007585681542377853</v>
      </c>
      <c r="E894" t="str" s="187">
        <f>IF(MAX(-$H$102,0)=0,"",MAX(-$H$102,0))</f>
        <v/>
      </c>
      <c r="F894" s="187"/>
      <c r="G894" s="187">
        <f>$I$881</f>
        <v>0.016</v>
      </c>
      <c r="H894" t="str" s="4">
        <f>IF($H$102&lt;0,"("&amp;TEXT(-$H$102,"0.0%")&amp;")",TEXT($H$102,"0.0%"))</f>
        <v>0.8%</v>
      </c>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row>
    <row r="895" ht="12.75" hidden="1" outlineLevel="1">
      <c r="A895" s="4"/>
      <c r="B895" t="s" s="4">
        <v>284</v>
      </c>
      <c r="C895" s="187"/>
      <c r="D895" s="187"/>
      <c r="E895" s="187"/>
      <c r="F895" s="187">
        <f>$H$103</f>
        <v>0.2756208779409446</v>
      </c>
      <c r="G895" s="187">
        <f>$I$881</f>
        <v>0.016</v>
      </c>
      <c r="H895" t="str" s="4">
        <f>TEXT($H$103,"0.0%")</f>
        <v>27.6%</v>
      </c>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row>
    <row r="896" ht="12.75" hidden="1" outlineLevel="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row>
    <row r="897" ht="12.75" hidden="1" outlineLevel="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row>
    <row r="898" ht="12.75" hidden="1" outlineLevel="1">
      <c r="A898" s="4"/>
      <c r="B898" t="s" s="16">
        <v>567</v>
      </c>
      <c r="C898" t="s" s="4">
        <v>405</v>
      </c>
      <c r="D898" t="s" s="4">
        <v>568</v>
      </c>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row>
    <row r="899" ht="12.75" hidden="1" outlineLevel="1">
      <c r="A899" s="4"/>
      <c r="B899" t="s" s="4">
        <v>569</v>
      </c>
      <c r="C899" s="286">
        <f>$C$166-'Driver Assumptions'!F56</f>
        <v>0</v>
      </c>
      <c r="D899" t="str" s="4">
        <f>IF(ABS(C899)&lt;1e-7,"OK","Check")</f>
        <v>OK</v>
      </c>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row>
    <row r="900" ht="12.75" hidden="1" outlineLevel="1">
      <c r="A900" s="4"/>
      <c r="B900" t="s" s="4">
        <v>570</v>
      </c>
      <c r="C900" s="4">
        <f>MAX(ABS(F31-$C$183),ABS(N31-$C$183),ABS(V31-$C$183),ABS(F41-$C$183),ABS(N41-$C$183),ABS(V41-$C$183),ABS(F51-$C$183),ABS(N51-$C$183),ABS(V51-$C$183),ABS(F61-$C$183))</f>
        <v>0</v>
      </c>
      <c r="D900" t="str" s="4">
        <f>IF(C900&lt;1e-7,"OK","Check")</f>
        <v>OK</v>
      </c>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row>
    <row r="901" ht="12.75" hidden="1" outlineLevel="1">
      <c r="A901" s="4"/>
      <c r="B901" t="s" s="4">
        <v>571</v>
      </c>
      <c r="C901" s="23">
        <f>$H$76</f>
        <v>0</v>
      </c>
      <c r="D901" t="str" s="4">
        <f>IF(ABS(C901)&lt;0.001,"OK","Check")</f>
        <v>OK</v>
      </c>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row>
    <row r="902" ht="12.75" hidden="1" outlineLevel="1">
      <c r="A902" s="4"/>
      <c r="B902" t="s" s="4">
        <v>572</v>
      </c>
      <c r="C902" s="4">
        <f>MAX(ABS($H$89-'Driver Assumptions'!E56),ABS($H$96-'Driver Assumptions'!F56),ABS($H$103-'Driver Assumptions'!G56))</f>
        <v>0</v>
      </c>
      <c r="D902" t="str" s="4">
        <f>IF(C902&lt;1e-7,"OK","Check")</f>
        <v>OK</v>
      </c>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row>
    <row r="903" ht="12.75" hidden="1" outlineLevel="1">
      <c r="A903" s="4"/>
      <c r="B903" t="s" s="4">
        <v>573</v>
      </c>
      <c r="C903" s="4">
        <f>MAX(ABS(SUM($H$90:$H$95)-($H$96-$H$89)),ABS(SUM($H$97:$H$102)-($H$103-$H$96)))</f>
        <v>1.3877787807814457e-17</v>
      </c>
      <c r="D903" t="str" s="4">
        <f>IF(C903&lt;1e-7,"OK","Check")</f>
        <v>OK</v>
      </c>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row>
    <row r="904" ht="12.75" hidden="1" outlineLevel="1">
      <c r="A904" s="4"/>
      <c r="B904" t="s" s="4">
        <v>615</v>
      </c>
      <c r="C904" s="187">
        <f>$C$913-$C$183</f>
        <v>0</v>
      </c>
      <c r="D904" t="str" s="4">
        <f>IF(ABS(C904)&lt;1e-7,"OK","Check")</f>
        <v>OK</v>
      </c>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row>
    <row r="905" ht="12.75" hidden="1" outlineLevel="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row>
    <row r="906" ht="12.75" hidden="1" outlineLevel="1">
      <c r="A906" s="4"/>
      <c r="B906" t="s" s="16">
        <v>584</v>
      </c>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row>
    <row r="907" ht="12.75" hidden="1" outlineLevel="1">
      <c r="A907" s="4"/>
      <c r="B907" t="s" s="16">
        <v>585</v>
      </c>
      <c r="C907" t="s" s="16">
        <v>71</v>
      </c>
      <c r="D907" t="s" s="16">
        <v>72</v>
      </c>
      <c r="E907" t="s" s="16">
        <v>565</v>
      </c>
      <c r="F907" t="s" s="16">
        <v>586</v>
      </c>
      <c r="G907" t="s" s="16">
        <v>587</v>
      </c>
      <c r="H907" t="s" s="16">
        <v>588</v>
      </c>
      <c r="I907" t="s" s="16">
        <v>589</v>
      </c>
      <c r="J907" t="s" s="16">
        <v>590</v>
      </c>
      <c r="K907" t="s" s="16">
        <v>421</v>
      </c>
      <c r="L907" t="s" s="16">
        <v>591</v>
      </c>
      <c r="M907" s="4"/>
      <c r="N907" s="4"/>
      <c r="O907" s="4"/>
      <c r="P907" s="4"/>
      <c r="Q907" s="4"/>
      <c r="R907" s="4"/>
      <c r="S907" s="4"/>
      <c r="T907" s="4"/>
      <c r="U907" s="4"/>
      <c r="V907" s="4"/>
      <c r="W907" s="4"/>
      <c r="X907" s="4"/>
      <c r="Y907" s="4"/>
      <c r="Z907" s="4"/>
      <c r="AA907" s="4"/>
      <c r="AB907" s="4"/>
      <c r="AC907" s="4"/>
      <c r="AD907" s="4"/>
      <c r="AE907" s="4"/>
      <c r="AF907" s="4"/>
      <c r="AG907" s="4"/>
      <c r="AH907" s="4"/>
    </row>
    <row r="908" ht="12.75" hidden="1" outlineLevel="1">
      <c r="A908" s="4"/>
      <c r="B908" s="4"/>
      <c r="C908" s="187">
        <f>IF($C$165=0,Model!$M$140,INDEX(Model!$I$140:$R$140,INDEX($J$909:$J$917,$C$165)))</f>
        <v>0.211735490955125</v>
      </c>
      <c r="D908" s="190">
        <f>IF($C$165=0,Model!$M$141,INDEX(Model!$I$141:$R$141,INDEX($J$909:$J$917,$C$165)))</f>
        <v>2.6123967897992326</v>
      </c>
      <c r="E908" s="345">
        <f>IF($C$165=0,Model!$M$138,INDEX(Model!$I$138:$R$138,INDEX($J$909:$J$917,$C$165)))</f>
        <v>11770.16698129217</v>
      </c>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row>
    <row r="909" ht="12.75" hidden="1" outlineLevel="1">
      <c r="A909" s="4"/>
      <c r="B909" s="4">
        <f>ROW()-ROW($B$908)</f>
        <v>1</v>
      </c>
      <c r="C909" s="187">
        <f t="dataTable" ref="C909:E917" r1="C165"/>
        <v>0.1416528009267104</v>
      </c>
      <c r="D909" s="190">
        <v>1.6987762708815397</v>
      </c>
      <c r="E909" s="345">
        <v>7653.845101252472</v>
      </c>
      <c r="F909" s="4">
        <f>INT((B909-1)/3)+1</f>
        <v>1</v>
      </c>
      <c r="G909" s="4">
        <f>MOD(B909-1,3)+1</f>
        <v>1</v>
      </c>
      <c r="H909" s="4">
        <f>CHOOSE(G909,64,1,128)</f>
        <v>64</v>
      </c>
      <c r="I909" s="4" cm="1">
        <f t="array" ref="I909:I909">INDEX($E$126:$E$128,F909)</f>
        <v>2030</v>
      </c>
      <c r="J909" s="4">
        <f>I909-YEAR(Model!$H$28)</f>
        <v>4</v>
      </c>
      <c r="K909" s="221" cm="1">
        <f t="array" ref="K909:K909">INDEX($F$126:$F$128,F909)</f>
        <v>7</v>
      </c>
      <c r="L909" s="220">
        <f>(K909-$J$18)/($E$18-$J$18)</f>
        <v>-0.8710191036395523</v>
      </c>
      <c r="M909" s="4"/>
      <c r="N909" s="4"/>
      <c r="O909" s="4"/>
      <c r="P909" s="4"/>
      <c r="Q909" s="4"/>
      <c r="R909" s="4"/>
      <c r="S909" s="4"/>
      <c r="T909" s="4"/>
      <c r="U909" s="4"/>
      <c r="V909" s="4"/>
      <c r="W909" s="4"/>
      <c r="X909" s="4"/>
      <c r="Y909" s="4"/>
      <c r="Z909" s="4"/>
      <c r="AA909" s="4"/>
      <c r="AB909" s="4"/>
      <c r="AC909" s="4"/>
      <c r="AD909" s="4"/>
      <c r="AE909" s="4"/>
      <c r="AF909" s="4"/>
      <c r="AG909" s="4"/>
      <c r="AH909" s="4"/>
    </row>
    <row r="910" ht="12.75" hidden="1" outlineLevel="1">
      <c r="A910" s="4"/>
      <c r="B910" s="4">
        <f>ROW()-ROW($B$908)</f>
        <v>2</v>
      </c>
      <c r="C910" s="187">
        <v>0.3042640093678213</v>
      </c>
      <c r="D910" s="190">
        <v>2.89375688100427</v>
      </c>
      <c r="E910" s="345">
        <v>13037.836298712129</v>
      </c>
      <c r="F910" s="4">
        <f>INT((B910-1)/3)+1</f>
        <v>1</v>
      </c>
      <c r="G910" s="4">
        <f>MOD(B910-1,3)+1</f>
        <v>2</v>
      </c>
      <c r="H910" s="4">
        <f>CHOOSE(G910,64,1,128)</f>
        <v>1</v>
      </c>
      <c r="I910" s="4" cm="1">
        <f t="array" ref="I910:I910">INDEX($E$126:$E$128,F910)</f>
        <v>2030</v>
      </c>
      <c r="J910" s="4">
        <f>I910-YEAR(Model!$H$28)</f>
        <v>4</v>
      </c>
      <c r="K910" s="221" cm="1">
        <f t="array" ref="K910:K910">INDEX($F$126:$F$128,F910)</f>
        <v>7</v>
      </c>
      <c r="L910" s="220">
        <f>(K910-$J$18)/($E$18-$J$18)</f>
        <v>-0.8710191036395523</v>
      </c>
      <c r="M910" s="4"/>
      <c r="N910" s="4"/>
      <c r="O910" s="4"/>
      <c r="P910" s="4"/>
      <c r="Q910" s="4"/>
      <c r="R910" s="4"/>
      <c r="S910" s="4"/>
      <c r="T910" s="4"/>
      <c r="U910" s="4"/>
      <c r="V910" s="4"/>
      <c r="W910" s="4"/>
      <c r="X910" s="4"/>
      <c r="Y910" s="4"/>
      <c r="Z910" s="4"/>
      <c r="AA910" s="4"/>
      <c r="AB910" s="4"/>
      <c r="AC910" s="4"/>
      <c r="AD910" s="4"/>
      <c r="AE910" s="4"/>
      <c r="AF910" s="4"/>
      <c r="AG910" s="4"/>
      <c r="AH910" s="4"/>
    </row>
    <row r="911" ht="12.75" hidden="1" outlineLevel="1">
      <c r="A911" s="4"/>
      <c r="B911" s="4">
        <f>ROW()-ROW($B$908)</f>
        <v>3</v>
      </c>
      <c r="C911" s="187">
        <v>0.3757605316741861</v>
      </c>
      <c r="D911" s="190">
        <v>3.582377795446166</v>
      </c>
      <c r="E911" s="345">
        <v>16140.421320038127</v>
      </c>
      <c r="F911" s="4">
        <f>INT((B911-1)/3)+1</f>
        <v>1</v>
      </c>
      <c r="G911" s="4">
        <f>MOD(B911-1,3)+1</f>
        <v>3</v>
      </c>
      <c r="H911" s="4">
        <f>CHOOSE(G911,64,1,128)</f>
        <v>128</v>
      </c>
      <c r="I911" s="4" cm="1">
        <f t="array" ref="I911:I911">INDEX($E$126:$E$128,F911)</f>
        <v>2030</v>
      </c>
      <c r="J911" s="4">
        <f>I911-YEAR(Model!$H$28)</f>
        <v>4</v>
      </c>
      <c r="K911" s="221" cm="1">
        <f t="array" ref="K911:K911">INDEX($F$126:$F$128,F911)</f>
        <v>7</v>
      </c>
      <c r="L911" s="220">
        <f>(K911-$J$18)/($E$18-$J$18)</f>
        <v>-0.8710191036395523</v>
      </c>
      <c r="M911" s="4"/>
      <c r="N911" s="4"/>
      <c r="O911" s="4"/>
      <c r="P911" s="4"/>
      <c r="Q911" s="4"/>
      <c r="R911" s="4"/>
      <c r="S911" s="4"/>
      <c r="T911" s="4"/>
      <c r="U911" s="4"/>
      <c r="V911" s="4"/>
      <c r="W911" s="4"/>
      <c r="X911" s="4"/>
      <c r="Y911" s="4"/>
      <c r="Z911" s="4"/>
      <c r="AA911" s="4"/>
      <c r="AB911" s="4"/>
      <c r="AC911" s="4"/>
      <c r="AD911" s="4"/>
      <c r="AE911" s="4"/>
      <c r="AF911" s="4"/>
      <c r="AG911" s="4"/>
      <c r="AH911" s="4"/>
    </row>
    <row r="912" ht="12.75" hidden="1" outlineLevel="1">
      <c r="A912" s="4"/>
      <c r="B912" s="4">
        <f>ROW()-ROW($B$908)</f>
        <v>4</v>
      </c>
      <c r="C912" s="187">
        <v>0.03237015509973906</v>
      </c>
      <c r="D912" s="190">
        <v>1.172673753363568</v>
      </c>
      <c r="E912" s="345">
        <v>5283.487541235487</v>
      </c>
      <c r="F912" s="4">
        <f>INT((B912-1)/3)+1</f>
        <v>2</v>
      </c>
      <c r="G912" s="4">
        <f>MOD(B912-1,3)+1</f>
        <v>1</v>
      </c>
      <c r="H912" s="4">
        <f>CHOOSE(G912,64,1,128)</f>
        <v>64</v>
      </c>
      <c r="I912" s="4" cm="1">
        <f t="array" ref="I912:I912">INDEX($E$126:$E$128,F912)</f>
        <v>2031</v>
      </c>
      <c r="J912" s="4">
        <f>I912-YEAR(Model!$H$28)</f>
        <v>5</v>
      </c>
      <c r="K912" s="221" cm="1">
        <f t="array" ref="K912:K912">INDEX($F$126:$F$128,F912)</f>
        <v>6</v>
      </c>
      <c r="L912" s="220">
        <f>(K912-$J$18)/($E$18-$J$18)</f>
        <v>0</v>
      </c>
      <c r="M912" s="4"/>
      <c r="N912" s="4"/>
      <c r="O912" s="4"/>
      <c r="P912" s="4"/>
      <c r="Q912" s="4"/>
      <c r="R912" s="4"/>
      <c r="S912" s="4"/>
      <c r="T912" s="4"/>
      <c r="U912" s="4"/>
      <c r="V912" s="4"/>
      <c r="W912" s="4"/>
      <c r="X912" s="4"/>
      <c r="Y912" s="4"/>
      <c r="Z912" s="4"/>
      <c r="AA912" s="4"/>
      <c r="AB912" s="4"/>
      <c r="AC912" s="4"/>
      <c r="AD912" s="4"/>
      <c r="AE912" s="4"/>
      <c r="AF912" s="4"/>
      <c r="AG912" s="4"/>
      <c r="AH912" s="4"/>
    </row>
    <row r="913" ht="12.75" hidden="1" outlineLevel="1">
      <c r="A913" s="4"/>
      <c r="B913" s="4">
        <f>ROW()-ROW($B$908)</f>
        <v>5</v>
      </c>
      <c r="C913" s="187">
        <v>0.211735490955125</v>
      </c>
      <c r="D913" s="190">
        <v>2.6123967897992326</v>
      </c>
      <c r="E913" s="345">
        <v>11770.16698129217</v>
      </c>
      <c r="F913" s="4">
        <f>INT((B913-1)/3)+1</f>
        <v>2</v>
      </c>
      <c r="G913" s="4">
        <f>MOD(B913-1,3)+1</f>
        <v>2</v>
      </c>
      <c r="H913" s="4">
        <f>CHOOSE(G913,64,1,128)</f>
        <v>1</v>
      </c>
      <c r="I913" s="4" cm="1">
        <f t="array" ref="I913:I913">INDEX($E$126:$E$128,F913)</f>
        <v>2031</v>
      </c>
      <c r="J913" s="4">
        <f>I913-YEAR(Model!$H$28)</f>
        <v>5</v>
      </c>
      <c r="K913" s="221" cm="1">
        <f t="array" ref="K913:K913">INDEX($F$126:$F$128,F913)</f>
        <v>6</v>
      </c>
      <c r="L913" s="220">
        <f>(K913-$J$18)/($E$18-$J$18)</f>
        <v>0</v>
      </c>
      <c r="M913" s="4"/>
      <c r="N913" s="4"/>
      <c r="O913" s="4"/>
      <c r="P913" s="4"/>
      <c r="Q913" s="4"/>
      <c r="R913" s="4"/>
      <c r="S913" s="4"/>
      <c r="T913" s="4"/>
      <c r="U913" s="4"/>
      <c r="V913" s="4"/>
      <c r="W913" s="4"/>
      <c r="X913" s="4"/>
      <c r="Y913" s="4"/>
      <c r="Z913" s="4"/>
      <c r="AA913" s="4"/>
      <c r="AB913" s="4"/>
      <c r="AC913" s="4"/>
      <c r="AD913" s="4"/>
      <c r="AE913" s="4"/>
      <c r="AF913" s="4"/>
      <c r="AG913" s="4"/>
      <c r="AH913" s="4"/>
    </row>
    <row r="914" ht="12.75" hidden="1" outlineLevel="1">
      <c r="A914" s="4"/>
      <c r="B914" s="4">
        <f>ROW()-ROW($B$908)</f>
        <v>6</v>
      </c>
      <c r="C914" s="187">
        <v>0.2756208779409446</v>
      </c>
      <c r="D914" s="190">
        <v>3.3775990466876364</v>
      </c>
      <c r="E914" s="345">
        <v>15217.789629278317</v>
      </c>
      <c r="F914" s="4">
        <f>INT((B914-1)/3)+1</f>
        <v>2</v>
      </c>
      <c r="G914" s="4">
        <f>MOD(B914-1,3)+1</f>
        <v>3</v>
      </c>
      <c r="H914" s="4">
        <f>CHOOSE(G914,64,1,128)</f>
        <v>128</v>
      </c>
      <c r="I914" s="4" cm="1">
        <f t="array" ref="I914:I914">INDEX($E$126:$E$128,F914)</f>
        <v>2031</v>
      </c>
      <c r="J914" s="4">
        <f>I914-YEAR(Model!$H$28)</f>
        <v>5</v>
      </c>
      <c r="K914" s="221" cm="1">
        <f t="array" ref="K914:K914">INDEX($F$126:$F$128,F914)</f>
        <v>6</v>
      </c>
      <c r="L914" s="220">
        <f>(K914-$J$18)/($E$18-$J$18)</f>
        <v>0</v>
      </c>
      <c r="M914" s="4"/>
      <c r="N914" s="4"/>
      <c r="O914" s="4"/>
      <c r="P914" s="4"/>
      <c r="Q914" s="4"/>
      <c r="R914" s="4"/>
      <c r="S914" s="4"/>
      <c r="T914" s="4"/>
      <c r="U914" s="4"/>
      <c r="V914" s="4"/>
      <c r="W914" s="4"/>
      <c r="X914" s="4"/>
      <c r="Y914" s="4"/>
      <c r="Z914" s="4"/>
      <c r="AA914" s="4"/>
      <c r="AB914" s="4"/>
      <c r="AC914" s="4"/>
      <c r="AD914" s="4"/>
      <c r="AE914" s="4"/>
      <c r="AF914" s="4"/>
      <c r="AG914" s="4"/>
      <c r="AH914" s="4"/>
    </row>
    <row r="915" ht="12.75" hidden="1" outlineLevel="1">
      <c r="A915" s="4"/>
      <c r="B915" s="4">
        <f>ROW()-ROW($B$908)</f>
        <v>7</v>
      </c>
      <c r="C915" s="187">
        <v>-0.0902242115046914</v>
      </c>
      <c r="D915" s="190">
        <v>0.5670302778514953</v>
      </c>
      <c r="E915" s="345">
        <v>2554.7577917034214</v>
      </c>
      <c r="F915" s="4">
        <f>INT((B915-1)/3)+1</f>
        <v>3</v>
      </c>
      <c r="G915" s="4">
        <f>MOD(B915-1,3)+1</f>
        <v>1</v>
      </c>
      <c r="H915" s="4">
        <f>CHOOSE(G915,64,1,128)</f>
        <v>64</v>
      </c>
      <c r="I915" s="4" cm="1">
        <f t="array" ref="I915:I915">INDEX($E$126:$E$128,F915)</f>
        <v>2032</v>
      </c>
      <c r="J915" s="4">
        <f>I915-YEAR(Model!$H$28)</f>
        <v>6</v>
      </c>
      <c r="K915" s="221" cm="1">
        <f t="array" ref="K915:K915">INDEX($F$126:$F$128,F915)</f>
        <v>4.851919555126287</v>
      </c>
      <c r="L915" s="220">
        <f>(K915-$J$18)/($E$18-$J$18)</f>
        <v>1</v>
      </c>
      <c r="M915" s="4"/>
      <c r="N915" s="4"/>
      <c r="O915" s="4"/>
      <c r="P915" s="4"/>
      <c r="Q915" s="4"/>
      <c r="R915" s="4"/>
      <c r="S915" s="4"/>
      <c r="T915" s="4"/>
      <c r="U915" s="4"/>
      <c r="V915" s="4"/>
      <c r="W915" s="4"/>
      <c r="X915" s="4"/>
      <c r="Y915" s="4"/>
      <c r="Z915" s="4"/>
      <c r="AA915" s="4"/>
      <c r="AB915" s="4"/>
      <c r="AC915" s="4"/>
      <c r="AD915" s="4"/>
      <c r="AE915" s="4"/>
      <c r="AF915" s="4"/>
      <c r="AG915" s="4"/>
      <c r="AH915" s="4"/>
    </row>
    <row r="916" ht="12.75" hidden="1" outlineLevel="1">
      <c r="A916" s="4"/>
      <c r="B916" s="4">
        <f>ROW()-ROW($B$908)</f>
        <v>8</v>
      </c>
      <c r="C916" s="187">
        <v>0.13359420443309267</v>
      </c>
      <c r="D916" s="190">
        <v>2.1220015721913383</v>
      </c>
      <c r="E916" s="345">
        <v>9560.688842056048</v>
      </c>
      <c r="F916" s="4">
        <f>INT((B916-1)/3)+1</f>
        <v>3</v>
      </c>
      <c r="G916" s="4">
        <f>MOD(B916-1,3)+1</f>
        <v>2</v>
      </c>
      <c r="H916" s="4">
        <f>CHOOSE(G916,64,1,128)</f>
        <v>1</v>
      </c>
      <c r="I916" s="4" cm="1">
        <f t="array" ref="I916:I916">INDEX($E$126:$E$128,F916)</f>
        <v>2032</v>
      </c>
      <c r="J916" s="4">
        <f>I916-YEAR(Model!$H$28)</f>
        <v>6</v>
      </c>
      <c r="K916" s="221" cm="1">
        <f t="array" ref="K916:K916">INDEX($F$126:$F$128,F916)</f>
        <v>4.851919555126287</v>
      </c>
      <c r="L916" s="220">
        <f>(K916-$J$18)/($E$18-$J$18)</f>
        <v>1</v>
      </c>
      <c r="M916" s="4"/>
      <c r="N916" s="4"/>
      <c r="O916" s="4"/>
      <c r="P916" s="4"/>
      <c r="Q916" s="4"/>
      <c r="R916" s="4"/>
      <c r="S916" s="4"/>
      <c r="T916" s="4"/>
      <c r="U916" s="4"/>
      <c r="V916" s="4"/>
      <c r="W916" s="4"/>
      <c r="X916" s="4"/>
      <c r="Y916" s="4"/>
      <c r="Z916" s="4"/>
      <c r="AA916" s="4"/>
      <c r="AB916" s="4"/>
      <c r="AC916" s="4"/>
      <c r="AD916" s="4"/>
      <c r="AE916" s="4"/>
      <c r="AF916" s="4"/>
      <c r="AG916" s="4"/>
      <c r="AH916" s="4"/>
    </row>
    <row r="917" ht="12.75" hidden="1" outlineLevel="1">
      <c r="A917" s="4"/>
      <c r="B917" s="4">
        <f>ROW()-ROW($B$908)</f>
        <v>9</v>
      </c>
      <c r="C917" s="187">
        <v>0.19699965231679561</v>
      </c>
      <c r="D917" s="190">
        <v>2.941468118311557</v>
      </c>
      <c r="E917" s="345">
        <v>13252.799520296083</v>
      </c>
      <c r="F917" s="4">
        <f>INT((B917-1)/3)+1</f>
        <v>3</v>
      </c>
      <c r="G917" s="4">
        <f>MOD(B917-1,3)+1</f>
        <v>3</v>
      </c>
      <c r="H917" s="4">
        <f>CHOOSE(G917,64,1,128)</f>
        <v>128</v>
      </c>
      <c r="I917" s="4" cm="1">
        <f t="array" ref="I917:I917">INDEX($E$126:$E$128,F917)</f>
        <v>2032</v>
      </c>
      <c r="J917" s="4">
        <f>I917-YEAR(Model!$H$28)</f>
        <v>6</v>
      </c>
      <c r="K917" s="221" cm="1">
        <f t="array" ref="K917:K917">INDEX($F$126:$F$128,F917)</f>
        <v>4.851919555126287</v>
      </c>
      <c r="L917" s="220">
        <f>(K917-$J$18)/($E$18-$J$18)</f>
        <v>1</v>
      </c>
      <c r="M917" s="4"/>
      <c r="N917" s="4"/>
      <c r="O917" s="4"/>
      <c r="P917" s="4"/>
      <c r="Q917" s="4"/>
      <c r="R917" s="4"/>
      <c r="S917" s="4"/>
      <c r="T917" s="4"/>
      <c r="U917" s="4"/>
      <c r="V917" s="4"/>
      <c r="W917" s="4"/>
      <c r="X917" s="4"/>
      <c r="Y917" s="4"/>
      <c r="Z917" s="4"/>
      <c r="AA917" s="4"/>
      <c r="AB917" s="4"/>
      <c r="AC917" s="4"/>
      <c r="AD917" s="4"/>
      <c r="AE917" s="4"/>
      <c r="AF917" s="4"/>
      <c r="AG917" s="4"/>
      <c r="AH917" s="4"/>
    </row>
    <row r="918" ht="12.75" hidden="1" outlineLevel="1"/>
    <row r="919" ht="12.75" hidden="1" outlineLevel="1"/>
    <row r="920" ht="12.75" hidden="1" outlineLevel="1"/>
    <row r="921" ht="12.75" collapsed="1"/>
  </sheetData>
  <mergeCells count="105">
    <mergeCell ref="R141:X141"/>
    <mergeCell ref="R142:X142"/>
    <mergeCell ref="R143:X143"/>
    <mergeCell ref="R144:X144"/>
    <mergeCell ref="B146:X146"/>
    <mergeCell ref="G137:H137"/>
    <mergeCell ref="G138:H138"/>
    <mergeCell ref="G139:H139"/>
    <mergeCell ref="G125:X125"/>
    <mergeCell ref="B126:D126"/>
    <mergeCell ref="G126:X126"/>
    <mergeCell ref="B127:D127"/>
    <mergeCell ref="G127:X127"/>
    <mergeCell ref="B128:D128"/>
    <mergeCell ref="G128:X128"/>
    <mergeCell ref="D130:E130"/>
    <mergeCell ref="G130:H130"/>
    <mergeCell ref="B134:B136"/>
    <mergeCell ref="D132:E132"/>
    <mergeCell ref="D135:E135"/>
    <mergeCell ref="D138:E138"/>
    <mergeCell ref="B56:H56"/>
    <mergeCell ref="D57:H57"/>
    <mergeCell ref="B59:B63"/>
    <mergeCell ref="G131:H131"/>
    <mergeCell ref="G132:H132"/>
    <mergeCell ref="G133:H133"/>
    <mergeCell ref="G134:H134"/>
    <mergeCell ref="G135:H135"/>
    <mergeCell ref="G136:H136"/>
    <mergeCell ref="R36:X36"/>
    <mergeCell ref="T37:X37"/>
    <mergeCell ref="R39:R43"/>
    <mergeCell ref="B46:H46"/>
    <mergeCell ref="D47:H47"/>
    <mergeCell ref="B49:B53"/>
    <mergeCell ref="J46:P46"/>
    <mergeCell ref="L47:P47"/>
    <mergeCell ref="J49:J53"/>
    <mergeCell ref="R46:X46"/>
    <mergeCell ref="T47:X47"/>
    <mergeCell ref="R49:R53"/>
    <mergeCell ref="B20:D20"/>
    <mergeCell ref="F20:I20"/>
    <mergeCell ref="K20:N20"/>
    <mergeCell ref="P20:R20"/>
    <mergeCell ref="B21:X21"/>
    <mergeCell ref="B24:X24"/>
    <mergeCell ref="B108:X108"/>
    <mergeCell ref="B122:X122"/>
    <mergeCell ref="B78:H81"/>
    <mergeCell ref="B26:H26"/>
    <mergeCell ref="D27:H27"/>
    <mergeCell ref="B29:B33"/>
    <mergeCell ref="J26:P26"/>
    <mergeCell ref="L27:P27"/>
    <mergeCell ref="J29:J33"/>
    <mergeCell ref="R26:X26"/>
    <mergeCell ref="T27:X27"/>
    <mergeCell ref="R29:R33"/>
    <mergeCell ref="B36:H36"/>
    <mergeCell ref="D37:H37"/>
    <mergeCell ref="B39:B43"/>
    <mergeCell ref="J36:P36"/>
    <mergeCell ref="L37:P37"/>
    <mergeCell ref="J39:J43"/>
    <mergeCell ref="B15:D15"/>
    <mergeCell ref="F15:I15"/>
    <mergeCell ref="K15:N15"/>
    <mergeCell ref="P15:R15"/>
    <mergeCell ref="B16:D16"/>
    <mergeCell ref="F16:I16"/>
    <mergeCell ref="K16:N16"/>
    <mergeCell ref="P16:R16"/>
    <mergeCell ref="B18:D18"/>
    <mergeCell ref="F18:I18"/>
    <mergeCell ref="K18:N18"/>
    <mergeCell ref="P18:R18"/>
    <mergeCell ref="B12:D12"/>
    <mergeCell ref="F12:I12"/>
    <mergeCell ref="K12:N12"/>
    <mergeCell ref="P12:R12"/>
    <mergeCell ref="B13:D13"/>
    <mergeCell ref="F13:I13"/>
    <mergeCell ref="K13:N13"/>
    <mergeCell ref="P13:R13"/>
    <mergeCell ref="B14:D14"/>
    <mergeCell ref="F14:I14"/>
    <mergeCell ref="K14:N14"/>
    <mergeCell ref="P14:R14"/>
    <mergeCell ref="E8:I8"/>
    <mergeCell ref="J8:N8"/>
    <mergeCell ref="O8:R8"/>
    <mergeCell ref="B9:D9"/>
    <mergeCell ref="F9:I9"/>
    <mergeCell ref="K9:N9"/>
    <mergeCell ref="P9:R9"/>
    <mergeCell ref="B11:D11"/>
    <mergeCell ref="F11:I11"/>
    <mergeCell ref="K11:N11"/>
    <mergeCell ref="P11:R11"/>
    <mergeCell ref="R145:X145"/>
    <mergeCell ref="B147:X147"/>
    <mergeCell ref="B148:X148"/>
    <mergeCell ref="B149:X149"/>
  </mergeCells>
  <pageMargins left="0.7" right="0.7" top="0.75" bottom="0.75" header="0.3" footer="0.3"/>
  <pageSetup orientation="landscape"/>
  <drawing r:id="rId1"/>
</worksheet>
</file>

<file path=ccalc/calcState.xml><?xml version="1.0" encoding="utf-8"?>
<calcState xmlns="urn:twentyai:ccalc:calc-state" version="1" digest="421bc0761832646695bf65fb2a8ef08b329bb2e79af08e00e6b651ba9a07a4e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Driver Assumptions</vt:lpstr>
      <vt:lpstr>Model</vt:lpstr>
      <vt:lpstr>LBO Output</vt:lpstr>
      <vt:lpstr>From Company&gt;&gt;&gt;</vt:lpstr>
      <vt:lpstr>Income Statement</vt:lpstr>
      <vt:lpstr>Balance Sheet</vt:lpstr>
      <vt:lpstr>Cash Flow</vt:lpstr>
      <vt:lpstr>Peer Benchmark</vt:lpstr>
      <vt:lpstr>Sensitivity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Compound</dc:creator>
  <cp:keywords/>
  <dc:description/>
  <cp:lastModifiedBy>Compound</cp:lastModifiedBy>
  <cp:revision/>
  <dcterms:created xsi:type="dcterms:W3CDTF">2026-10-19T21:52:43Z</dcterms:created>
  <dcterms:modified xsi:type="dcterms:W3CDTF">2026-10-30T22:12:27Z</dcterms:modified>
  <cp:category/>
  <cp:contentStatus/>
</cp:coreProperties>
</file>