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Trading Comps" sheetId="4" r:id="rId1"/>
    <sheet name="Precedents" sheetId="5" r:id="rId2"/>
  </sheets>
  <definedNames>
    <definedName name="_xlnm.Print_Area" localSheetId="0">'Trading Comps'!$B$2:$T$45</definedName>
  </definedNames>
  <calcPr/>
  <extLst>
    <ext xmlns:xccaches="urn:twentyai:ccalc:caches" uri="{3C5F2E7A-9B41-4D6E-A8C2-19409CCA1C01}">
      <xccaches:writer/>
    </ext>
  </extLst>
</workbook>
</file>

<file path=xl/comments1.xml><?xml version="1.0" encoding="utf-8"?>
<comments xmlns="http://schemas.openxmlformats.org/spreadsheetml/2006/main">
  <authors>
    <author>Compound</author>
  </authors>
  <commentList>
    <comment ref="AC12" authorId="0">
      <text>
        <r>
          <t xml:space="preserve">GWRE close, 2025-09-08: 261.88 (data provided by Fiscal.ai)</t>
        </r>
      </text>
    </comment>
    <comment ref="AC13" authorId="0">
      <text>
        <r>
          <t xml:space="preserve">INTA close, 2025-02-13: 74.1 (data provided by Fiscal.ai)</t>
        </r>
      </text>
    </comment>
    <comment ref="AC14" authorId="0">
      <text>
        <r>
          <t xml:space="preserve">QTWO close, 2024-12-26: 105.68 (data provided by Fiscal.ai)</t>
        </r>
      </text>
    </comment>
    <comment ref="AC15" authorId="0">
      <text>
        <r>
          <t xml:space="preserve">CCC close, 2024-12-20: 12.05 (data provided by Fiscal.ai)</t>
        </r>
      </text>
    </comment>
    <comment ref="AC16" authorId="0">
      <text>
        <r>
          <t xml:space="preserve">NCNO close, 2024-12-26: 35.44 (data provided by Fiscal.ai)</t>
        </r>
      </text>
    </comment>
    <comment ref="AC17" authorId="0">
      <text>
        <r>
          <t xml:space="preserve">ALKT close, 2024-12-26: 39.9 (data provided by Fiscal.ai)</t>
        </r>
      </text>
    </comment>
    <comment ref="AC18" authorId="0">
      <text>
        <r>
          <t xml:space="preserve">SSNC close, 2025-08-22: 90.2 (data provided by Fiscal.ai)</t>
        </r>
      </text>
    </comment>
    <comment ref="AC24" authorId="0">
      <text>
        <r>
          <t xml:space="preserve">VEEV close, 2025-10-07: 306.22 (data provided by Fiscal.ai)</t>
        </r>
      </text>
    </comment>
    <comment ref="AC25" authorId="0">
      <text>
        <r>
          <t xml:space="preserve">Nemetschek SE close, 2025-08-08: 137.7 (data provided by Fiscal.ai)</t>
        </r>
      </text>
    </comment>
    <comment ref="AC26" authorId="0">
      <text>
        <r>
          <t xml:space="preserve">BSY close, 2025-07-28: 58.72 (data provided by Fiscal.ai)</t>
        </r>
      </text>
    </comment>
    <comment ref="AC27" authorId="0">
      <text>
        <r>
          <t xml:space="preserve">PCOR close, 2025-02-18: 88.33 (data provided by Fiscal.ai)</t>
        </r>
      </text>
    </comment>
    <comment ref="AC28" authorId="0">
      <text>
        <r>
          <t xml:space="preserve">CLBT close, 2025-02-05: 26 (data provided by Fiscal.ai)</t>
        </r>
      </text>
    </comment>
    <comment ref="AC29" authorId="0">
      <text>
        <r>
          <t xml:space="preserve">TYL close, 2025-02-13: 646.74 (data provided by Fiscal.ai)</t>
        </r>
      </text>
    </comment>
    <comment ref="AC30" authorId="0">
      <text>
        <r>
          <t xml:space="preserve">APPF close, 2025-08-04: 321.25 (data provided by Fiscal.ai)</t>
        </r>
      </text>
    </comment>
    <comment ref="AC31" authorId="0">
      <text>
        <r>
          <t xml:space="preserve">VERX close, 2025-01-28: 58.95 (data provided by Fiscal.ai)</t>
        </r>
      </text>
    </comment>
    <comment ref="AC37" authorId="0">
      <text>
        <r>
          <t xml:space="preserve">DSGX close, 2025-02-10: 175.34 (data provided by Fiscal.ai)</t>
        </r>
      </text>
    </comment>
    <comment ref="AC38" authorId="0">
      <text>
        <r>
          <t xml:space="preserve">ADSK close, 2025-09-08: 326.79 (data provided by Fiscal.ai)</t>
        </r>
      </text>
    </comment>
    <comment ref="AC39" authorId="0">
      <text>
        <r>
          <t xml:space="preserve">TEAM close, 2025-02-10: 322.94 (data provided by Fiscal.ai)</t>
        </r>
      </text>
    </comment>
    <comment ref="AI8" authorId="0">
      <text>
        <r>
          <t xml:space="preserve">Cited for AI8:AI9
SC 13E-3 exhibit (c)(ii), special committee fairness materials (2025-12-20) p. 4</t>
        </r>
      </text>
    </comment>
    <comment ref="AX12" authorId="0">
      <text>
        <r>
          <t xml:space="preserve">GWRE total shares outstanding, 2025-11-28 (Common Stock): 85.02M (data provided by Fiscal.ai)</t>
        </r>
      </text>
    </comment>
    <comment ref="AX13" authorId="0">
      <text>
        <r>
          <t xml:space="preserve">INTA total shares outstanding, 2025-10-28 (Common Stock): 81.93M (data provided by Fiscal.ai)</t>
        </r>
      </text>
    </comment>
    <comment ref="AX14" authorId="0">
      <text>
        <r>
          <t xml:space="preserve">QTWO total shares outstanding, 2025-10-31 (Common Stock): 62.53M (data provided by Fiscal.ai)</t>
        </r>
      </text>
    </comment>
    <comment ref="AX15" authorId="0">
      <text>
        <r>
          <t xml:space="preserve">CCC total shares outstanding, 2025-10-23 (Common Stock): 642.02M (data provided by Fiscal.ai)</t>
        </r>
      </text>
    </comment>
    <comment ref="AX16" authorId="0">
      <text>
        <r>
          <t xml:space="preserve">NCNO total shares outstanding, 2025-11-28 (Common Stock): 114.68M (data provided by Fiscal.ai)</t>
        </r>
      </text>
    </comment>
    <comment ref="AX17" authorId="0">
      <text>
        <r>
          <t xml:space="preserve">ALKT total shares outstanding, 2025-09-30 (Common Stock): 105.00M (data provided by Fiscal.ai)</t>
        </r>
      </text>
    </comment>
    <comment ref="AX18" authorId="0">
      <text>
        <r>
          <t xml:space="preserve">SSNC total shares outstanding, 2025-10-23 (Common Stock): 244.03M (data provided by Fiscal.ai)</t>
        </r>
      </text>
    </comment>
    <comment ref="AX24" authorId="0">
      <text>
        <r>
          <t xml:space="preserve">VEEV total shares outstanding, 2025-11-19 (Class A): 164.38M (data provided by Fiscal.ai)</t>
        </r>
      </text>
    </comment>
    <comment ref="AX25" authorId="0">
      <text>
        <r>
          <t xml:space="preserve">Nemetschek SE total shares outstanding, 2025-06-30 (Bearer Shares): 115.47M (data provided by Fiscal.ai)</t>
        </r>
      </text>
    </comment>
    <comment ref="AX26" authorId="0">
      <text>
        <r>
          <t xml:space="preserve">BSY total shares outstanding, 2025-10-29 (Class B): 303.56M (data provided by Fiscal.ai)</t>
        </r>
      </text>
    </comment>
    <comment ref="AX27" authorId="0">
      <text>
        <r>
          <t xml:space="preserve">PCOR total shares outstanding, 2025-10-31 (Common Stock): 155.47M (data provided by Fiscal.ai)</t>
        </r>
      </text>
    </comment>
    <comment ref="AX28" authorId="0">
      <text>
        <r>
          <t xml:space="preserve">CLBT total shares outstanding, 2025-06-30 (Common Stock): 244.47M (data provided by Fiscal.ai)</t>
        </r>
      </text>
    </comment>
    <comment ref="AX29" authorId="0">
      <text>
        <r>
          <t xml:space="preserve">TYL total shares outstanding, 2025-10-27 (Common Stock): 43.03M (data provided by Fiscal.ai)</t>
        </r>
      </text>
    </comment>
    <comment ref="AX30" authorId="0">
      <text>
        <r>
          <t xml:space="preserve">APPF total shares outstanding, 2025-10-23 (Class A): 35.92M (data provided by Fiscal.ai)</t>
        </r>
      </text>
    </comment>
    <comment ref="AX31" authorId="0">
      <text>
        <r>
          <t xml:space="preserve">VERX total shares outstanding, 2025-10-30 (Class A): 159.53M (data provided by Fiscal.ai)</t>
        </r>
      </text>
    </comment>
    <comment ref="AX37" authorId="0">
      <text>
        <r>
          <t xml:space="preserve">DSGX total shares outstanding, 2025-12-03 (Common Stock): 85.99M (data provided by Fiscal.ai)</t>
        </r>
      </text>
    </comment>
    <comment ref="AX38" authorId="0">
      <text>
        <r>
          <t xml:space="preserve">ADSK total shares outstanding, 2025-11-20 (Common Stock): 212.00M (data provided by Fiscal.ai)</t>
        </r>
      </text>
    </comment>
    <comment ref="AX39" authorId="0">
      <text>
        <r>
          <t xml:space="preserve">TEAM total shares outstanding, 2025-10-24 (Class A Common Stock): 263.11M (data provided by Fiscal.ai)</t>
        </r>
      </text>
    </comment>
    <comment ref="AY12" authorId="0">
      <text>
        <r>
          <t xml:space="preserve">GWRE Diluted Weighted Average Shares Outstanding, Q1 2026 (standardized, Quarterly, income-statement): 86.45M (data provided by Fiscal.ai)</t>
        </r>
      </text>
    </comment>
    <comment ref="AY13" authorId="0">
      <text>
        <r>
          <t xml:space="preserve">INTA Diluted Weighted Average Shares Outstanding, Q1 2026 (standardized, Quarterly, income-statement): 81.88M (data provided by Fiscal.ai)</t>
        </r>
      </text>
    </comment>
    <comment ref="AY14" authorId="0">
      <text>
        <r>
          <t xml:space="preserve">QTWO Diluted Weighted Average Shares Outstanding, Q3 2025 (standardized, Quarterly, income-statement): 69.86M (data provided by Fiscal.ai)</t>
        </r>
      </text>
    </comment>
    <comment ref="AY15" authorId="0">
      <text>
        <r>
          <t xml:space="preserve">CCC Diluted Weighted Average Shares Outstanding, Q3 2025 (standardized, Quarterly, income-statement): 631.44M (data provided by Fiscal.ai)</t>
        </r>
      </text>
    </comment>
    <comment ref="AY16" authorId="0">
      <text>
        <r>
          <t xml:space="preserve">NCNO Diluted Weighted Average Shares Outstanding, Q3 2026 (standardized, Quarterly, income-statement): 115.83M (data provided by Fiscal.ai)</t>
        </r>
      </text>
    </comment>
    <comment ref="AY17" authorId="0">
      <text>
        <r>
          <t xml:space="preserve">ALKT Diluted Weighted Average Shares Outstanding, Q3 2025 (standardized, Quarterly, income-statement): 104.35M (data provided by Fiscal.ai)</t>
        </r>
      </text>
    </comment>
    <comment ref="AY18" authorId="0">
      <text>
        <r>
          <t xml:space="preserve">SSNC Diluted Weighted Average Shares Outstanding, Q3 2025 (standardized, Quarterly, income-statement): 252.60M (data provided by Fiscal.ai)</t>
        </r>
      </text>
    </comment>
    <comment ref="AY24" authorId="0">
      <text>
        <r>
          <t xml:space="preserve">VEEV Diluted Weighted Average Shares Outstanding, Q3 2026 (standardized, Quarterly, income-statement): 168.94M (data provided by Fiscal.ai)</t>
        </r>
      </text>
    </comment>
    <comment ref="AY25" authorId="0">
      <text>
        <r>
          <t xml:space="preserve">Nemetschek SE Diluted Weighted Average Shares Outstanding, Q3 2025 (standardized, Quarterly, income-statement): 115.48M (data provided by Fiscal.ai)</t>
        </r>
      </text>
    </comment>
    <comment ref="AY26" authorId="0">
      <text>
        <r>
          <t xml:space="preserve">BSY Diluted Weighted Average Shares Outstanding, Q3 2025 (standardized, Quarterly, income-statement): 333.28M (data provided by Fiscal.ai)</t>
        </r>
      </text>
    </comment>
    <comment ref="AY27" authorId="0">
      <text>
        <r>
          <t xml:space="preserve">PCOR Diluted Weighted Average Shares Outstanding, Q3 2025 (standardized, Quarterly, income-statement): 150.28M (data provided by Fiscal.ai)</t>
        </r>
      </text>
    </comment>
    <comment ref="AY28" authorId="0">
      <text>
        <r>
          <t xml:space="preserve">CLBT Diluted Weighted Average Shares Outstanding, Q3 2025 (standardized, Quarterly, income-statement): 249.72M (data provided by Fiscal.ai)</t>
        </r>
      </text>
    </comment>
    <comment ref="AY29" authorId="0">
      <text>
        <r>
          <t xml:space="preserve">TYL Diluted Weighted Average Shares Outstanding, Q3 2025 (standardized, Quarterly, income-statement): 43.83M (data provided by Fiscal.ai)</t>
        </r>
      </text>
    </comment>
    <comment ref="AY30" authorId="0">
      <text>
        <r>
          <t xml:space="preserve">APPF Diluted Weighted Average Shares Outstanding, Q3 2025 (standardized, Quarterly, income-statement): 36.26M (data provided by Fiscal.ai)</t>
        </r>
      </text>
    </comment>
    <comment ref="AY31" authorId="0">
      <text>
        <r>
          <t xml:space="preserve">VERX Diluted Weighted Average Shares Outstanding, Q3 2025 (standardized, Quarterly, income-statement): 81.86M (data provided by Fiscal.ai)</t>
        </r>
      </text>
    </comment>
    <comment ref="AY37" authorId="0">
      <text>
        <r>
          <t xml:space="preserve">DSGX Diluted Weighted Average Shares Outstanding, Q3 2026 (standardized, Quarterly, income-statement): 87.61M (data provided by Fiscal.ai)</t>
        </r>
      </text>
    </comment>
    <comment ref="AY38" authorId="0">
      <text>
        <r>
          <t xml:space="preserve">ADSK Diluted Weighted Average Shares Outstanding, Q3 2026 (standardized, Quarterly, income-statement): 215.00M (data provided by Fiscal.ai)</t>
        </r>
      </text>
    </comment>
    <comment ref="AY39" authorId="0">
      <text>
        <r>
          <t xml:space="preserve">TEAM Diluted Weighted Average Shares Outstanding, Q1 2026 (standardized, Quarterly, income-statement): 262.99M (data provided by Fiscal.ai)</t>
        </r>
      </text>
    </comment>
    <comment ref="AZ12" authorId="0">
      <text>
        <r>
          <t xml:space="preserve">GWRE Basic Weighted Average Shares Outstanding, Q1 2026 (standardized, Quarterly, income-statement): 84.78M (data provided by Fiscal.ai)</t>
        </r>
      </text>
    </comment>
    <comment ref="AZ13" authorId="0">
      <text>
        <r>
          <t xml:space="preserve">INTA Basic Weighted Average Shares Outstanding, Q1 2026 (standardized, Quarterly, income-statement): 81.88M (data provided by Fiscal.ai)</t>
        </r>
      </text>
    </comment>
    <comment ref="AZ14" authorId="0">
      <text>
        <r>
          <t xml:space="preserve">QTWO Basic Weighted Average Shares Outstanding, Q3 2025 (standardized, Quarterly, income-statement): 62.46M (data provided by Fiscal.ai)</t>
        </r>
      </text>
    </comment>
    <comment ref="AZ15" authorId="0">
      <text>
        <r>
          <t xml:space="preserve">CCC Basic Weighted Average Shares Outstanding, Q3 2025 (standardized, Quarterly, income-statement): 631.44M (data provided by Fiscal.ai)</t>
        </r>
      </text>
    </comment>
    <comment ref="AZ16" authorId="0">
      <text>
        <r>
          <t xml:space="preserve">NCNO Basic Weighted Average Shares Outstanding, Q3 2026 (standardized, Quarterly, income-statement): 114.41M (data provided by Fiscal.ai)</t>
        </r>
      </text>
    </comment>
    <comment ref="AZ17" authorId="0">
      <text>
        <r>
          <t xml:space="preserve">ALKT Basic Weighted Average Shares Outstanding, Q3 2025 (standardized, Quarterly, income-statement): 104.35M (data provided by Fiscal.ai)</t>
        </r>
      </text>
    </comment>
    <comment ref="AZ18" authorId="0">
      <text>
        <r>
          <t xml:space="preserve">SSNC Basic Weighted Average Shares Outstanding, Q3 2025 (standardized, Quarterly, income-statement): 243.80M (data provided by Fiscal.ai)</t>
        </r>
      </text>
    </comment>
    <comment ref="AZ24" authorId="0">
      <text>
        <r>
          <t xml:space="preserve">VEEV Basic Weighted Average Shares Outstanding, Q3 2026 (standardized, Quarterly, income-statement): 164.05M (data provided by Fiscal.ai)</t>
        </r>
      </text>
    </comment>
    <comment ref="AZ25" authorId="0">
      <text>
        <r>
          <t xml:space="preserve">Nemetschek SE Basic Weighted Average Shares Outstanding, Q3 2025 (standardized, Quarterly, income-statement): 115.48M (data provided by Fiscal.ai)</t>
        </r>
      </text>
    </comment>
    <comment ref="AZ26" authorId="0">
      <text>
        <r>
          <t xml:space="preserve">BSY Basic Weighted Average Shares Outstanding, Q3 2025 (standardized, Quarterly, income-statement): 314.63M (data provided by Fiscal.ai)</t>
        </r>
      </text>
    </comment>
    <comment ref="AZ27" authorId="0">
      <text>
        <r>
          <t xml:space="preserve">PCOR Basic Weighted Average Shares Outstanding, Q3 2025 (standardized, Quarterly, income-statement): 150.28M (data provided by Fiscal.ai)</t>
        </r>
      </text>
    </comment>
    <comment ref="AZ28" authorId="0">
      <text>
        <r>
          <t xml:space="preserve">CLBT Basic Weighted Average Shares Outstanding, Q3 2025 (standardized, Quarterly, income-statement): 243.51M (data provided by Fiscal.ai)</t>
        </r>
      </text>
    </comment>
    <comment ref="AZ29" authorId="0">
      <text>
        <r>
          <t xml:space="preserve">TYL Basic Weighted Average Shares Outstanding, Q3 2025 (standardized, Quarterly, income-statement): 43.14M (data provided by Fiscal.ai)</t>
        </r>
      </text>
    </comment>
    <comment ref="AZ30" authorId="0">
      <text>
        <r>
          <t xml:space="preserve">APPF Basic Weighted Average Shares Outstanding, Q3 2025 (standardized, Quarterly, income-statement): 35.89M (data provided by Fiscal.ai)</t>
        </r>
      </text>
    </comment>
    <comment ref="AZ31" authorId="0">
      <text>
        <r>
          <t xml:space="preserve">VERX Basic Weighted Average Shares Outstanding, Q3 2025 (standardized, Quarterly, income-statement): 77.36M (data provided by Fiscal.ai)</t>
        </r>
      </text>
    </comment>
    <comment ref="AZ37" authorId="0">
      <text>
        <r>
          <t xml:space="preserve">DSGX Basic Weighted Average Shares Outstanding, Q3 2026 (standardized, Quarterly, income-statement): 85.96M (data provided by Fiscal.ai)</t>
        </r>
      </text>
    </comment>
    <comment ref="AZ38" authorId="0">
      <text>
        <r>
          <t xml:space="preserve">ADSK Basic Weighted Average Shares Outstanding, Q3 2026 (standardized, Quarterly, income-statement): 213.00M (data provided by Fiscal.ai)</t>
        </r>
      </text>
    </comment>
    <comment ref="AZ39" authorId="0">
      <text>
        <r>
          <t xml:space="preserve">TEAM Basic Weighted Average Shares Outstanding, Q1 2026 (standardized, Quarterly, income-statement): 262.99M (data provided by Fiscal.ai)</t>
        </r>
      </text>
    </comment>
    <comment ref="BA31" authorId="0">
      <text>
        <r>
          <t xml:space="preserve">Vertex, Inc. 10-Q (2025-09-30) verx-20250930x10q</t>
        </r>
      </text>
    </comment>
    <comment ref="BB14" authorId="0">
      <text>
        <r>
          <t xml:space="preserve">Q2 Holdings, Inc. 10-Q (2025-09-30) qtwo-20250930</t>
        </r>
      </text>
    </comment>
    <comment ref="BB26" authorId="0">
      <text>
        <r>
          <t xml:space="preserve">BENTLEY SYSTEMS INC 10-Q (2025-09-30) bsy-20250930</t>
        </r>
      </text>
    </comment>
    <comment ref="BC14" authorId="0">
      <text>
        <r>
          <t xml:space="preserve">QTWO Current Portion of Long-Term Debt, Q3 2025 (standardized, Quarterly, balance-sheet): 493.93M (data provided by Fiscal.ai)</t>
        </r>
      </text>
    </comment>
    <comment ref="BC15" authorId="0">
      <text>
        <r>
          <t xml:space="preserve">CCC Current Portion of Long-Term Debt, Q3 2025 (standardized, Quarterly, balance-sheet): 10.01M (data provided by Fiscal.ai)</t>
        </r>
      </text>
    </comment>
    <comment ref="BC18" authorId="0">
      <text>
        <r>
          <t xml:space="preserve">SSNC Current Portion of Long-Term Debt, Q3 2025 (standardized, Quarterly, balance-sheet): 20.00M (data provided by Fiscal.ai)</t>
        </r>
      </text>
    </comment>
    <comment ref="BC29" authorId="0">
      <text>
        <r>
          <t xml:space="preserve">TYL Current Portion of Long-Term Debt, Q3 2025 (standardized, Quarterly, balance-sheet): 599.23M (data provided by Fiscal.ai)</t>
        </r>
      </text>
    </comment>
    <comment ref="BD15" authorId="0">
      <text>
        <r>
          <t xml:space="preserve">CCC Short-Term Debt, Q3 2025 (standardized, Quarterly, balance-sheet): 24.45M (data provided by Fiscal.ai)</t>
        </r>
      </text>
    </comment>
    <comment ref="BE12" authorId="0">
      <text>
        <r>
          <t xml:space="preserve">GWRE Long-Term Debt, Q1 2026 (standardized, Quarterly, balance-sheet): 675.44M (data provided by Fiscal.ai)</t>
        </r>
      </text>
    </comment>
    <comment ref="BE15" authorId="0">
      <text>
        <r>
          <t xml:space="preserve">CCC Long-Term Debt, Q3 2025 (standardized, Quarterly, balance-sheet): 971.21M (data provided by Fiscal.ai)</t>
        </r>
      </text>
    </comment>
    <comment ref="BE16" authorId="0">
      <text>
        <r>
          <t xml:space="preserve">NCNO Long-Term Debt, Q3 2026 (standardized, Quarterly, balance-sheet): 203.50M (data provided by Fiscal.ai)</t>
        </r>
      </text>
    </comment>
    <comment ref="BE17" authorId="0">
      <text>
        <r>
          <t xml:space="preserve">ALKT Long-Term Debt, Q3 2025 (standardized, Quarterly, balance-sheet): 360.72M (data provided by Fiscal.ai)</t>
        </r>
      </text>
    </comment>
    <comment ref="BE18" authorId="0">
      <text>
        <r>
          <t xml:space="preserve">SSNC Long-Term Debt, Q3 2025 (standardized, Quarterly, balance-sheet): 6.57B (data provided by Fiscal.ai)</t>
        </r>
      </text>
    </comment>
    <comment ref="BE25" authorId="0">
      <text>
        <r>
          <t xml:space="preserve">Nemetschek SE Long-Term Debt, Q3 2025 (standardized, Quarterly, balance-sheet): 449.52M (data provided by Fiscal.ai)</t>
        </r>
      </text>
    </comment>
    <comment ref="BE26" authorId="0">
      <text>
        <r>
          <t xml:space="preserve">BSY Long-Term Debt, Q3 2025 (standardized, Quarterly, balance-sheet): 1.25B (data provided by Fiscal.ai)</t>
        </r>
      </text>
    </comment>
    <comment ref="BE31" authorId="0">
      <text>
        <r>
          <t xml:space="preserve">VERX Long-Term Debt, Q3 2025 (standardized, Quarterly, balance-sheet): 336.91M (data provided by Fiscal.ai)</t>
        </r>
      </text>
    </comment>
    <comment ref="BE38" authorId="0">
      <text>
        <r>
          <t xml:space="preserve">ADSK Long-Term Debt, Q3 2026 (standardized, Quarterly, balance-sheet): 2.48B (data provided by Fiscal.ai)</t>
        </r>
      </text>
    </comment>
    <comment ref="BE39" authorId="0">
      <text>
        <r>
          <t xml:space="preserve">TEAM Long-Term Debt, Q1 2026 (standardized, Quarterly, balance-sheet): 988.14M (data provided by Fiscal.ai)</t>
        </r>
      </text>
    </comment>
    <comment ref="BF16" authorId="0">
      <text>
        <r>
          <t xml:space="preserve">NCNO Minority Interests and Other, Q3 2026 (standardized, Quarterly, balance-sheet): 12.44M (data provided by Fiscal.ai)</t>
        </r>
      </text>
    </comment>
    <comment ref="BF18" authorId="0">
      <text>
        <r>
          <t xml:space="preserve">SSNC Minority Interests and Other, Q3 2025 (standardized, Quarterly, balance-sheet): 53.30M (data provided by Fiscal.ai)</t>
        </r>
      </text>
    </comment>
    <comment ref="BF25" authorId="0">
      <text>
        <r>
          <t xml:space="preserve">Nemetschek SE Minority Interests and Other, Q3 2025 (standardized, Quarterly, balance-sheet): 35.73M (data provided by Fiscal.ai)</t>
        </r>
      </text>
    </comment>
    <comment ref="BF26" authorId="0">
      <text>
        <r>
          <t xml:space="preserve">BSY Minority Interests and Other, Q3 2025 (standardized, Quarterly, balance-sheet): 47000 (data provided by Fiscal.ai)</t>
        </r>
      </text>
    </comment>
    <comment ref="BG12" authorId="0">
      <text>
        <r>
          <t xml:space="preserve">GWRE Cash and Cash Equivalents, Q1 2026 (standardized, Quarterly, balance-sheet): 492.04M (data provided by Fiscal.ai)</t>
        </r>
      </text>
    </comment>
    <comment ref="BG13" authorId="0">
      <text>
        <r>
          <t xml:space="preserve">INTA Cash and Cash Equivalents, Q1 2026 (standardized, Quarterly, balance-sheet): 273.44M (data provided by Fiscal.ai)</t>
        </r>
      </text>
    </comment>
    <comment ref="BG14" authorId="0">
      <text>
        <r>
          <t xml:space="preserve">QTWO Cash and Cash Equivalents, Q3 2025 (standardized, Quarterly, balance-sheet): 472.39M (data provided by Fiscal.ai)</t>
        </r>
      </text>
    </comment>
    <comment ref="BG15" authorId="0">
      <text>
        <r>
          <t xml:space="preserve">CCC Cash and Cash Equivalents, Q3 2025 (standardized, Quarterly, balance-sheet): 97.14M (data provided by Fiscal.ai)</t>
        </r>
      </text>
    </comment>
    <comment ref="BG16" authorId="0">
      <text>
        <r>
          <t xml:space="preserve">NCNO Cash and Cash Equivalents, Q3 2026 (standardized, Quarterly, balance-sheet): 87.59M (data provided by Fiscal.ai)</t>
        </r>
      </text>
    </comment>
    <comment ref="BG17" authorId="0">
      <text>
        <r>
          <t xml:space="preserve">ALKT Cash and Cash Equivalents, Q3 2025 (standardized, Quarterly, balance-sheet): 57.32M (data provided by Fiscal.ai)</t>
        </r>
      </text>
    </comment>
    <comment ref="BG18" authorId="0">
      <text>
        <r>
          <t xml:space="preserve">SSNC Cash and Cash Equivalents, Q3 2025 (standardized, Quarterly, balance-sheet): 388.30M (data provided by Fiscal.ai)</t>
        </r>
      </text>
    </comment>
    <comment ref="BG24" authorId="0">
      <text>
        <r>
          <t xml:space="preserve">VEEV Cash and Cash Equivalents, Q3 2026 (standardized, Quarterly, balance-sheet): 1.66B (data provided by Fiscal.ai)</t>
        </r>
      </text>
    </comment>
    <comment ref="BG25" authorId="0">
      <text>
        <r>
          <t xml:space="preserve">Nemetschek SE Cash and Cash Equivalents, Q3 2025 (standardized, Quarterly, balance-sheet): 307.50M (data provided by Fiscal.ai)</t>
        </r>
      </text>
    </comment>
    <comment ref="BG26" authorId="0">
      <text>
        <r>
          <t xml:space="preserve">BSY Cash and Cash Equivalents, Q3 2025 (standardized, Quarterly, balance-sheet): 165.41M (data provided by Fiscal.ai)</t>
        </r>
      </text>
    </comment>
    <comment ref="BG27" authorId="0">
      <text>
        <r>
          <t xml:space="preserve">PCOR Cash and Cash Equivalents, Q3 2025 (standardized, Quarterly, balance-sheet): 350.50M (data provided by Fiscal.ai)</t>
        </r>
      </text>
    </comment>
    <comment ref="BG28" authorId="0">
      <text>
        <r>
          <t xml:space="preserve">CLBT Cash and Cash Equivalents, Q3 2025 (standardized, Quarterly, balance-sheet): 281.36M (data provided by Fiscal.ai)</t>
        </r>
      </text>
    </comment>
    <comment ref="BG29" authorId="0">
      <text>
        <r>
          <t xml:space="preserve">TYL Cash and Cash Equivalents, Q3 2025 (standardized, Quarterly, balance-sheet): 834.10M (data provided by Fiscal.ai)</t>
        </r>
      </text>
    </comment>
    <comment ref="BG30" authorId="0">
      <text>
        <r>
          <t xml:space="preserve">APPF Cash and Cash Equivalents, Q3 2025 (standardized, Quarterly, balance-sheet): 76.09M (data provided by Fiscal.ai)</t>
        </r>
      </text>
    </comment>
    <comment ref="BG31" authorId="0">
      <text>
        <r>
          <t xml:space="preserve">VERX Cash and Cash Equivalents, Q3 2025 (standardized, Quarterly, balance-sheet): 313.51M (data provided by Fiscal.ai)</t>
        </r>
      </text>
    </comment>
    <comment ref="BG37" authorId="0">
      <text>
        <r>
          <t xml:space="preserve">DSGX Cash and Cash Equivalents, Q3 2026 (standardized, Quarterly, balance-sheet): 278.79M (data provided by Fiscal.ai)</t>
        </r>
      </text>
    </comment>
    <comment ref="BG38" authorId="0">
      <text>
        <r>
          <t xml:space="preserve">ADSK Cash and Cash Equivalents, Q3 2026 (standardized, Quarterly, balance-sheet): 1.99B (data provided by Fiscal.ai)</t>
        </r>
      </text>
    </comment>
    <comment ref="BG39" authorId="0">
      <text>
        <r>
          <t xml:space="preserve">TEAM Cash and Cash Equivalents, Q1 2026 (standardized, Quarterly, balance-sheet): 2.32B (data provided by Fiscal.ai)</t>
        </r>
      </text>
    </comment>
    <comment ref="BH12" authorId="0">
      <text>
        <r>
          <t xml:space="preserve">GWRE Short-Term Investments, Q1 2026 (standardized, Quarterly, balance-sheet): 519.86M (data provided by Fiscal.ai)</t>
        </r>
      </text>
    </comment>
    <comment ref="BH17" authorId="0">
      <text>
        <r>
          <t xml:space="preserve">ALKT Short-Term Investments, Q3 2025 (standardized, Quarterly, balance-sheet): 33.60M (data provided by Fiscal.ai)</t>
        </r>
      </text>
    </comment>
    <comment ref="BH24" authorId="0">
      <text>
        <r>
          <t xml:space="preserve">VEEV Short-Term Investments, Q3 2026 (standardized, Quarterly, balance-sheet): 4.98B (data provided by Fiscal.ai)</t>
        </r>
      </text>
    </comment>
    <comment ref="BH27" authorId="0">
      <text>
        <r>
          <t xml:space="preserve">PCOR Short-Term Investments, Q3 2025 (standardized, Quarterly, balance-sheet): 333.48M (data provided by Fiscal.ai)</t>
        </r>
      </text>
    </comment>
    <comment ref="BH28" authorId="0">
      <text>
        <r>
          <t xml:space="preserve">CLBT Short-Term Investments, Q3 2025 (standardized, Quarterly, balance-sheet): 244.35M (data provided by Fiscal.ai)</t>
        </r>
      </text>
    </comment>
    <comment ref="BH29" authorId="0">
      <text>
        <r>
          <t xml:space="preserve">TYL Short-Term Investments, Q3 2025 (standardized, Quarterly, balance-sheet): 116.72M (data provided by Fiscal.ai)</t>
        </r>
      </text>
    </comment>
    <comment ref="BH30" authorId="0">
      <text>
        <r>
          <t xml:space="preserve">APPF Short-Term Investments, Q3 2025 (standardized, Quarterly, balance-sheet): 124.06M (data provided by Fiscal.ai)</t>
        </r>
      </text>
    </comment>
    <comment ref="BH38" authorId="0">
      <text>
        <r>
          <t xml:space="preserve">ADSK Short-Term Investments, Q3 2026 (standardized, Quarterly, balance-sheet): 300.00M (data provided by Fiscal.ai)</t>
        </r>
      </text>
    </comment>
    <comment ref="BH39" authorId="0">
      <text>
        <r>
          <t xml:space="preserve">TEAM Short-Term Investments, Q1 2026 (standardized, Quarterly, balance-sheet): 456.04M (data provided by Fiscal.ai)</t>
        </r>
      </text>
    </comment>
    <comment ref="BJ12" authorId="0">
      <text>
        <r>
          <t xml:space="preserve">Cited for BI12:BJ18
SC 13E-3 exhibit (c)(ii), special committee fairness materials (2025-12-20) p. 23</t>
        </r>
      </text>
    </comment>
    <comment ref="BJ24" authorId="0">
      <text>
        <r>
          <t xml:space="preserve">Cited for BI24:BJ24
SC 13E-3 exhibit (c)(ii), special committee fairness materials (2025-12-20) p. 23</t>
        </r>
      </text>
    </comment>
    <comment ref="BJ27" authorId="0">
      <text>
        <r>
          <t xml:space="preserve">Cited for BI27:BJ27
SC 13E-3 exhibit (c)(ii), special committee fairness materials (2025-12-20) p. 23</t>
        </r>
      </text>
    </comment>
    <comment ref="BJ29" authorId="0">
      <text>
        <r>
          <t xml:space="preserve">Cited for BI29:BJ29
SC 13E-3 exhibit (c)(ii), special committee fairness materials (2025-12-20) p. 23</t>
        </r>
      </text>
    </comment>
    <comment ref="BJ31" authorId="0">
      <text>
        <r>
          <t xml:space="preserve">Cited for BI31:BJ31
SC 13E-3 exhibit (c)(ii), special committee fairness materials (2025-12-20) p. 23</t>
        </r>
      </text>
    </comment>
    <comment ref="BN12" authorId="0">
      <text>
        <r>
          <t xml:space="preserve">Cited for BK12:BN12
SC 13E-3 exhibit (c)(vi), board fairness materials (2025-12-20) p. 4</t>
        </r>
      </text>
    </comment>
    <comment ref="BN13" authorId="0">
      <text>
        <r>
          <t xml:space="preserve">SC 13E-3 exhibit (c)(ix), independent directors discussion materials (2025-10-20) p. 20</t>
        </r>
      </text>
    </comment>
    <comment ref="BN14" authorId="0">
      <text>
        <r>
          <t xml:space="preserve">Cited for BK14:BN14
SC 13E-3 exhibit (c)(vi), board fairness materials (2025-12-20) p. 4</t>
        </r>
      </text>
    </comment>
    <comment ref="BN15" authorId="0">
      <text>
        <r>
          <t xml:space="preserve">SC 13E-3 exhibit (c)(ix), independent directors discussion materials (2025-10-20) p. 20</t>
        </r>
      </text>
    </comment>
    <comment ref="BN16" authorId="0">
      <text>
        <r>
          <t xml:space="preserve">Cited for BK16:BN17
SC 13E-3 exhibit (c)(vi), board fairness materials (2025-12-20) p. 4</t>
        </r>
      </text>
    </comment>
    <comment ref="BN18" authorId="0">
      <text>
        <r>
          <t xml:space="preserve">SC 13E-3 exhibit (c)(ix), independent directors discussion materials (2025-10-20) p. 24</t>
        </r>
      </text>
    </comment>
    <comment ref="BN24" authorId="0">
      <text>
        <r>
          <t xml:space="preserve">Cited for BK24:BN28
SC 13E-3 exhibit (c)(vi), board fairness materials (2025-12-20) p. 4</t>
        </r>
      </text>
    </comment>
    <comment ref="BN29" authorId="0">
      <text>
        <r>
          <t xml:space="preserve">SC 13E-3 exhibit (c)(ix), independent directors discussion materials (2025-10-20) p. 20</t>
        </r>
      </text>
    </comment>
    <comment ref="BN30" authorId="0">
      <text>
        <r>
          <t xml:space="preserve">Cited for BK30:BN30
SC 13E-3 exhibit (c)(vi), board fairness materials (2025-12-20) p. 4</t>
        </r>
      </text>
    </comment>
    <comment ref="BN37" authorId="0">
      <text>
        <r>
          <t xml:space="preserve">Cited for BK37:BN39
SC 13E-3 exhibit (c)(vi), board fairness materials (2025-12-20) p. 4</t>
        </r>
      </text>
    </comment>
    <comment ref="BO12" authorId="0">
      <text>
        <r>
          <t xml:space="preserve">GWRE Total Revenues, Q4 2024 (standardized, Annual, income-statement): 980.50M (data provided by Fiscal.ai)</t>
        </r>
      </text>
    </comment>
    <comment ref="BO13" authorId="0">
      <text>
        <r>
          <t xml:space="preserve">INTA Total Revenues, Q4 2024 (standardized, Annual, income-statement): 430.52M (data provided by Fiscal.ai)</t>
        </r>
      </text>
    </comment>
    <comment ref="BO14" authorId="0">
      <text>
        <r>
          <t xml:space="preserve">QTWO Total Revenues, Q4 2024 (standardized, Annual, income-statement): 696.46M (data provided by Fiscal.ai)</t>
        </r>
      </text>
    </comment>
    <comment ref="BO15" authorId="0">
      <text>
        <r>
          <t xml:space="preserve">CCC Total Revenues, Q4 2024 (standardized, Annual, income-statement): 944.80M (data provided by Fiscal.ai)</t>
        </r>
      </text>
    </comment>
    <comment ref="BO16" authorId="0">
      <text>
        <r>
          <t xml:space="preserve">NCNO Total Revenues, Q4 2025 (standardized, Annual, income-statement): 540.66M (data provided by Fiscal.ai)</t>
        </r>
      </text>
    </comment>
    <comment ref="BO17" authorId="0">
      <text>
        <r>
          <t xml:space="preserve">ALKT Total Revenues, Q4 2024 (standardized, Annual, income-statement): 333.85M (data provided by Fiscal.ai)</t>
        </r>
      </text>
    </comment>
    <comment ref="BO18" authorId="0">
      <text>
        <r>
          <t xml:space="preserve">SSNC Total Revenues, Q4 2024 (standardized, Annual, income-statement): 5.88B (data provided by Fiscal.ai)</t>
        </r>
      </text>
    </comment>
    <comment ref="BO24" authorId="0">
      <text>
        <r>
          <t xml:space="preserve">VEEV Total Revenues, Q4 2025 (standardized, Annual, income-statement): 2.75B (data provided by Fiscal.ai)</t>
        </r>
      </text>
    </comment>
    <comment ref="BO25" authorId="0">
      <text>
        <r>
          <t xml:space="preserve">Nemetschek SE Total Revenues, Q4 2024 (standardized, Annual, income-statement): 995.56M (data provided by Fiscal.ai)</t>
        </r>
      </text>
    </comment>
    <comment ref="BO26" authorId="0">
      <text>
        <r>
          <t xml:space="preserve">BSY Total Revenues, Q4 2024 (standardized, Annual, income-statement): 1.35B (data provided by Fiscal.ai)</t>
        </r>
      </text>
    </comment>
    <comment ref="BO27" authorId="0">
      <text>
        <r>
          <t xml:space="preserve">PCOR Total Revenues, Q4 2024 (standardized, Annual, income-statement): 1.15B (data provided by Fiscal.ai)</t>
        </r>
      </text>
    </comment>
    <comment ref="BO28" authorId="0">
      <text>
        <r>
          <t xml:space="preserve">CLBT Total Revenues, Q4 2024 (standardized, Annual, income-statement): 401.20M (data provided by Fiscal.ai)</t>
        </r>
      </text>
    </comment>
    <comment ref="BO29" authorId="0">
      <text>
        <r>
          <t xml:space="preserve">TYL Total Revenues, Q4 2024 (standardized, Annual, income-statement): 2.14B (data provided by Fiscal.ai)</t>
        </r>
      </text>
    </comment>
    <comment ref="BO30" authorId="0">
      <text>
        <r>
          <t xml:space="preserve">APPF Total Revenues, Q4 2024 (standardized, Annual, income-statement): 794.20M (data provided by Fiscal.ai)</t>
        </r>
      </text>
    </comment>
    <comment ref="BO31" authorId="0">
      <text>
        <r>
          <t xml:space="preserve">VERX Total Revenues, Q4 2024 (standardized, Annual, income-statement): 666.78M (data provided by Fiscal.ai)</t>
        </r>
      </text>
    </comment>
    <comment ref="BO37" authorId="0">
      <text>
        <r>
          <t xml:space="preserve">DSGX Total Revenues, Q4 2025 (standardized, Annual, income-statement): 651.00M (data provided by Fiscal.ai)</t>
        </r>
      </text>
    </comment>
    <comment ref="BO38" authorId="0">
      <text>
        <r>
          <t xml:space="preserve">ADSK Total Revenues, Q4 2025 (standardized, Annual, income-statement): 6.13B (data provided by Fiscal.ai)</t>
        </r>
      </text>
    </comment>
    <comment ref="BO39" authorId="0">
      <text>
        <r>
          <t xml:space="preserve">TEAM Total Revenues, Q4 2024 (standardized, Annual, income-statement): 4.36B (data provided by Fiscal.ai)</t>
        </r>
      </text>
    </comment>
    <comment ref="BP12" authorId="0">
      <text>
        <r>
          <t xml:space="preserve">GWRE Total Revenues, Q4 2025 (standardized, Annual, income-statement): 1.20B (data provided by Fiscal.ai)</t>
        </r>
      </text>
    </comment>
    <comment ref="BP13" authorId="0">
      <text>
        <r>
          <t xml:space="preserve">INTA Total Revenues, Q4 2025 (standardized, Annual, income-statement): 504.12M (data provided by Fiscal.ai)</t>
        </r>
      </text>
    </comment>
    <comment ref="BP39" authorId="0">
      <text>
        <r>
          <t xml:space="preserve">TEAM Total Revenues, Q4 2025 (standardized, Annual, income-statement): 5.22B (data provided by Fiscal.ai)</t>
        </r>
      </text>
    </comment>
    <comment ref="BR12" authorId="0">
      <text>
        <r>
          <t xml:space="preserve">Cited for BR12:BR18
SC 13E-3 exhibit (c)(ii), special committee fairness materials (2025-12-20) p. 23</t>
        </r>
      </text>
    </comment>
    <comment ref="BR24" authorId="0">
      <text>
        <r>
          <t xml:space="preserve">SC 13E-3 exhibit (c)(ii), special committee fairness materials (2025-12-20) p. 23</t>
        </r>
      </text>
    </comment>
    <comment ref="BR27" authorId="0">
      <text>
        <r>
          <t xml:space="preserve">SC 13E-3 exhibit (c)(ii), special committee fairness materials (2025-12-20) p. 23</t>
        </r>
      </text>
    </comment>
    <comment ref="BR29" authorId="0">
      <text>
        <r>
          <t xml:space="preserve">SC 13E-3 exhibit (c)(ii), special committee fairness materials (2025-12-20) p. 23</t>
        </r>
      </text>
    </comment>
    <comment ref="BR31" authorId="0">
      <text>
        <r>
          <t xml:space="preserve">SC 13E-3 exhibit (c)(ii), special committee fairness materials (2025-12-20) p. 23</t>
        </r>
      </text>
    </comment>
    <comment ref="C110" authorId="0">
      <text>
        <r>
          <t xml:space="preserve">GWRE close, 2025-11-10: 217.77 (data provided by Fiscal.ai)</t>
        </r>
      </text>
    </comment>
    <comment ref="C111" authorId="0">
      <text>
        <r>
          <t xml:space="preserve">INTA close, 2025-11-10: 40.19 (data provided by Fiscal.ai)</t>
        </r>
      </text>
    </comment>
    <comment ref="C112" authorId="0">
      <text>
        <r>
          <t xml:space="preserve">QTWO close, 2025-11-10: 73.19 (data provided by Fiscal.ai)</t>
        </r>
      </text>
    </comment>
    <comment ref="C113" authorId="0">
      <text>
        <r>
          <t xml:space="preserve">CCC close, 2025-11-10: 7.49 (data provided by Fiscal.ai)</t>
        </r>
      </text>
    </comment>
    <comment ref="C114" authorId="0">
      <text>
        <r>
          <t xml:space="preserve">NCNO close, 2025-11-10: 26.21 (data provided by Fiscal.ai)</t>
        </r>
      </text>
    </comment>
    <comment ref="C115" authorId="0">
      <text>
        <r>
          <t xml:space="preserve">ALKT close, 2025-11-10: 19.69 (data provided by Fiscal.ai)</t>
        </r>
      </text>
    </comment>
    <comment ref="C116" authorId="0">
      <text>
        <r>
          <t xml:space="preserve">SSNC close, 2025-11-10: 84.89 (data provided by Fiscal.ai)</t>
        </r>
      </text>
    </comment>
    <comment ref="C117" authorId="0">
      <text>
        <r>
          <t xml:space="preserve">VEEV close, 2025-11-10: 295.75 (data provided by Fiscal.ai)</t>
        </r>
      </text>
    </comment>
    <comment ref="C118" authorId="0">
      <text>
        <r>
          <t xml:space="preserve">Nemetschek SE close, 2025-11-10: 92.9 (data provided by Fiscal.ai)</t>
        </r>
      </text>
    </comment>
    <comment ref="C119" authorId="0">
      <text>
        <r>
          <t xml:space="preserve">BSY close, 2025-11-10: 46.32 (data provided by Fiscal.ai)</t>
        </r>
      </text>
    </comment>
    <comment ref="C120" authorId="0">
      <text>
        <r>
          <t xml:space="preserve">PCOR close, 2025-11-10: 79.16 (data provided by Fiscal.ai)</t>
        </r>
      </text>
    </comment>
    <comment ref="C121" authorId="0">
      <text>
        <r>
          <t xml:space="preserve">CLBT close, 2025-11-10: 15.61 (data provided by Fiscal.ai)</t>
        </r>
      </text>
    </comment>
    <comment ref="C122" authorId="0">
      <text>
        <r>
          <t xml:space="preserve">TYL close, 2025-11-10: 464.48 (data provided by Fiscal.ai)</t>
        </r>
      </text>
    </comment>
    <comment ref="C123" authorId="0">
      <text>
        <r>
          <t xml:space="preserve">APPF close, 2025-11-10: 254.96 (data provided by Fiscal.ai)</t>
        </r>
      </text>
    </comment>
    <comment ref="C124" authorId="0">
      <text>
        <r>
          <t xml:space="preserve">VERX close, 2025-11-10: 19.19 (data provided by Fiscal.ai)</t>
        </r>
      </text>
    </comment>
    <comment ref="C125" authorId="0">
      <text>
        <r>
          <t xml:space="preserve">DSGX close, 2025-11-10: 116.15 (data provided by Fiscal.ai)</t>
        </r>
      </text>
    </comment>
    <comment ref="C126" authorId="0">
      <text>
        <r>
          <t xml:space="preserve">ADSK close, 2025-11-10: 298.72 (data provided by Fiscal.ai)</t>
        </r>
      </text>
    </comment>
    <comment ref="C127" authorId="0">
      <text>
        <r>
          <t xml:space="preserve">TEAM close, 2025-11-10: 159.13 (data provided by Fiscal.ai)</t>
        </r>
      </text>
    </comment>
    <comment ref="D118" authorId="0">
      <text>
        <r>
          <t xml:space="preserve">Table Data - U.S. Dollars to Euro Spot Exchange Rate</t>
        </r>
      </text>
    </comment>
    <comment ref="E110" authorId="0">
      <text>
        <r>
          <t xml:space="preserve">GWRE close, 2025-09-08: 261.88 (data provided by Fiscal.ai)</t>
        </r>
      </text>
    </comment>
    <comment ref="E111" authorId="0">
      <text>
        <r>
          <t xml:space="preserve">INTA close, 2025-02-13: 74.1 (data provided by Fiscal.ai)</t>
        </r>
      </text>
    </comment>
    <comment ref="E112" authorId="0">
      <text>
        <r>
          <t xml:space="preserve">QTWO close, 2024-12-06: 110.85 (data provided by Fiscal.ai)</t>
        </r>
      </text>
    </comment>
    <comment ref="E113" authorId="0">
      <text>
        <r>
          <t xml:space="preserve">CCC close, 2024-12-04: 12.75 (data provided by Fiscal.ai)</t>
        </r>
      </text>
    </comment>
    <comment ref="E114" authorId="0">
      <text>
        <r>
          <t xml:space="preserve">NCNO close, 2024-11-11: 42.64 (data provided by Fiscal.ai)</t>
        </r>
      </text>
    </comment>
    <comment ref="E115" authorId="0">
      <text>
        <r>
          <t xml:space="preserve">ALKT close, 2024-11-25: 42.22 (data provided by Fiscal.ai)</t>
        </r>
      </text>
    </comment>
    <comment ref="E116" authorId="0">
      <text>
        <r>
          <t xml:space="preserve">SSNC close, 2025-08-22: 90.2 (data provided by Fiscal.ai)</t>
        </r>
      </text>
    </comment>
    <comment ref="E117" authorId="0">
      <text>
        <r>
          <t xml:space="preserve">VEEV close, 2025-10-07: 306.22 (data provided by Fiscal.ai)</t>
        </r>
      </text>
    </comment>
    <comment ref="E118" authorId="0">
      <text>
        <r>
          <t xml:space="preserve">Nemetschek SE close, 2025-08-08: 137.7 (data provided by Fiscal.ai)</t>
        </r>
      </text>
    </comment>
    <comment ref="E119" authorId="0">
      <text>
        <r>
          <t xml:space="preserve">BSY close, 2025-07-28: 58.72 (data provided by Fiscal.ai)</t>
        </r>
      </text>
    </comment>
    <comment ref="E120" authorId="0">
      <text>
        <r>
          <t xml:space="preserve">PCOR close, 2025-02-18: 88.33 (data provided by Fiscal.ai)</t>
        </r>
      </text>
    </comment>
    <comment ref="E121" authorId="0">
      <text>
        <r>
          <t xml:space="preserve">CLBT close, 2025-02-05: 26 (data provided by Fiscal.ai)</t>
        </r>
      </text>
    </comment>
    <comment ref="E122" authorId="0">
      <text>
        <r>
          <t xml:space="preserve">TYL close, 2025-02-13: 646.74 (data provided by Fiscal.ai)</t>
        </r>
      </text>
    </comment>
    <comment ref="E123" authorId="0">
      <text>
        <r>
          <t xml:space="preserve">APPF close, 2025-08-04: 321.25 (data provided by Fiscal.ai)</t>
        </r>
      </text>
    </comment>
    <comment ref="E124" authorId="0">
      <text>
        <r>
          <t xml:space="preserve">VERX close, 2025-01-28: 58.95 (data provided by Fiscal.ai)</t>
        </r>
      </text>
    </comment>
    <comment ref="E125" authorId="0">
      <text>
        <r>
          <t xml:space="preserve">DSGX close, 2025-02-10: 175.34 (data provided by Fiscal.ai)</t>
        </r>
      </text>
    </comment>
    <comment ref="E126" authorId="0">
      <text>
        <r>
          <t xml:space="preserve">ADSK close, 2025-09-08: 326.79 (data provided by Fiscal.ai)</t>
        </r>
      </text>
    </comment>
    <comment ref="E127" authorId="0">
      <text>
        <r>
          <t xml:space="preserve">TEAM close, 2025-02-10: 322.94 (data provided by Fiscal.ai)</t>
        </r>
      </text>
    </comment>
    <comment ref="G110" authorId="0">
      <text>
        <r>
          <t xml:space="preserve">GWRE total shares outstanding, 2025-08-29 (Common Stock): 84.53M (data provided by Fiscal.ai)</t>
        </r>
      </text>
    </comment>
    <comment ref="G111" authorId="0">
      <text>
        <r>
          <t xml:space="preserve">INTA total shares outstanding, 2025-10-28 (Common Stock): 81.93M (data provided by Fiscal.ai)</t>
        </r>
      </text>
    </comment>
    <comment ref="G112" authorId="0">
      <text>
        <r>
          <t xml:space="preserve">QTWO total shares outstanding, 2025-10-31 (Common Stock): 62.53M (data provided by Fiscal.ai)</t>
        </r>
      </text>
    </comment>
    <comment ref="G113" authorId="0">
      <text>
        <r>
          <t xml:space="preserve">CCC total shares outstanding, 2025-10-23 (Common Stock): 642.02M (data provided by Fiscal.ai)</t>
        </r>
      </text>
    </comment>
    <comment ref="G114" authorId="0">
      <text>
        <r>
          <t xml:space="preserve">NCNO total shares outstanding, 2025-08-21 (Common Stock): 115.81M (data provided by Fiscal.ai)</t>
        </r>
      </text>
    </comment>
    <comment ref="G115" authorId="0">
      <text>
        <r>
          <t xml:space="preserve">ALKT total shares outstanding, 2025-09-30 (Common Stock): 105.00M (data provided by Fiscal.ai)</t>
        </r>
      </text>
    </comment>
    <comment ref="G116" authorId="0">
      <text>
        <r>
          <t xml:space="preserve">SSNC total shares outstanding, 2025-10-23 (Common Stock): 244.03M (data provided by Fiscal.ai)</t>
        </r>
      </text>
    </comment>
    <comment ref="G117" authorId="0">
      <text>
        <r>
          <t xml:space="preserve">VEEV total shares outstanding, 2025-08-28 (Class A): 163.91M (data provided by Fiscal.ai)</t>
        </r>
      </text>
    </comment>
    <comment ref="G118" authorId="0">
      <text>
        <r>
          <t xml:space="preserve">Nemetschek SE total shares outstanding, 2025-06-30 (Bearer Shares): 115.47M (data provided by Fiscal.ai)</t>
        </r>
      </text>
    </comment>
    <comment ref="G119" authorId="0">
      <text>
        <r>
          <t xml:space="preserve">BSY total shares outstanding, 2025-10-29 (Class B): 303.56M (data provided by Fiscal.ai)</t>
        </r>
      </text>
    </comment>
    <comment ref="G120" authorId="0">
      <text>
        <r>
          <t xml:space="preserve">PCOR total shares outstanding, 2025-10-31 (Common Stock): 155.47M (data provided by Fiscal.ai)</t>
        </r>
      </text>
    </comment>
    <comment ref="G121" authorId="0">
      <text>
        <r>
          <t xml:space="preserve">CLBT total shares outstanding, 2025-06-30 (Common Stock): 244.47M (data provided by Fiscal.ai)</t>
        </r>
      </text>
    </comment>
    <comment ref="G122" authorId="0">
      <text>
        <r>
          <t xml:space="preserve">TYL total shares outstanding, 2025-10-27 (Common Stock): 43.03M (data provided by Fiscal.ai)</t>
        </r>
      </text>
    </comment>
    <comment ref="G123" authorId="0">
      <text>
        <r>
          <t xml:space="preserve">APPF total shares outstanding, 2025-10-23 (Class A): 35.92M (data provided by Fiscal.ai)</t>
        </r>
      </text>
    </comment>
    <comment ref="G124" authorId="0">
      <text>
        <r>
          <t xml:space="preserve">VERX total shares outstanding, 2025-10-30 (Class A): 159.53M (data provided by Fiscal.ai)</t>
        </r>
      </text>
    </comment>
    <comment ref="G125" authorId="0">
      <text>
        <r>
          <t xml:space="preserve">DSGX total shares outstanding, 2025-09-03 (Common Stock): 85.94M (data provided by Fiscal.ai)</t>
        </r>
      </text>
    </comment>
    <comment ref="G126" authorId="0">
      <text>
        <r>
          <t xml:space="preserve">ADSK total shares outstanding, 2025-08-26 (Common Stock): 213.00M (data provided by Fiscal.ai)</t>
        </r>
      </text>
    </comment>
    <comment ref="G127" authorId="0">
      <text>
        <r>
          <t xml:space="preserve">TEAM total shares outstanding, 2025-10-24 (Class A Common Stock): 263.11M (data provided by Fiscal.ai)</t>
        </r>
      </text>
    </comment>
    <comment ref="I110" authorId="0">
      <text>
        <r>
          <t xml:space="preserve">GWRE Diluted Weighted Average Shares Outstanding, Q4 2025 (standardized, Quarterly, income-statement): 86.27M (data provided by Fiscal.ai)</t>
        </r>
      </text>
    </comment>
    <comment ref="I111" authorId="0">
      <text>
        <r>
          <t xml:space="preserve">INTA Diluted Weighted Average Shares Outstanding, Q1 2026 (standardized, Quarterly, income-statement): 81.88M (data provided by Fiscal.ai)</t>
        </r>
      </text>
    </comment>
    <comment ref="I112" authorId="0">
      <text>
        <r>
          <t xml:space="preserve">QTWO Diluted Weighted Average Shares Outstanding, Q3 2025 (standardized, Quarterly, income-statement): 69.86M (data provided by Fiscal.ai)</t>
        </r>
      </text>
    </comment>
    <comment ref="I113" authorId="0">
      <text>
        <r>
          <t xml:space="preserve">CCC Diluted Weighted Average Shares Outstanding, Q3 2025 (standardized, Quarterly, income-statement): 631.44M (data provided by Fiscal.ai)</t>
        </r>
      </text>
    </comment>
    <comment ref="I114" authorId="0">
      <text>
        <r>
          <t xml:space="preserve">NCNO Diluted Weighted Average Shares Outstanding, Q2 2026 (standardized, Quarterly, income-statement): 115.26M (data provided by Fiscal.ai)</t>
        </r>
      </text>
    </comment>
    <comment ref="I115" authorId="0">
      <text>
        <r>
          <t xml:space="preserve">ALKT Diluted Weighted Average Shares Outstanding, Q3 2025 (standardized, Quarterly, income-statement): 104.35M (data provided by Fiscal.ai)</t>
        </r>
      </text>
    </comment>
    <comment ref="I116" authorId="0">
      <text>
        <r>
          <t xml:space="preserve">SSNC Diluted Weighted Average Shares Outstanding, Q3 2025 (standardized, Quarterly, income-statement): 252.60M (data provided by Fiscal.ai)</t>
        </r>
      </text>
    </comment>
    <comment ref="I117" authorId="0">
      <text>
        <r>
          <t xml:space="preserve">VEEV Diluted Weighted Average Shares Outstanding, Q2 2026 (standardized, Quarterly, income-statement): 167.68M (data provided by Fiscal.ai)</t>
        </r>
      </text>
    </comment>
    <comment ref="I118" authorId="0">
      <text>
        <r>
          <t xml:space="preserve">Nemetschek SE Diluted Weighted Average Shares Outstanding, Q3 2025 (standardized, Quarterly, income-statement): 115.48M (data provided by Fiscal.ai)</t>
        </r>
      </text>
    </comment>
    <comment ref="I119" authorId="0">
      <text>
        <r>
          <t xml:space="preserve">BSY Diluted Weighted Average Shares Outstanding, Q3 2025 (standardized, Quarterly, income-statement): 333.28M (data provided by Fiscal.ai)</t>
        </r>
      </text>
    </comment>
    <comment ref="I120" authorId="0">
      <text>
        <r>
          <t xml:space="preserve">PCOR Diluted Weighted Average Shares Outstanding, Q3 2025 (standardized, Quarterly, income-statement): 150.28M (data provided by Fiscal.ai)</t>
        </r>
      </text>
    </comment>
    <comment ref="I121" authorId="0">
      <text>
        <r>
          <t xml:space="preserve">CLBT Diluted Weighted Average Shares Outstanding, Q2 2025 (standardized, Quarterly, income-statement): 248.98M (data provided by Fiscal.ai)</t>
        </r>
      </text>
    </comment>
    <comment ref="I122" authorId="0">
      <text>
        <r>
          <t xml:space="preserve">TYL Diluted Weighted Average Shares Outstanding, Q3 2025 (standardized, Quarterly, income-statement): 43.83M (data provided by Fiscal.ai)</t>
        </r>
      </text>
    </comment>
    <comment ref="I123" authorId="0">
      <text>
        <r>
          <t xml:space="preserve">APPF Diluted Weighted Average Shares Outstanding, Q3 2025 (standardized, Quarterly, income-statement): 36.26M (data provided by Fiscal.ai)</t>
        </r>
      </text>
    </comment>
    <comment ref="I124" authorId="0">
      <text>
        <r>
          <t xml:space="preserve">VERX Diluted Weighted Average Shares Outstanding, Q3 2025 (standardized, Quarterly, income-statement): 81.86M (data provided by Fiscal.ai)</t>
        </r>
      </text>
    </comment>
    <comment ref="I125" authorId="0">
      <text>
        <r>
          <t xml:space="preserve">DSGX Diluted Weighted Average Shares Outstanding, Q2 2026 (standardized, Quarterly, income-statement): 87.59M (data provided by Fiscal.ai)</t>
        </r>
      </text>
    </comment>
    <comment ref="I126" authorId="0">
      <text>
        <r>
          <t xml:space="preserve">ADSK Diluted Weighted Average Shares Outstanding, Q2 2026 (standardized, Quarterly, income-statement): 215.00M (data provided by Fiscal.ai)</t>
        </r>
      </text>
    </comment>
    <comment ref="I127" authorId="0">
      <text>
        <r>
          <t xml:space="preserve">TEAM Diluted Weighted Average Shares Outstanding, Q1 2026 (standardized, Quarterly, income-statement): 262.99M (data provided by Fiscal.ai)</t>
        </r>
      </text>
    </comment>
    <comment ref="J110" authorId="0">
      <text>
        <r>
          <t xml:space="preserve">GWRE Basic Weighted Average Shares Outstanding, Q4 2025 (standardized, Quarterly, income-statement): 84.37M (data provided by Fiscal.ai)</t>
        </r>
      </text>
    </comment>
    <comment ref="J111" authorId="0">
      <text>
        <r>
          <t xml:space="preserve">INTA Basic Weighted Average Shares Outstanding, Q1 2026 (standardized, Quarterly, income-statement): 81.88M (data provided by Fiscal.ai)</t>
        </r>
      </text>
    </comment>
    <comment ref="J112" authorId="0">
      <text>
        <r>
          <t xml:space="preserve">QTWO Basic Weighted Average Shares Outstanding, Q3 2025 (standardized, Quarterly, income-statement): 62.46M (data provided by Fiscal.ai)</t>
        </r>
      </text>
    </comment>
    <comment ref="J113" authorId="0">
      <text>
        <r>
          <t xml:space="preserve">CCC Basic Weighted Average Shares Outstanding, Q3 2025 (standardized, Quarterly, income-statement): 631.44M (data provided by Fiscal.ai)</t>
        </r>
      </text>
    </comment>
    <comment ref="J114" authorId="0">
      <text>
        <r>
          <t xml:space="preserve">NCNO Basic Weighted Average Shares Outstanding, Q2 2026 (standardized, Quarterly, income-statement): 115.26M (data provided by Fiscal.ai)</t>
        </r>
      </text>
    </comment>
    <comment ref="J115" authorId="0">
      <text>
        <r>
          <t xml:space="preserve">ALKT Basic Weighted Average Shares Outstanding, Q3 2025 (standardized, Quarterly, income-statement): 104.35M (data provided by Fiscal.ai)</t>
        </r>
      </text>
    </comment>
    <comment ref="J116" authorId="0">
      <text>
        <r>
          <t xml:space="preserve">SSNC Basic Weighted Average Shares Outstanding, Q3 2025 (standardized, Quarterly, income-statement): 243.80M (data provided by Fiscal.ai)</t>
        </r>
      </text>
    </comment>
    <comment ref="J117" authorId="0">
      <text>
        <r>
          <t xml:space="preserve">VEEV Basic Weighted Average Shares Outstanding, Q2 2026 (standardized, Quarterly, income-statement): 163.50M (data provided by Fiscal.ai)</t>
        </r>
      </text>
    </comment>
    <comment ref="J118" authorId="0">
      <text>
        <r>
          <t xml:space="preserve">Nemetschek SE Basic Weighted Average Shares Outstanding, Q3 2025 (standardized, Quarterly, income-statement): 115.48M (data provided by Fiscal.ai)</t>
        </r>
      </text>
    </comment>
    <comment ref="J119" authorId="0">
      <text>
        <r>
          <t xml:space="preserve">BSY Basic Weighted Average Shares Outstanding, Q3 2025 (standardized, Quarterly, income-statement): 314.63M (data provided by Fiscal.ai)</t>
        </r>
      </text>
    </comment>
    <comment ref="J120" authorId="0">
      <text>
        <r>
          <t xml:space="preserve">PCOR Basic Weighted Average Shares Outstanding, Q3 2025 (standardized, Quarterly, income-statement): 150.28M (data provided by Fiscal.ai)</t>
        </r>
      </text>
    </comment>
    <comment ref="J121" authorId="0">
      <text>
        <r>
          <t xml:space="preserve">CLBT Basic Weighted Average Shares Outstanding, Q2 2025 (standardized, Quarterly, income-statement): 240.36M (data provided by Fiscal.ai)</t>
        </r>
      </text>
    </comment>
    <comment ref="J122" authorId="0">
      <text>
        <r>
          <t xml:space="preserve">TYL Basic Weighted Average Shares Outstanding, Q3 2025 (standardized, Quarterly, income-statement): 43.14M (data provided by Fiscal.ai)</t>
        </r>
      </text>
    </comment>
    <comment ref="J123" authorId="0">
      <text>
        <r>
          <t xml:space="preserve">APPF Basic Weighted Average Shares Outstanding, Q3 2025 (standardized, Quarterly, income-statement): 35.89M (data provided by Fiscal.ai)</t>
        </r>
      </text>
    </comment>
    <comment ref="J124" authorId="0">
      <text>
        <r>
          <t xml:space="preserve">VERX Basic Weighted Average Shares Outstanding, Q3 2025 (standardized, Quarterly, income-statement): 77.36M (data provided by Fiscal.ai)</t>
        </r>
      </text>
    </comment>
    <comment ref="J125" authorId="0">
      <text>
        <r>
          <t xml:space="preserve">DSGX Basic Weighted Average Shares Outstanding, Q2 2026 (standardized, Quarterly, income-statement): 85.83M (data provided by Fiscal.ai)</t>
        </r>
      </text>
    </comment>
    <comment ref="J126" authorId="0">
      <text>
        <r>
          <t xml:space="preserve">ADSK Basic Weighted Average Shares Outstanding, Q2 2026 (standardized, Quarterly, income-statement): 213.00M (data provided by Fiscal.ai)</t>
        </r>
      </text>
    </comment>
    <comment ref="J127" authorId="0">
      <text>
        <r>
          <t xml:space="preserve">TEAM Basic Weighted Average Shares Outstanding, Q1 2026 (standardized, Quarterly, income-statement): 262.99M (data provided by Fiscal.ai)</t>
        </r>
      </text>
    </comment>
    <comment ref="K124" authorId="0">
      <text>
        <r>
          <t xml:space="preserve">Vertex, Inc. 10-Q (2025-09-30) verx-20250930x10q</t>
        </r>
      </text>
    </comment>
    <comment ref="L112" authorId="0">
      <text>
        <r>
          <t xml:space="preserve">Q2 Holdings, Inc. 10-Q (2025-09-30) qtwo-20250930</t>
        </r>
      </text>
    </comment>
    <comment ref="L119" authorId="0">
      <text>
        <r>
          <t xml:space="preserve">BENTLEY SYSTEMS INC 10-Q (2025-09-30) bsy-20250930</t>
        </r>
      </text>
    </comment>
    <comment ref="M112" authorId="0">
      <text>
        <r>
          <t xml:space="preserve">QTWO Current Portion of Long-Term Debt, Q3 2025 (standardized, Quarterly, balance-sheet): 493.93M (data provided by Fiscal.ai)</t>
        </r>
      </text>
    </comment>
    <comment ref="M113" authorId="0">
      <text>
        <r>
          <t xml:space="preserve">CCC Current Portion of Long-Term Debt, Q3 2025 (standardized, Quarterly, balance-sheet): 10.01M (data provided by Fiscal.ai)</t>
        </r>
      </text>
    </comment>
    <comment ref="M116" authorId="0">
      <text>
        <r>
          <t xml:space="preserve">SSNC Current Portion of Long-Term Debt, Q3 2025 (standardized, Quarterly, balance-sheet): 20.00M (data provided by Fiscal.ai)</t>
        </r>
      </text>
    </comment>
    <comment ref="M122" authorId="0">
      <text>
        <r>
          <t xml:space="preserve">TYL Current Portion of Long-Term Debt, Q3 2025 (standardized, Quarterly, balance-sheet): 599.23M (data provided by Fiscal.ai)</t>
        </r>
      </text>
    </comment>
    <comment ref="N113" authorId="0">
      <text>
        <r>
          <t xml:space="preserve">CCC Short-Term Debt, Q3 2025 (standardized, Quarterly, balance-sheet): 24.45M (data provided by Fiscal.ai)</t>
        </r>
      </text>
    </comment>
    <comment ref="O110" authorId="0">
      <text>
        <r>
          <t xml:space="preserve">GWRE Long-Term Debt, Q4 2025 (standardized, Quarterly, balance-sheet): 674.57M (data provided by Fiscal.ai)</t>
        </r>
      </text>
    </comment>
    <comment ref="O113" authorId="0">
      <text>
        <r>
          <t xml:space="preserve">CCC Long-Term Debt, Q3 2025 (standardized, Quarterly, balance-sheet): 971.21M (data provided by Fiscal.ai)</t>
        </r>
      </text>
    </comment>
    <comment ref="O114" authorId="0">
      <text>
        <r>
          <t xml:space="preserve">NCNO Long-Term Debt, Q2 2026 (standardized, Quarterly, balance-sheet): 203.50M (data provided by Fiscal.ai)</t>
        </r>
      </text>
    </comment>
    <comment ref="O115" authorId="0">
      <text>
        <r>
          <t xml:space="preserve">ALKT Long-Term Debt, Q3 2025 (standardized, Quarterly, balance-sheet): 360.72M (data provided by Fiscal.ai)</t>
        </r>
      </text>
    </comment>
    <comment ref="O116" authorId="0">
      <text>
        <r>
          <t xml:space="preserve">SSNC Long-Term Debt, Q3 2025 (standardized, Quarterly, balance-sheet): 6.57B (data provided by Fiscal.ai)</t>
        </r>
      </text>
    </comment>
    <comment ref="O118" authorId="0">
      <text>
        <r>
          <t xml:space="preserve">Nemetschek SE Long-Term Debt, Q3 2025 (standardized, Quarterly, balance-sheet): 449.52M (data provided by Fiscal.ai)</t>
        </r>
      </text>
    </comment>
    <comment ref="O119" authorId="0">
      <text>
        <r>
          <t xml:space="preserve">BSY Long-Term Debt, Q3 2025 (standardized, Quarterly, balance-sheet): 1.25B (data provided by Fiscal.ai)</t>
        </r>
      </text>
    </comment>
    <comment ref="O124" authorId="0">
      <text>
        <r>
          <t xml:space="preserve">VERX Long-Term Debt, Q3 2025 (standardized, Quarterly, balance-sheet): 336.91M (data provided by Fiscal.ai)</t>
        </r>
      </text>
    </comment>
    <comment ref="O126" authorId="0">
      <text>
        <r>
          <t xml:space="preserve">ADSK Long-Term Debt, Q2 2026 (standardized, Quarterly, balance-sheet): 2.48B (data provided by Fiscal.ai)</t>
        </r>
      </text>
    </comment>
    <comment ref="O127" authorId="0">
      <text>
        <r>
          <t xml:space="preserve">TEAM Long-Term Debt, Q1 2026 (standardized, Quarterly, balance-sheet): 988.14M (data provided by Fiscal.ai)</t>
        </r>
      </text>
    </comment>
    <comment ref="P114" authorId="0">
      <text>
        <r>
          <t xml:space="preserve">NCNO Minority Interests and Other, Q2 2026 (standardized, Quarterly, balance-sheet): 10.34M (data provided by Fiscal.ai)</t>
        </r>
      </text>
    </comment>
    <comment ref="P116" authorId="0">
      <text>
        <r>
          <t xml:space="preserve">SSNC Minority Interests and Other, Q3 2025 (standardized, Quarterly, balance-sheet): 53.30M (data provided by Fiscal.ai)</t>
        </r>
      </text>
    </comment>
    <comment ref="P118" authorId="0">
      <text>
        <r>
          <t xml:space="preserve">Nemetschek SE Minority Interests and Other, Q3 2025 (standardized, Quarterly, balance-sheet): 35.73M (data provided by Fiscal.ai)</t>
        </r>
      </text>
    </comment>
    <comment ref="P119" authorId="0">
      <text>
        <r>
          <t xml:space="preserve">BSY Minority Interests and Other, Q3 2025 (standardized, Quarterly, balance-sheet): 47000 (data provided by Fiscal.ai)</t>
        </r>
      </text>
    </comment>
    <comment ref="Q110" authorId="0">
      <text>
        <r>
          <t xml:space="preserve">GWRE Cash and Cash Equivalents, Q4 2025 (standardized, Quarterly, balance-sheet): 697.90M (data provided by Fiscal.ai)</t>
        </r>
      </text>
    </comment>
    <comment ref="Q111" authorId="0">
      <text>
        <r>
          <t xml:space="preserve">INTA Cash and Cash Equivalents, Q1 2026 (standardized, Quarterly, balance-sheet): 273.44M (data provided by Fiscal.ai)</t>
        </r>
      </text>
    </comment>
    <comment ref="Q112" authorId="0">
      <text>
        <r>
          <t xml:space="preserve">QTWO Cash and Cash Equivalents, Q3 2025 (standardized, Quarterly, balance-sheet): 472.39M (data provided by Fiscal.ai)</t>
        </r>
      </text>
    </comment>
    <comment ref="Q113" authorId="0">
      <text>
        <r>
          <t xml:space="preserve">CCC Cash and Cash Equivalents, Q3 2025 (standardized, Quarterly, balance-sheet): 97.14M (data provided by Fiscal.ai)</t>
        </r>
      </text>
    </comment>
    <comment ref="Q114" authorId="0">
      <text>
        <r>
          <t xml:space="preserve">NCNO Cash and Cash Equivalents, Q2 2026 (standardized, Quarterly, balance-sheet): 122.94M (data provided by Fiscal.ai)</t>
        </r>
      </text>
    </comment>
    <comment ref="Q115" authorId="0">
      <text>
        <r>
          <t xml:space="preserve">ALKT Cash and Cash Equivalents, Q3 2025 (standardized, Quarterly, balance-sheet): 57.32M (data provided by Fiscal.ai)</t>
        </r>
      </text>
    </comment>
    <comment ref="Q116" authorId="0">
      <text>
        <r>
          <t xml:space="preserve">SSNC Cash and Cash Equivalents, Q3 2025 (standardized, Quarterly, balance-sheet): 388.30M (data provided by Fiscal.ai)</t>
        </r>
      </text>
    </comment>
    <comment ref="Q117" authorId="0">
      <text>
        <r>
          <t xml:space="preserve">VEEV Cash and Cash Equivalents, Q2 2026 (standardized, Quarterly, balance-sheet): 1.93B (data provided by Fiscal.ai)</t>
        </r>
      </text>
    </comment>
    <comment ref="Q118" authorId="0">
      <text>
        <r>
          <t xml:space="preserve">Nemetschek SE Cash and Cash Equivalents, Q3 2025 (standardized, Quarterly, balance-sheet): 307.50M (data provided by Fiscal.ai)</t>
        </r>
      </text>
    </comment>
    <comment ref="Q119" authorId="0">
      <text>
        <r>
          <t xml:space="preserve">BSY Cash and Cash Equivalents, Q3 2025 (standardized, Quarterly, balance-sheet): 165.41M (data provided by Fiscal.ai)</t>
        </r>
      </text>
    </comment>
    <comment ref="Q120" authorId="0">
      <text>
        <r>
          <t xml:space="preserve">PCOR Cash and Cash Equivalents, Q3 2025 (standardized, Quarterly, balance-sheet): 350.50M (data provided by Fiscal.ai)</t>
        </r>
      </text>
    </comment>
    <comment ref="Q121" authorId="0">
      <text>
        <r>
          <t xml:space="preserve">CLBT Cash and Cash Equivalents, Q2 2025 (standardized, Quarterly, balance-sheet): 179.22M (data provided by Fiscal.ai)</t>
        </r>
      </text>
    </comment>
    <comment ref="Q122" authorId="0">
      <text>
        <r>
          <t xml:space="preserve">TYL Cash and Cash Equivalents, Q3 2025 (standardized, Quarterly, balance-sheet): 834.10M (data provided by Fiscal.ai)</t>
        </r>
      </text>
    </comment>
    <comment ref="Q123" authorId="0">
      <text>
        <r>
          <t xml:space="preserve">APPF Cash and Cash Equivalents, Q3 2025 (standardized, Quarterly, balance-sheet): 76.09M (data provided by Fiscal.ai)</t>
        </r>
      </text>
    </comment>
    <comment ref="Q124" authorId="0">
      <text>
        <r>
          <t xml:space="preserve">VERX Cash and Cash Equivalents, Q3 2025 (standardized, Quarterly, balance-sheet): 313.51M (data provided by Fiscal.ai)</t>
        </r>
      </text>
    </comment>
    <comment ref="Q125" authorId="0">
      <text>
        <r>
          <t xml:space="preserve">DSGX Cash and Cash Equivalents, Q2 2026 (standardized, Quarterly, balance-sheet): 240.63M (data provided by Fiscal.ai)</t>
        </r>
      </text>
    </comment>
    <comment ref="Q126" authorId="0">
      <text>
        <r>
          <t xml:space="preserve">ADSK Cash and Cash Equivalents, Q2 2026 (standardized, Quarterly, balance-sheet): 2.00B (data provided by Fiscal.ai)</t>
        </r>
      </text>
    </comment>
    <comment ref="Q127" authorId="0">
      <text>
        <r>
          <t xml:space="preserve">TEAM Cash and Cash Equivalents, Q1 2026 (standardized, Quarterly, balance-sheet): 2.32B (data provided by Fiscal.ai)</t>
        </r>
      </text>
    </comment>
    <comment ref="R110" authorId="0">
      <text>
        <r>
          <t xml:space="preserve">GWRE Short-Term Investments, Q4 2025 (standardized, Quarterly, balance-sheet): 451.54M (data provided by Fiscal.ai)</t>
        </r>
      </text>
    </comment>
    <comment ref="R115" authorId="0">
      <text>
        <r>
          <t xml:space="preserve">ALKT Short-Term Investments, Q3 2025 (standardized, Quarterly, balance-sheet): 33.60M (data provided by Fiscal.ai)</t>
        </r>
      </text>
    </comment>
    <comment ref="R117" authorId="0">
      <text>
        <r>
          <t xml:space="preserve">VEEV Short-Term Investments, Q2 2026 (standardized, Quarterly, balance-sheet): 4.47B (data provided by Fiscal.ai)</t>
        </r>
      </text>
    </comment>
    <comment ref="R120" authorId="0">
      <text>
        <r>
          <t xml:space="preserve">PCOR Short-Term Investments, Q3 2025 (standardized, Quarterly, balance-sheet): 333.48M (data provided by Fiscal.ai)</t>
        </r>
      </text>
    </comment>
    <comment ref="R121" authorId="0">
      <text>
        <r>
          <t xml:space="preserve">CLBT Short-Term Investments, Q2 2025 (standardized, Quarterly, balance-sheet): 292.96M (data provided by Fiscal.ai)</t>
        </r>
      </text>
    </comment>
    <comment ref="R122" authorId="0">
      <text>
        <r>
          <t xml:space="preserve">TYL Short-Term Investments, Q3 2025 (standardized, Quarterly, balance-sheet): 116.72M (data provided by Fiscal.ai)</t>
        </r>
      </text>
    </comment>
    <comment ref="R123" authorId="0">
      <text>
        <r>
          <t xml:space="preserve">APPF Short-Term Investments, Q3 2025 (standardized, Quarterly, balance-sheet): 124.06M (data provided by Fiscal.ai)</t>
        </r>
      </text>
    </comment>
    <comment ref="R126" authorId="0">
      <text>
        <r>
          <t xml:space="preserve">ADSK Short-Term Investments, Q2 2026 (standardized, Quarterly, balance-sheet): 233.00M (data provided by Fiscal.ai)</t>
        </r>
      </text>
    </comment>
    <comment ref="R127" authorId="0">
      <text>
        <r>
          <t xml:space="preserve">TEAM Short-Term Investments, Q1 2026 (standardized, Quarterly, balance-sheet): 456.04M (data provided by Fiscal.ai)</t>
        </r>
      </text>
    </comment>
    <comment ref="T125" authorId="0">
      <text>
        <r>
          <t xml:space="preserve">Table Data - Canadian Dollars to U.S. Dollar Spot Exchange Rate</t>
        </r>
      </text>
    </comment>
    <comment ref="X57" authorId="0">
      <text>
        <r>
          <t xml:space="preserve">CWAN DEFM14A Definitive Merger Proxy (filed 2026-04-08) p. 49</t>
        </r>
      </text>
    </comment>
    <comment ref="X58" authorId="0">
      <text>
        <r>
          <t xml:space="preserve">Cited for X58:X59
SC 13E-3 exhibit (c)(ii), special committee fairness materials (2025-12-20) p. 4</t>
        </r>
      </text>
    </comment>
    <comment ref="X60" authorId="0">
      <text>
        <r>
          <t xml:space="preserve">Cited for X60:X69
SC 13E-3 exhibit (c)(ii), special committee fairness materials (2025-12-20) p. 14</t>
        </r>
      </text>
    </comment>
    <comment ref="X70" authorId="0">
      <text>
        <r>
          <t xml:space="preserve">CWAN Earnings Release FY2024 Q4 (issued 2025-02-19) p. 8</t>
        </r>
      </text>
    </comment>
    <comment ref="X71" authorId="0">
      <text>
        <r>
          <t xml:space="preserve">Cited for X71:X74
SC 13E-3 exhibit (c)(ii), special committee fairness materials (2025-12-20) p. 16</t>
        </r>
      </text>
    </comment>
    <comment ref="X75" authorId="0">
      <text>
        <r>
          <t xml:space="preserve">Cited for X75:X78
SC 13E-3 exhibit (c)(ii), special committee fairness materials (2025-12-20) p. 15</t>
        </r>
      </text>
    </comment>
    <comment ref="X79" authorId="0">
      <text>
        <r>
          <t xml:space="preserve">Table Data - U.S. Dollars to Euro Spot Exchange Rate</t>
        </r>
      </text>
    </comment>
    <comment ref="X80" authorId="0">
      <text>
        <r>
          <t xml:space="preserve">Table Data - Canadian Dollars to U.S. Dollar Spot Exchange Rate</t>
        </r>
      </text>
    </comment>
    <comment ref="Z12" authorId="0">
      <text>
        <r>
          <t xml:space="preserve">GWRE close, 2025-12-19: 199.92 (data provided by Fiscal.ai)</t>
        </r>
      </text>
    </comment>
    <comment ref="Z13" authorId="0">
      <text>
        <r>
          <t xml:space="preserve">INTA close, 2025-12-19: 45.95 (data provided by Fiscal.ai)</t>
        </r>
      </text>
    </comment>
    <comment ref="Z14" authorId="0">
      <text>
        <r>
          <t xml:space="preserve">QTWO close, 2025-12-19: 74.14 (data provided by Fiscal.ai)</t>
        </r>
      </text>
    </comment>
    <comment ref="Z15" authorId="0">
      <text>
        <r>
          <t xml:space="preserve">CCC close, 2025-12-19: 7.9 (data provided by Fiscal.ai)</t>
        </r>
      </text>
    </comment>
    <comment ref="Z16" authorId="0">
      <text>
        <r>
          <t xml:space="preserve">NCNO close, 2025-12-19: 25.68 (data provided by Fiscal.ai)</t>
        </r>
      </text>
    </comment>
    <comment ref="Z17" authorId="0">
      <text>
        <r>
          <t xml:space="preserve">ALKT close, 2025-12-19: 22.73 (data provided by Fiscal.ai)</t>
        </r>
      </text>
    </comment>
    <comment ref="Z18" authorId="0">
      <text>
        <r>
          <t xml:space="preserve">SSNC close, 2025-12-19: 87.75 (data provided by Fiscal.ai)</t>
        </r>
      </text>
    </comment>
    <comment ref="Z24" authorId="0">
      <text>
        <r>
          <t xml:space="preserve">VEEV close, 2025-12-19: 221.86 (data provided by Fiscal.ai)</t>
        </r>
      </text>
    </comment>
    <comment ref="Z25" authorId="0">
      <text>
        <r>
          <t xml:space="preserve">Nemetschek SE close, 2025-12-19: 93.7 (data provided by Fiscal.ai)</t>
        </r>
      </text>
    </comment>
    <comment ref="Z26" authorId="0">
      <text>
        <r>
          <t xml:space="preserve">BSY close, 2025-12-19: 39.75 (data provided by Fiscal.ai)</t>
        </r>
      </text>
    </comment>
    <comment ref="Z27" authorId="0">
      <text>
        <r>
          <t xml:space="preserve">PCOR close, 2025-12-19: 74.13 (data provided by Fiscal.ai)</t>
        </r>
      </text>
    </comment>
    <comment ref="Z28" authorId="0">
      <text>
        <r>
          <t xml:space="preserve">CLBT close, 2025-12-19: 19.21 (data provided by Fiscal.ai)</t>
        </r>
      </text>
    </comment>
    <comment ref="Z29" authorId="0">
      <text>
        <r>
          <t xml:space="preserve">TYL close, 2025-12-19: 457.9 (data provided by Fiscal.ai)</t>
        </r>
      </text>
    </comment>
    <comment ref="Z30" authorId="0">
      <text>
        <r>
          <t xml:space="preserve">APPF close, 2025-12-19: 233.69 (data provided by Fiscal.ai)</t>
        </r>
      </text>
    </comment>
    <comment ref="Z31" authorId="0">
      <text>
        <r>
          <t xml:space="preserve">VERX close, 2025-12-19: 20.02 (data provided by Fiscal.ai)</t>
        </r>
      </text>
    </comment>
    <comment ref="Z37" authorId="0">
      <text>
        <r>
          <t xml:space="preserve">DSGX close, 2025-12-19: 123.64 (data provided by Fiscal.ai)</t>
        </r>
      </text>
    </comment>
    <comment ref="Z38" authorId="0">
      <text>
        <r>
          <t xml:space="preserve">ADSK close, 2025-12-19: 300.08 (data provided by Fiscal.ai)</t>
        </r>
      </text>
    </comment>
    <comment ref="Z39" authorId="0">
      <text>
        <r>
          <t xml:space="preserve">TEAM close, 2025-12-19: 161.07 (data provided by Fiscal.ai)</t>
        </r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G11" authorId="0">
      <text>
        <r>
          <t xml:space="preserve">SC 13E-3 exhibit (c)(vi), board fairness materials (2025-12-20) p. 5</t>
        </r>
      </text>
    </comment>
    <comment ref="G17" authorId="0">
      <text>
        <r>
          <t xml:space="preserve">SC 13E-3 exhibit (c)(vi), board fairness materials (2025-12-20) p. 5</t>
        </r>
      </text>
    </comment>
    <comment ref="G21" authorId="0">
      <text>
        <r>
          <t xml:space="preserve">SC 13E-3 exhibit (c)(vi), board fairness materials (2025-12-20) p. 5</t>
        </r>
      </text>
    </comment>
    <comment ref="H12" authorId="0">
      <text>
        <r>
          <t xml:space="preserve">Cited for G12:H16
SC 13E-3 exhibit (c)(ii), special committee fairness materials (2025-12-20) p. 25</t>
        </r>
      </text>
    </comment>
    <comment ref="H18" authorId="0">
      <text>
        <r>
          <t xml:space="preserve">Cited for G18:H20
SC 13E-3 exhibit (c)(ii), special committee fairness materials (2025-12-20) p. 25</t>
        </r>
      </text>
    </comment>
    <comment ref="H22" authorId="0">
      <text>
        <r>
          <t xml:space="preserve">Cited for G22:H22
SC 13E-3 exhibit (c)(ii), special committee fairness materials (2025-12-20) p. 25</t>
        </r>
      </text>
    </comment>
    <comment ref="H27" authorId="0">
      <text>
        <r>
          <t xml:space="preserve">SC 13E-3 exhibit (c)(ii), special committee fairness materials (2025-12-20) p. 25</t>
        </r>
      </text>
    </comment>
    <comment ref="H8" authorId="0">
      <text>
        <r>
          <t xml:space="preserve">Cited for G8:H10
SC 13E-3 exhibit (c)(ii), special committee fairness materials (2025-12-20) p. 25</t>
        </r>
      </text>
    </comment>
    <comment ref="I10" authorId="0">
      <text>
        <r>
          <t xml:space="preserve">Cited for I10:I11
SC 13E-3 exhibit (c)(vi), board fairness materials (2025-12-20) p. 5</t>
        </r>
      </text>
    </comment>
    <comment ref="I14" authorId="0">
      <text>
        <r>
          <t xml:space="preserve">Cited for I14:I15
SC 13E-3 exhibit (c)(vi), board fairness materials (2025-12-20) p. 5</t>
        </r>
      </text>
    </comment>
    <comment ref="I17" authorId="0">
      <text>
        <r>
          <t xml:space="preserve">Cited for I17:I18
SC 13E-3 exhibit (c)(vi), board fairness materials (2025-12-20) p. 5</t>
        </r>
      </text>
    </comment>
    <comment ref="I20" authorId="0">
      <text>
        <r>
          <t xml:space="preserve">Cited for I20:I22
SC 13E-3 exhibit (c)(vi), board fairness materials (2025-12-20) p. 5</t>
        </r>
      </text>
    </comment>
    <comment ref="I27" authorId="0">
      <text>
        <r>
          <t xml:space="preserve">SC 13E-3 exhibit (c)(vi), board fairness materials (2025-12-20) p. 5</t>
        </r>
      </text>
    </comment>
    <comment ref="I8" authorId="0">
      <text>
        <r>
          <t xml:space="preserve">SC 13E-3 exhibit (c)(vi), board fairness materials (2025-12-20) p. 5</t>
        </r>
      </text>
    </comment>
    <comment ref="K10" authorId="0">
      <text>
        <r>
          <t xml:space="preserve">Cited for K10:K11
SC 13E-3 exhibit (c)(ix), independent directors discussion materials (2025-10-20) p. 21</t>
        </r>
      </text>
    </comment>
    <comment ref="K14" authorId="0">
      <text>
        <r>
          <t xml:space="preserve">Cited for K14:K15
SC 13E-3 exhibit (c)(ix), independent directors discussion materials (2025-10-20) p. 21</t>
        </r>
      </text>
    </comment>
    <comment ref="K17" authorId="0">
      <text>
        <r>
          <t xml:space="preserve">Cited for K17:K18
SC 13E-3 exhibit (c)(ix), independent directors discussion materials (2025-10-20) p. 21</t>
        </r>
      </text>
    </comment>
    <comment ref="K20" authorId="0">
      <text>
        <r>
          <t xml:space="preserve">Cited for K20:K22
SC 13E-3 exhibit (c)(ix), independent directors discussion materials (2025-10-20) p. 21</t>
        </r>
      </text>
    </comment>
    <comment ref="K8" authorId="0">
      <text>
        <r>
          <t xml:space="preserve">SC 13E-3 exhibit (c)(ix), independent directors discussion materials (2025-10-20) p. 21</t>
        </r>
      </text>
    </comment>
    <comment ref="L10" authorId="0">
      <text>
        <r>
          <t xml:space="preserve">https://www.sec.gov/Archives/edgar/data/1868912/000110465925002843/tm251420d1_ex99-2</t>
        </r>
      </text>
    </comment>
    <comment ref="L11" authorId="0">
      <text>
        <r>
          <t xml:space="preserve">Smartsheet to be Acquired by Blackstone and Vista Equity Partners for $8.4 Billion</t>
        </r>
      </text>
    </comment>
    <comment ref="L12" authorId="0">
      <text>
        <r>
          <t xml:space="preserve">Utility-inst</t>
        </r>
      </text>
    </comment>
    <comment ref="L14" authorId="0">
      <text>
        <r>
          <t xml:space="preserve">PowerSchool to be Acquired by Bain Capital in $5.6 Billion Transaction</t>
        </r>
      </text>
    </comment>
    <comment ref="L15" authorId="0">
      <text>
        <r>
          <t xml:space="preserve">Where Innovation Meets Trust</t>
        </r>
      </text>
    </comment>
    <comment ref="L16" authorId="0">
      <text>
        <r>
          <t xml:space="preserve">Breadcrumb</t>
        </r>
      </text>
    </comment>
    <comment ref="L17" authorId="0">
      <text>
        <r>
          <t xml:space="preserve">Qualtrics to be Acquired by Silver Lake and CPP Investments for $12.5 Billion</t>
        </r>
      </text>
    </comment>
    <comment ref="L18" authorId="0">
      <text>
        <r>
          <t xml:space="preserve">Coupa Software Enters into Definitive Agreement to Be Acquired by Thoma Bravo for $8 Billion</t>
        </r>
      </text>
    </comment>
    <comment ref="L19" authorId="0">
      <text>
        <r>
          <t xml:space="preserve"/>
        </r>
      </text>
    </comment>
    <comment ref="L20" authorId="0">
      <text>
        <r>
          <t xml:space="preserve">https://www.sec.gov/Archives/edgar/data/1619954/000161995421000116/ex-991x08192021</t>
        </r>
      </text>
    </comment>
    <comment ref="L21" authorId="0">
      <text>
        <r>
          <t xml:space="preserve">Proofpoint Acquired by Thoma Bravo in $12.3 Billion Transaction</t>
        </r>
      </text>
    </comment>
    <comment ref="L22" authorId="0">
      <text>
        <r>
          <t xml:space="preserve">Log in to your account</t>
        </r>
      </text>
    </comment>
    <comment ref="L8" authorId="0">
      <text>
        <r>
          <t xml:space="preserve">Dayforce Enters into US$12.3 Billion Definitive Agreement with Thoma Bravo to Become a Private Company</t>
        </r>
      </text>
    </comment>
    <comment ref="L9" authorId="0">
      <text>
        <r>
          <t xml:space="preserve">Sapiens to be acquired by Advent for $2.5 Billion</t>
        </r>
      </text>
    </comment>
  </commentList>
</comments>
</file>

<file path=xl/sharedStrings.xml><?xml version="1.0" encoding="utf-8"?>
<sst xmlns="http://schemas.openxmlformats.org/spreadsheetml/2006/main" count="543" uniqueCount="543">
  <si>
    <t/>
  </si>
  <si>
    <t>Company</t>
  </si>
  <si>
    <t>SS&amp;C Technologies</t>
  </si>
  <si>
    <t>Guidewire Software</t>
  </si>
  <si>
    <t>CCC Intelligent Solutions</t>
  </si>
  <si>
    <t>Q2 Holdings</t>
  </si>
  <si>
    <t>Intapp</t>
  </si>
  <si>
    <t>nCino</t>
  </si>
  <si>
    <t>Alkami Technology</t>
  </si>
  <si>
    <t>Veeva Systems</t>
  </si>
  <si>
    <t>Tyler Technologies</t>
  </si>
  <si>
    <t>Procore Technologies</t>
  </si>
  <si>
    <t>Vertex</t>
  </si>
  <si>
    <t>Bentley Systems</t>
  </si>
  <si>
    <t>Nemetschek</t>
  </si>
  <si>
    <t>AppFolio</t>
  </si>
  <si>
    <t>Cellebrite</t>
  </si>
  <si>
    <t>Autodesk</t>
  </si>
  <si>
    <t>Atlassian</t>
  </si>
  <si>
    <t>Descartes Systems</t>
  </si>
  <si>
    <t>Ticker</t>
  </si>
  <si>
    <t>SSNC</t>
  </si>
  <si>
    <t>GWRE</t>
  </si>
  <si>
    <t>CCC</t>
  </si>
  <si>
    <t>QTWO</t>
  </si>
  <si>
    <t>INTA</t>
  </si>
  <si>
    <t>NCNO</t>
  </si>
  <si>
    <t>ALKT</t>
  </si>
  <si>
    <t>VEEV</t>
  </si>
  <si>
    <t>TYL</t>
  </si>
  <si>
    <t>PCOR</t>
  </si>
  <si>
    <t>VERX</t>
  </si>
  <si>
    <t>BSY</t>
  </si>
  <si>
    <t>NEM GR</t>
  </si>
  <si>
    <t>APPF</t>
  </si>
  <si>
    <t>CLBT</t>
  </si>
  <si>
    <t>ADSK</t>
  </si>
  <si>
    <t>TEAM</t>
  </si>
  <si>
    <t>DSG CN</t>
  </si>
  <si>
    <t/>
  </si>
  <si>
    <t/>
  </si>
  <si>
    <t/>
  </si>
  <si>
    <t/>
  </si>
  <si>
    <t/>
  </si>
  <si>
    <t/>
  </si>
  <si>
    <t/>
  </si>
  <si>
    <t/>
  </si>
  <si>
    <t>Shares date</t>
  </si>
  <si>
    <t>Basic shares</t>
  </si>
  <si>
    <t>Basic WASO</t>
  </si>
  <si>
    <t/>
  </si>
  <si>
    <t/>
  </si>
  <si>
    <t/>
  </si>
  <si>
    <t>Cash &amp; equiv.</t>
  </si>
  <si>
    <t>ST investments</t>
  </si>
  <si>
    <t/>
  </si>
  <si>
    <t>ST debt</t>
  </si>
  <si>
    <t>LT debt</t>
  </si>
  <si>
    <t>NCI</t>
  </si>
  <si>
    <t/>
  </si>
  <si>
    <t/>
  </si>
  <si>
    <t>Revenue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</si>
  <si>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</si>
  <si>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</si>
  <si>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</si>
  <si>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</si>
  <si>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</si>
  <si>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</si>
  <si>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</si>
  <si>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</si>
  <si>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</si>
  <si>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</si>
  <si>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</si>
  <si>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</si>
  <si>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</si>
  <si>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</si>
  <si>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</si>
  <si>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</si>
  <si>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</si>
  <si>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</si>
  <si>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</si>
  <si>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</si>
  <si>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</si>
  <si>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</si>
  <si>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</si>
  <si>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</si>
  <si>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</si>
  <si>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</si>
  <si>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</si>
  <si>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</si>
  <si>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</si>
  <si>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</si>
  <si>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FS</t>
  </si>
  <si>
    <t>Other</t>
  </si>
  <si>
    <t/>
  </si>
  <si>
    <t>Vertical</t>
  </si>
  <si>
    <t>FS ref</t>
  </si>
  <si>
    <t/>
  </si>
  <si>
    <t/>
  </si>
  <si>
    <t/>
  </si>
  <si>
    <t>CY26E EBITDA mgn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</si>
  <si>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</si>
  <si>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</si>
  <si>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</si>
  <si>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</si>
  <si>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</si>
  <si>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</si>
  <si>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</si>
  <si>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</si>
  <si>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</si>
  <si>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</si>
  <si>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</si>
  <si>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</si>
  <si>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</si>
  <si>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CY26E EBITDA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</si>
  <si>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</si>
  <si>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</si>
  <si>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</si>
  <si>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</si>
  <si>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</si>
  <si>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</si>
  <si>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</si>
  <si>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</si>
  <si>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</si>
  <si>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</si>
  <si>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</si>
  <si>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EUR/USD (19-Dec-25)</t>
  </si>
  <si>
    <t>USD/CAD (19-Dec-25)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</si>
  <si>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</si>
  <si>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</si>
  <si>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</si>
  <si>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</si>
  <si>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</si>
  <si>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</si>
  <si>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</si>
  <si>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</si>
  <si>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</si>
  <si>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</si>
  <si>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</si>
  <si>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</si>
  <si>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</si>
  <si>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</si>
  <si>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</si>
  <si>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</si>
  <si>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</si>
  <si>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</si>
  <si>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</si>
  <si>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</si>
  <si>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</si>
  <si>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</si>
  <si>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Class A shares</t>
  </si>
  <si>
    <t>Class B shares</t>
  </si>
  <si>
    <t>RSUs</t>
  </si>
  <si>
    <t>PSUs</t>
  </si>
  <si>
    <t/>
  </si>
  <si>
    <t>Options – wtd. avg. strike ($)</t>
  </si>
  <si>
    <t/>
  </si>
  <si>
    <t/>
  </si>
  <si>
    <t/>
  </si>
  <si>
    <t/>
  </si>
  <si>
    <t/>
  </si>
  <si>
    <t>Cash &amp; equivalents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</si>
  <si>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</si>
  <si>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</si>
  <si>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</si>
  <si>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</si>
  <si>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</si>
  <si>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</si>
  <si>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</si>
  <si>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</si>
  <si>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</si>
  <si>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</si>
  <si>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</si>
  <si>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</si>
  <si>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Equity value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</si>
  <si>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</si>
  <si>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</si>
  <si>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</si>
  <si>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</si>
  <si>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</si>
  <si>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</si>
  <si>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</si>
  <si>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</si>
  <si>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</si>
  <si>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</si>
  <si>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</si>
  <si>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</si>
  <si>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</si>
  <si>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</si>
  <si>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</si>
  <si>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</si>
  <si>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</si>
  <si>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</si>
  <si>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</si>
  <si>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</si>
  <si>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</si>
  <si>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</si>
  <si>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</si>
  <si>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</si>
  <si>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</si>
  <si>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</si>
  <si>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</si>
  <si>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</si>
  <si>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</si>
  <si>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</si>
  <si>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90-day VWAP</t>
  </si>
  <si>
    <t/>
  </si>
  <si>
    <t/>
  </si>
  <si>
    <t/>
  </si>
  <si>
    <t/>
  </si>
  <si>
    <t/>
  </si>
  <si>
    <t/>
  </si>
  <si>
    <t/>
  </si>
  <si>
    <t>EBITDA</t>
  </si>
  <si>
    <t>Premium</t>
  </si>
  <si>
    <t/>
  </si>
  <si>
    <t/>
  </si>
  <si>
    <t/>
  </si>
  <si>
    <t/>
  </si>
  <si>
    <t/>
  </si>
  <si>
    <t/>
  </si>
  <si>
    <t/>
  </si>
  <si>
    <t/>
  </si>
  <si>
    <t/>
  </si>
  <si>
    <t/>
  </si>
  <si>
    <t>CWAN – unaffected</t>
  </si>
  <si>
    <t/>
  </si>
  <si>
    <t/>
  </si>
  <si>
    <t>Median</t>
  </si>
  <si>
    <t/>
  </si>
  <si>
    <t/>
  </si>
  <si>
    <t>OTHER SOFTWARE</t>
  </si>
  <si>
    <t>ALL PEERS</t>
  </si>
  <si>
    <t>75th percentile</t>
  </si>
  <si>
    <t>25th percentile</t>
  </si>
  <si>
    <t/>
  </si>
  <si>
    <t/>
  </si>
  <si>
    <t/>
  </si>
  <si>
    <t>CWAN</t>
  </si>
  <si>
    <t/>
  </si>
  <si>
    <t/>
  </si>
  <si>
    <t/>
  </si>
  <si>
    <t>Price (lcl)</t>
  </si>
  <si>
    <t>FX</t>
  </si>
  <si>
    <t>Price ($)</t>
  </si>
  <si>
    <t>FD shares (m)</t>
  </si>
  <si>
    <t/>
  </si>
  <si>
    <t/>
  </si>
  <si>
    <t/>
  </si>
  <si>
    <t/>
  </si>
  <si>
    <t>EV</t>
  </si>
  <si>
    <t>Fin. FX</t>
  </si>
  <si>
    <t>CY26E</t>
  </si>
  <si>
    <t>EV / Revenue</t>
  </si>
  <si>
    <t>EV / EBITDA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</si>
  <si>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</si>
  <si>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</si>
  <si>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</si>
  <si>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</si>
  <si>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</si>
  <si>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</si>
  <si>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</si>
  <si>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</si>
  <si>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</si>
  <si>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</si>
  <si>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</si>
  <si>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Announced</t>
  </si>
  <si>
    <t/>
  </si>
  <si>
    <t/>
  </si>
  <si>
    <t/>
  </si>
  <si>
    <t/>
  </si>
  <si>
    <t/>
  </si>
  <si>
    <t/>
  </si>
  <si>
    <t/>
  </si>
  <si>
    <t>EV / NTM Revenue (mgmt CY26E)</t>
  </si>
  <si>
    <t/>
  </si>
  <si>
    <t>Target</t>
  </si>
  <si>
    <t>RealPage</t>
  </si>
  <si>
    <t>Proofpoint</t>
  </si>
  <si>
    <t>Inovalon</t>
  </si>
  <si>
    <t>Black Knight</t>
  </si>
  <si>
    <t>Coupa Software</t>
  </si>
  <si>
    <t>Qualtrics</t>
  </si>
  <si>
    <t>Cvent</t>
  </si>
  <si>
    <t>SimCorp</t>
  </si>
  <si>
    <t>PowerSchool</t>
  </si>
  <si>
    <t>Envestnet</t>
  </si>
  <si>
    <t>Instructure</t>
  </si>
  <si>
    <t>Smartsheet</t>
  </si>
  <si>
    <t>Enfusion</t>
  </si>
  <si>
    <t>Sapiens</t>
  </si>
  <si>
    <t>Dayforce</t>
  </si>
  <si>
    <t>Acquirer</t>
  </si>
  <si>
    <t>Thoma Bravo</t>
  </si>
  <si>
    <t>Nordic Capital / Insight</t>
  </si>
  <si>
    <t>Intercontinental Exchange</t>
  </si>
  <si>
    <t>Silver Lake / CPP Investments</t>
  </si>
  <si>
    <t>Blackstone</t>
  </si>
  <si>
    <t>Deutsche Börse</t>
  </si>
  <si>
    <t>Bain Capital</t>
  </si>
  <si>
    <t>KKR</t>
  </si>
  <si>
    <t>Vista / Blackstone</t>
  </si>
  <si>
    <t>Clearwater Analytics</t>
  </si>
  <si>
    <t>Advent International</t>
  </si>
  <si>
    <t/>
  </si>
  <si>
    <t/>
  </si>
  <si>
    <t/>
  </si>
  <si>
    <t/>
  </si>
  <si>
    <t/>
  </si>
  <si>
    <t/>
  </si>
  <si>
    <t/>
  </si>
  <si>
    <t>✓</t>
  </si>
  <si>
    <t>–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</si>
  <si>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</si>
  <si>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</si>
  <si>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</si>
  <si>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</si>
  <si>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</si>
  <si>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</si>
  <si>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</si>
  <si>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</si>
  <si>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</si>
  <si>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</si>
  <si>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</si>
  <si>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</si>
  <si>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</si>
  <si>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</si>
  <si>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</si>
  <si>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</si>
  <si>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EV / CY26E Revenue</t>
  </si>
  <si>
    <t>EV / CY26E EBITDA</t>
  </si>
  <si>
    <t/>
  </si>
  <si>
    <t/>
  </si>
  <si>
    <t>EV / NTM Revenue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</si>
  <si>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</si>
  <si>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</si>
  <si>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</si>
  <si>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</si>
  <si>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</si>
  <si>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</si>
  <si>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</si>
  <si>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</si>
  <si>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</si>
  <si>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</si>
  <si>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</si>
  <si>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</si>
  <si>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</si>
  <si>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</si>
  <si>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Metric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</si>
  <si>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</si>
  <si>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</si>
  <si>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</si>
  <si>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</si>
  <si>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</si>
  <si>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</si>
  <si>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</si>
  <si>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</si>
  <si>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</si>
  <si>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</si>
  <si>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</si>
  <si>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</si>
  <si>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</si>
  <si>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</si>
  <si>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</si>
  <si>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</si>
  <si>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</si>
  <si>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</si>
  <si>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</si>
  <si>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</si>
  <si>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</si>
  <si>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</si>
  <si>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</si>
  <si>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</si>
  <si>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</si>
  <si>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</si>
  <si>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</si>
  <si>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</si>
  <si>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</si>
  <si>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</si>
  <si>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</si>
  <si>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</si>
  <si>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</si>
  <si>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</si>
  <si>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</si>
  <si>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</si>
  <si>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</si>
  <si>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</si>
  <si>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</si>
  <si>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</si>
  <si>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</si>
  <si>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</si>
  <si>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</si>
  <si>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</si>
  <si>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</si>
  <si>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</si>
  <si>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</si>
  <si>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</si>
  <si>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</si>
  <si>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</si>
  <si>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</si>
  <si>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</si>
  <si>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</si>
  <si>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</si>
  <si>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</si>
  <si>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</si>
  <si>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</si>
  <si>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</si>
  <si>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</si>
  <si>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</si>
  <si>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</si>
  <si>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CWAN – offer</t>
  </si>
  <si>
    <t>FINANCIAL SERVICES VERTICAL SOFTWARE</t>
  </si>
  <si>
    <t>OTHER VERTICAL SOFTWARE</t>
  </si>
  <si>
    <t>IMPLIED CWAN PRICE PER SHARE (all-peer quartiles × management metrics)</t>
  </si>
  <si>
    <t>EV / CY25E Revenue</t>
  </si>
  <si>
    <t>CWAN AND MARKET INPUTS</t>
  </si>
  <si>
    <t>Unaffected price (10-Nov-25)</t>
  </si>
  <si>
    <t>Offer price</t>
  </si>
  <si>
    <t>52-week high (to unaffected)</t>
  </si>
  <si>
    <t>Options</t>
  </si>
  <si>
    <t>Committed SBC ($M)</t>
  </si>
  <si>
    <t>Debt</t>
  </si>
  <si>
    <t>CY24A revenue</t>
  </si>
  <si>
    <t>Street CY25E revenue</t>
  </si>
  <si>
    <t>Street CY25E EBITDA</t>
  </si>
  <si>
    <t>Street CY26E revenue</t>
  </si>
  <si>
    <t>Street CY26E EBITDA</t>
  </si>
  <si>
    <t>Mgmt CY25E revenue</t>
  </si>
  <si>
    <t>Mgmt CY25E EBITDA</t>
  </si>
  <si>
    <t>Mgmt CY26E revenue</t>
  </si>
  <si>
    <t>Mgmt CY26E EBITDA</t>
  </si>
  <si>
    <t>CHART DATA – EV / CY26E REVENUE</t>
  </si>
  <si>
    <t>Share price</t>
  </si>
  <si>
    <t>25th (x)</t>
  </si>
  <si>
    <t>Median (x)</t>
  </si>
  <si>
    <t>75th (x)</t>
  </si>
  <si>
    <t>52-wk high</t>
  </si>
  <si>
    <t>@ 25th</t>
  </si>
  <si>
    <t>% of high</t>
  </si>
  <si>
    <t>@ median</t>
  </si>
  <si>
    <t>Equity value to EV</t>
  </si>
  <si>
    <t>@ 75th</t>
  </si>
  <si>
    <t>Offer vs median</t>
  </si>
  <si>
    <t>Net debt</t>
  </si>
  <si>
    <t/>
  </si>
  <si>
    <t/>
  </si>
  <si>
    <t>CY24A</t>
  </si>
  <si>
    <t>CY25E</t>
  </si>
  <si>
    <t>Growth / margin</t>
  </si>
  <si>
    <t>CY25E gr.</t>
  </si>
  <si>
    <t>CY26E gr.</t>
  </si>
  <si>
    <t>CY26E mgn</t>
  </si>
  <si>
    <t>n.a.</t>
  </si>
  <si>
    <t>Inputs</t>
  </si>
  <si>
    <t>Basic shs</t>
  </si>
  <si>
    <t>Dil. WASO</t>
  </si>
  <si>
    <t>Dil. override</t>
  </si>
  <si>
    <t>OTM conv.</t>
  </si>
  <si>
    <t>Curr. LTD</t>
  </si>
  <si>
    <t>Cash</t>
  </si>
  <si>
    <t>ST inv.</t>
  </si>
  <si>
    <t/>
  </si>
  <si>
    <t/>
  </si>
  <si>
    <t/>
  </si>
  <si>
    <t/>
  </si>
  <si>
    <t/>
  </si>
  <si>
    <t/>
  </si>
  <si>
    <t>FY rev A</t>
  </si>
  <si>
    <t>FY rev B</t>
  </si>
  <si>
    <t>FYE mo.</t>
  </si>
  <si>
    <t/>
  </si>
  <si>
    <t/>
  </si>
  <si>
    <t/>
  </si>
  <si>
    <t/>
  </si>
  <si>
    <t>IMPLIED CWAN PRICE PER SHARE</t>
  </si>
  <si>
    <t>EV / NTM EBITDA (mgmt CY26E)</t>
  </si>
  <si>
    <t>Premium to unaffected</t>
  </si>
  <si>
    <t>CWAN offer – EV / NTM Revenue (mgmt)</t>
  </si>
  <si>
    <t>CWAN offer – premium to unaffected</t>
  </si>
  <si>
    <t>25th</t>
  </si>
  <si>
    <t>EV ($bn)</t>
  </si>
  <si>
    <t>75th</t>
  </si>
  <si>
    <t>Selected</t>
  </si>
  <si>
    <t>EV / NTM EBITDA</t>
  </si>
  <si>
    <t>Premium basis</t>
  </si>
  <si>
    <t>Unaffected close</t>
  </si>
  <si>
    <t>Undisturbed close</t>
  </si>
  <si>
    <t>Not disclosed</t>
  </si>
  <si>
    <t>Close</t>
  </si>
  <si>
    <t>Chart label</t>
  </si>
  <si>
    <t>Clearwater Analytics – Selected Trading Comparables</t>
  </si>
  <si>
    <t>$m, except per share; market data as of 19-Dec-25</t>
  </si>
  <si>
    <t>Financial services vertical software</t>
  </si>
  <si>
    <t>Other vertical software</t>
  </si>
  <si>
    <t>Other software</t>
  </si>
  <si>
    <t>All peers</t>
  </si>
  <si>
    <t>Clearwater – unaffected ($16.69)</t>
  </si>
  <si>
    <t>Clearwater – offer ($24.55)</t>
  </si>
  <si>
    <t/>
  </si>
  <si>
    <t>Price</t>
  </si>
  <si>
    <t>% 52W high</t>
  </si>
  <si>
    <t>CY26E rev. gr.</t>
  </si>
  <si>
    <t>Trading Comparables – priced at 10-Nov-25 (Clearwater unaffected date); same CY26E consensus as 19-Dec-25 pricing</t>
  </si>
  <si>
    <t>$m, except per share; prices and 52-week highs to 10-Nov-25; shares and net debt from latest filing on or before 10-Nov-25</t>
  </si>
  <si>
    <t>Clearwater unaffected vs peer medians</t>
  </si>
  <si>
    <t>Clearwater – unaffected</t>
  </si>
  <si>
    <t>All peers – median</t>
  </si>
  <si>
    <t>Financial services vertical – median</t>
  </si>
  <si>
    <t>Other vertical – median</t>
  </si>
  <si>
    <t>Other software – median</t>
  </si>
  <si>
    <t>Clearwater discount to all-peer median</t>
  </si>
  <si>
    <t>Inputs – 10-Nov-25 pricing (local currency; shares and balance sheet in units)</t>
  </si>
  <si>
    <t/>
  </si>
  <si>
    <t/>
  </si>
  <si>
    <t>FX to USD</t>
  </si>
  <si>
    <t>Change</t>
  </si>
  <si>
    <t>52W high (lcl)</t>
  </si>
  <si>
    <t>52W high date</t>
  </si>
  <si>
    <t>EV / CY26E</t>
  </si>
  <si>
    <t>OTM conv. shs</t>
  </si>
  <si>
    <t>Balance sheet date</t>
  </si>
  <si>
    <t>USD/CAD</t>
  </si>
  <si>
    <t>TRADING COMPARABLES – CWAN (peer sets and consensus as filed with the SC 13E-3; market data 19-Dec-2025)</t>
  </si>
  <si>
    <t>$M except per share; peers at 19-Dec-25 close; CY25E/CY26E peer sets and consensus as filed with the SC 13E-3; EBITDA pre-SBC; whole companies</t>
  </si>
  <si>
    <t>13E-3 (c)(ii)</t>
  </si>
  <si>
    <t>13E-3 (c)(vi)</t>
  </si>
  <si>
    <t>Filed EV</t>
  </si>
  <si>
    <t>vs filed</t>
  </si>
  <si>
    <t>(c)(ii) CY26E Rev</t>
  </si>
  <si>
    <t>(c)(ii) CY26E mgn</t>
  </si>
  <si>
    <t>(c)(vi) FV</t>
  </si>
  <si>
    <t>(c)(vi) FV/Rev</t>
  </si>
  <si>
    <t>(c)(vi) FV/EBITDA</t>
  </si>
  <si>
    <t>CY26E gr. (filed)</t>
  </si>
  <si>
    <t>(c)(ii) TEV ($bn)</t>
  </si>
  <si>
    <t>Source: peer sets and consensus as filed with the SC 13E-3 (exhibits (c)(ii) and (c)(vi)), company filings, market data as of 19-Dec-25; EBITDA pre-SBC; Clearwater unaffected at 10-Nov-25.</t>
  </si>
  <si>
    <t>SC 13E-3 (c)(ii) set – median</t>
  </si>
  <si>
    <t>SC 13E-3 (c)(vi) set – median</t>
  </si>
  <si>
    <t>PRECEDENT TRANSACTIONS – CWAN (as filed with the SC 13E-3: exhibit (c)(ii) TEV / NTM, exhibit (c)(vi) FV / NTM)</t>
  </si>
  <si>
    <t>$bn; deals as filed with the SC 13E-3 (exhibits (c)(ii) and (c)(vi)); multiples as reported in each exhibit; premium to unaffected per announcement releases</t>
  </si>
  <si>
    <t>(c)(ii)</t>
  </si>
  <si>
    <t>(c)(vi)</t>
  </si>
  <si>
    <t>Median as filed with the SC 13E-3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</si>
</sst>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dd-mmm-yy"/>
    <numFmt numFmtId="165" formatCode="#,##0.0,,;(#,##0.0,,);&quot;–&quot;"/>
    <numFmt numFmtId="166" formatCode="#,##0.0"/>
    <numFmt numFmtId="167" formatCode="0.0%"/>
    <numFmt numFmtId="168" formatCode="0.0&quot;x&quot;"/>
    <numFmt numFmtId="169" formatCode="0.0%;(0.0%)"/>
    <numFmt numFmtId="170" formatCode="$#,##0.00"/>
    <numFmt numFmtId="171" formatCode="0.0000"/>
    <numFmt numFmtId="172" formatCode="#,##0.0;(#,##0.0)"/>
    <numFmt numFmtId="173" formatCode="#,##0;(#,##0)"/>
    <numFmt numFmtId="174" formatCode="0.0&quot;x&quot;;(0.0&quot;x&quot;)"/>
    <numFmt numFmtId="175" formatCode="0%;(0%)"/>
    <numFmt numFmtId="176" formatCode="#,##0.0,,"/>
  </numFmts>
  <fonts count="31">
    <font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u val="singleAccounting"/>
      <sz val="10"/>
      <color rgb="FF000000"/>
      <name val="Arial"/>
      <family val="2"/>
    </font>
    <font>
      <sz val="10"/>
      <color rgb="FF008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FF"/>
      <name val="Arial"/>
      <family val="2"/>
    </font>
    <font>
      <i/>
      <sz val="10"/>
      <color rgb="FF000000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b/>
      <sz val="10"/>
      <color rgb="FF008000"/>
      <name val="Arial"/>
      <family val="2"/>
    </font>
    <font>
      <b/>
      <sz val="10"/>
      <color rgb="FF646464"/>
      <name val="Arial"/>
      <family val="2"/>
    </font>
    <font>
      <sz val="10"/>
      <color rgb="FF646464"/>
      <name val="Arial"/>
      <family val="2"/>
    </font>
    <font>
      <b/>
      <i/>
      <sz val="10"/>
      <color rgb="FF646464"/>
      <name val="Arial"/>
      <family val="2"/>
    </font>
    <font>
      <i/>
      <sz val="10"/>
      <color rgb="FF646464"/>
      <name val="Arial"/>
      <family val="2"/>
    </font>
    <font>
      <b/>
      <u val="singleAccounting"/>
      <sz val="10"/>
      <color rgb="FF646464"/>
      <name val="Arial"/>
      <family val="2"/>
    </font>
    <font>
      <b/>
      <u val="singleAccounting"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FF"/>
      <name val="Arial"/>
      <family val="2"/>
    </font>
    <font>
      <sz val="12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9"/>
      <color rgb="FFFFFFFF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rgb="FF646464"/>
      <name val="Arial"/>
      <family val="2"/>
    </font>
    <font>
      <b/>
      <sz val="11"/>
      <color rgb="FF000000"/>
      <name val="Arial"/>
      <family val="2"/>
    </font>
    <font>
      <b/>
      <u val="singleAccounting"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/>
      <right/>
      <top style="thin"/>
      <bottom/>
      <diagonal/>
    </border>
    <border>
      <left/>
      <right/>
      <top/>
      <bottom style="thin"/>
      <diagonal/>
    </border>
  </borders>
  <cellStyleXfs count="1">
    <xf borderId="0" fillId="0" fontId="0" numFmtId="0" applyAlignment="1" applyFont="1" applyFill="1"/>
  </cellStyleXfs>
  <cellXfs count="190">
    <xf xfId="0" borderId="0" fillId="0" fontId="0" numFmtId="0"/>
    <xf xfId="0" borderId="0" fillId="0" fontId="2" numFmtId="0" applyFont="1"/>
    <xf xfId="0" borderId="0" fillId="0" fontId="3" numFmtId="0" applyFont="1"/>
    <xf xfId="0" borderId="0" fillId="0" fontId="2" numFmtId="0" applyAlignment="1" applyFont="1">
      <alignment horizontal="center"/>
    </xf>
    <xf xfId="0" borderId="0" fillId="0" fontId="4" numFmtId="0" applyAlignment="1" applyFont="1">
      <alignment horizontal="center"/>
    </xf>
    <xf xfId="0" borderId="0" fillId="0" fontId="4" numFmtId="0" applyAlignment="1" applyFont="1">
      <alignment horizontal="left"/>
    </xf>
    <xf xfId="0" borderId="0" fillId="0" fontId="1" numFmtId="4" applyFont="1"/>
    <xf xfId="0" borderId="0" fillId="0" fontId="0" numFmtId="0" applyAlignment="1">
      <alignment horizontal="center"/>
    </xf>
    <xf xfId="0" borderId="0" fillId="0" fontId="0" numFmtId="17"/>
    <xf xfId="0" borderId="1" fillId="0" fontId="2" numFmtId="0" applyFont="1"/>
    <xf xfId="0" borderId="0" fillId="0" fontId="4" numFmtId="0" applyAlignment="1" applyFont="1">
      <alignment horizontal="centerContinuous"/>
    </xf>
    <xf xfId="0" borderId="0" fillId="0" fontId="1" numFmtId="166" applyFont="1"/>
    <xf xfId="0" borderId="0" fillId="0" fontId="0" numFmtId="166"/>
    <xf xfId="0" borderId="0" fillId="0" fontId="1" numFmtId="3" applyFont="1"/>
    <xf xfId="0" borderId="0" fillId="0" fontId="1" numFmtId="168" applyFont="1"/>
    <xf xfId="0" borderId="0" fillId="0" fontId="0" numFmtId="168"/>
    <xf xfId="0" borderId="0" fillId="0" fontId="0" numFmtId="9"/>
    <xf xfId="0" borderId="0" fillId="0" fontId="0" numFmtId="169"/>
    <xf xfId="0" borderId="0" fillId="2" fontId="7" numFmtId="0" applyFont="1" applyFill="1"/>
    <xf xfId="0" borderId="0" fillId="2" fontId="7" numFmtId="0" applyAlignment="1" applyFont="1" applyFill="1">
      <alignment horizontal="right"/>
    </xf>
    <xf xfId="0" borderId="0" fillId="0" fontId="1" numFmtId="170" applyFont="1"/>
    <xf xfId="0" borderId="0" fillId="0" fontId="1" numFmtId="171" applyFont="1"/>
    <xf xfId="0" borderId="0" fillId="0" fontId="5" numFmtId="170" applyFont="1"/>
    <xf xfId="0" borderId="0" fillId="0" fontId="0" numFmtId="170"/>
    <xf xfId="0" borderId="0" fillId="0" fontId="0" numFmtId="173"/>
    <xf xfId="0" borderId="0" fillId="0" fontId="2" numFmtId="173" applyFont="1"/>
    <xf xfId="0" borderId="1" fillId="0" fontId="2" numFmtId="173" applyFont="1"/>
    <xf xfId="0" borderId="0" fillId="0" fontId="9" numFmtId="0" applyFont="1"/>
    <xf xfId="0" borderId="0" fillId="4" fontId="11" numFmtId="0" applyFont="1" applyFill="1"/>
    <xf xfId="0" borderId="0" fillId="0" fontId="0" numFmtId="4"/>
    <xf xfId="0" borderId="0" fillId="4" fontId="11" numFmtId="4" applyFont="1" applyFill="1"/>
    <xf xfId="0" borderId="0" fillId="4" fontId="11" numFmtId="170" applyFont="1" applyFill="1"/>
    <xf xfId="0" borderId="0" fillId="0" fontId="0" numFmtId="171"/>
    <xf xfId="0" borderId="0" fillId="4" fontId="11" numFmtId="171" applyFont="1" applyFill="1"/>
    <xf xfId="0" borderId="0" fillId="4" fontId="11" numFmtId="166" applyFont="1" applyFill="1"/>
    <xf xfId="0" borderId="0" fillId="0" fontId="5" numFmtId="173" applyFont="1"/>
    <xf xfId="0" borderId="0" fillId="4" fontId="11" numFmtId="173" applyFont="1" applyFill="1"/>
    <xf xfId="0" borderId="0" fillId="2" fontId="7" numFmtId="168" applyFont="1" applyFill="1"/>
    <xf xfId="0" borderId="0" fillId="4" fontId="11" numFmtId="0" applyAlignment="1" applyFont="1" applyFill="1">
      <alignment horizontal="center"/>
    </xf>
    <xf xfId="0" borderId="0" fillId="0" fontId="0" numFmtId="168" applyAlignment="1">
      <alignment horizontal="right"/>
    </xf>
    <xf xfId="0" borderId="0" fillId="4" fontId="11" numFmtId="168" applyAlignment="1" applyFont="1" applyFill="1">
      <alignment horizontal="right"/>
    </xf>
    <xf xfId="0" borderId="0" fillId="0" fontId="2" numFmtId="4" applyFont="1"/>
    <xf xfId="0" borderId="0" fillId="0" fontId="2" numFmtId="171" applyFont="1"/>
    <xf xfId="0" borderId="0" fillId="0" fontId="2" numFmtId="168" applyAlignment="1" applyFont="1">
      <alignment horizontal="right"/>
    </xf>
    <xf xfId="0" borderId="2" fillId="0" fontId="2" numFmtId="0" applyFont="1"/>
    <xf xfId="0" borderId="2" fillId="0" fontId="2" numFmtId="0" applyAlignment="1" applyFont="1">
      <alignment horizontal="center"/>
    </xf>
    <xf xfId="0" borderId="2" fillId="0" fontId="2" numFmtId="4" applyFont="1"/>
    <xf xfId="0" borderId="2" fillId="0" fontId="2" numFmtId="171" applyFont="1"/>
    <xf xfId="0" borderId="2" fillId="0" fontId="2" numFmtId="173" applyFont="1"/>
    <xf xfId="0" borderId="2" fillId="0" fontId="2" numFmtId="168" applyAlignment="1" applyFont="1">
      <alignment horizontal="right"/>
    </xf>
    <xf xfId="0" borderId="0" fillId="0" fontId="2" numFmtId="170" applyFont="1"/>
    <xf xfId="0" borderId="0" fillId="0" fontId="2" numFmtId="166" applyFont="1"/>
    <xf xfId="0" borderId="1" fillId="0" fontId="2" numFmtId="0" applyAlignment="1" applyFont="1">
      <alignment horizontal="center"/>
    </xf>
    <xf xfId="0" borderId="1" fillId="0" fontId="2" numFmtId="4" applyFont="1"/>
    <xf xfId="0" borderId="1" fillId="0" fontId="2" numFmtId="171" applyFont="1"/>
    <xf xfId="0" borderId="1" fillId="0" fontId="2" numFmtId="170" applyFont="1"/>
    <xf xfId="0" borderId="1" fillId="0" fontId="2" numFmtId="166" applyFont="1"/>
    <xf xfId="0" borderId="1" fillId="0" fontId="2" numFmtId="168" applyAlignment="1" applyFont="1">
      <alignment horizontal="right"/>
    </xf>
    <xf xfId="0" borderId="1" fillId="0" fontId="0" numFmtId="0"/>
    <xf xfId="0" borderId="0" fillId="0" fontId="14" numFmtId="0" applyFont="1"/>
    <xf xfId="0" borderId="0" fillId="0" fontId="1" numFmtId="168" applyAlignment="1" applyFont="1">
      <alignment horizontal="right"/>
    </xf>
    <xf xfId="0" borderId="1" fillId="0" fontId="2" numFmtId="168" applyFont="1"/>
    <xf xfId="0" borderId="0" fillId="4" fontId="11" numFmtId="169" applyFont="1" applyFill="1"/>
    <xf xfId="0" borderId="0" fillId="0" fontId="17" numFmtId="0" applyAlignment="1" applyFont="1">
      <alignment horizontal="center"/>
    </xf>
    <xf xfId="0" borderId="0" fillId="0" fontId="0" numFmtId="173" applyAlignment="1">
      <alignment horizontal="right"/>
    </xf>
    <xf xfId="0" borderId="0" fillId="0" fontId="0" numFmtId="169" applyAlignment="1">
      <alignment horizontal="right"/>
    </xf>
    <xf xfId="0" borderId="0" fillId="4" fontId="11" numFmtId="173" applyAlignment="1" applyFont="1" applyFill="1">
      <alignment horizontal="right"/>
    </xf>
    <xf xfId="0" borderId="0" fillId="4" fontId="11" numFmtId="169" applyAlignment="1" applyFont="1" applyFill="1">
      <alignment horizontal="right"/>
    </xf>
    <xf xfId="0" borderId="0" fillId="4" fontId="11" numFmtId="9" applyFont="1" applyFill="1"/>
    <xf xfId="0" borderId="0" fillId="2" fontId="7" numFmtId="9" applyFont="1" applyFill="1"/>
    <xf xfId="0" borderId="0" fillId="2" fontId="7" numFmtId="169" applyFont="1" applyFill="1"/>
    <xf xfId="0" borderId="0" fillId="0" fontId="2" numFmtId="9" applyFont="1"/>
    <xf xfId="0" borderId="0" fillId="0" fontId="8" numFmtId="173" applyFont="1"/>
    <xf xfId="0" borderId="0" fillId="0" fontId="2" numFmtId="169" applyFont="1"/>
    <xf xfId="0" borderId="0" fillId="0" fontId="2" numFmtId="173" applyAlignment="1" applyFont="1">
      <alignment horizontal="right"/>
    </xf>
    <xf xfId="0" borderId="0" fillId="0" fontId="2" numFmtId="169" applyAlignment="1" applyFont="1">
      <alignment horizontal="right"/>
    </xf>
    <xf xfId="0" borderId="2" fillId="0" fontId="2" numFmtId="170" applyFont="1"/>
    <xf xfId="0" borderId="2" fillId="0" fontId="2" numFmtId="9" applyFont="1"/>
    <xf xfId="0" borderId="2" fillId="0" fontId="2" numFmtId="166" applyFont="1"/>
    <xf xfId="0" borderId="2" fillId="0" fontId="8" numFmtId="173" applyFont="1"/>
    <xf xfId="0" borderId="2" fillId="0" fontId="2" numFmtId="169" applyFont="1"/>
    <xf xfId="0" borderId="2" fillId="0" fontId="2" numFmtId="173" applyAlignment="1" applyFont="1">
      <alignment horizontal="right"/>
    </xf>
    <xf xfId="0" borderId="2" fillId="0" fontId="2" numFmtId="169" applyAlignment="1" applyFont="1">
      <alignment horizontal="right"/>
    </xf>
    <xf xfId="0" borderId="1" fillId="0" fontId="2" numFmtId="9" applyFont="1"/>
    <xf xfId="0" borderId="1" fillId="0" fontId="2" numFmtId="169" applyFont="1"/>
    <xf xfId="0" borderId="1" fillId="0" fontId="2" numFmtId="173" applyAlignment="1" applyFont="1">
      <alignment horizontal="right"/>
    </xf>
    <xf xfId="0" borderId="1" fillId="0" fontId="2" numFmtId="169" applyAlignment="1" applyFont="1">
      <alignment horizontal="right"/>
    </xf>
    <xf xfId="0" borderId="1" fillId="0" fontId="0" numFmtId="9"/>
    <xf xfId="0" borderId="1" fillId="0" fontId="0" numFmtId="169"/>
    <xf xfId="0" borderId="1" fillId="0" fontId="0" numFmtId="168"/>
    <xf xfId="0" borderId="0" fillId="0" fontId="18" numFmtId="0" applyAlignment="1" applyFont="1">
      <alignment horizontal="centerContinuous"/>
    </xf>
    <xf xfId="0" borderId="0" fillId="0" fontId="18" numFmtId="0" applyAlignment="1" applyFont="1">
      <alignment horizontal="center"/>
    </xf>
    <xf xfId="0" borderId="0" fillId="0" fontId="19" numFmtId="0" applyFont="1"/>
    <xf xfId="0" borderId="0" fillId="0" fontId="20" numFmtId="165" applyFont="1"/>
    <xf xfId="0" borderId="0" fillId="0" fontId="19" numFmtId="165" applyFont="1"/>
    <xf xfId="0" borderId="0" fillId="0" fontId="20" numFmtId="3" applyFont="1"/>
    <xf xfId="0" borderId="0" fillId="0" fontId="20" numFmtId="167" applyFont="1"/>
    <xf xfId="0" borderId="0" fillId="0" fontId="20" numFmtId="168" applyFont="1"/>
    <xf xfId="0" borderId="0" fillId="3" fontId="20" numFmtId="1" applyFont="1" applyFill="1"/>
    <xf xfId="0" borderId="0" fillId="0" fontId="20" numFmtId="166" applyFont="1"/>
    <xf xfId="0" borderId="0" fillId="0" fontId="19" numFmtId="171" applyFont="1"/>
    <xf xfId="0" borderId="0" fillId="0" fontId="19" numFmtId="3" applyFont="1"/>
    <xf xfId="0" borderId="0" fillId="0" fontId="19" numFmtId="168" applyFont="1"/>
    <xf xfId="0" borderId="0" fillId="0" fontId="19" numFmtId="167" applyFont="1"/>
    <xf xfId="0" borderId="0" fillId="3" fontId="19" numFmtId="1" applyFont="1" applyFill="1"/>
    <xf xfId="0" borderId="0" fillId="0" fontId="19" numFmtId="166" applyFont="1"/>
    <xf xfId="0" borderId="0" fillId="0" fontId="1" numFmtId="9" applyAlignment="1" applyFont="1">
      <alignment horizontal="right"/>
    </xf>
    <xf xfId="0" borderId="0" fillId="0" fontId="0" numFmtId="9" applyAlignment="1">
      <alignment horizontal="right"/>
    </xf>
    <xf xfId="0" borderId="0" fillId="0" fontId="22" numFmtId="0" applyFont="1"/>
    <xf xfId="0" borderId="2" fillId="0" fontId="23" numFmtId="0" applyAlignment="1" applyFont="1">
      <alignment wrapText="1" horizontal="center"/>
    </xf>
    <xf xfId="0" borderId="2" fillId="0" fontId="23" numFmtId="0" applyAlignment="1" applyFont="1">
      <alignment wrapText="1" horizontal="left"/>
    </xf>
    <xf xfId="0" borderId="0" fillId="2" fontId="25" numFmtId="0" applyFont="1" applyFill="1"/>
    <xf xfId="0" borderId="1" fillId="0" fontId="23" numFmtId="0" applyFont="1"/>
    <xf xfId="0" borderId="0" fillId="5" fontId="19" numFmtId="0" applyFont="1" applyFill="1"/>
    <xf xfId="0" borderId="0" fillId="5" fontId="23" numFmtId="0" applyFont="1" applyFill="1"/>
    <xf xfId="0" borderId="0" fillId="2" fontId="25" numFmtId="170" applyAlignment="1" applyFont="1" applyFill="1">
      <alignment horizontal="right"/>
    </xf>
    <xf xfId="0" borderId="0" fillId="2" fontId="25" numFmtId="167" applyAlignment="1" applyFont="1" applyFill="1">
      <alignment horizontal="right"/>
    </xf>
    <xf xfId="0" borderId="0" fillId="2" fontId="25" numFmtId="173" applyAlignment="1" applyFont="1" applyFill="1">
      <alignment horizontal="right"/>
    </xf>
    <xf xfId="0" borderId="0" fillId="2" fontId="25" numFmtId="169" applyAlignment="1" applyFont="1" applyFill="1">
      <alignment horizontal="right"/>
    </xf>
    <xf xfId="0" borderId="0" fillId="2" fontId="25" numFmtId="168" applyAlignment="1" applyFont="1" applyFill="1">
      <alignment horizontal="right"/>
    </xf>
    <xf xfId="0" borderId="0" fillId="0" fontId="19" numFmtId="170" applyAlignment="1" applyFont="1">
      <alignment horizontal="right"/>
    </xf>
    <xf xfId="0" borderId="0" fillId="0" fontId="19" numFmtId="167" applyAlignment="1" applyFont="1">
      <alignment horizontal="right"/>
    </xf>
    <xf xfId="0" borderId="0" fillId="0" fontId="19" numFmtId="173" applyAlignment="1" applyFont="1">
      <alignment horizontal="right"/>
    </xf>
    <xf xfId="0" borderId="0" fillId="0" fontId="19" numFmtId="169" applyAlignment="1" applyFont="1">
      <alignment horizontal="right"/>
    </xf>
    <xf xfId="0" borderId="0" fillId="0" fontId="19" numFmtId="168" applyAlignment="1" applyFont="1">
      <alignment horizontal="right"/>
    </xf>
    <xf xfId="0" borderId="1" fillId="0" fontId="23" numFmtId="170" applyAlignment="1" applyFont="1">
      <alignment horizontal="right"/>
    </xf>
    <xf xfId="0" borderId="1" fillId="0" fontId="23" numFmtId="167" applyAlignment="1" applyFont="1">
      <alignment horizontal="right"/>
    </xf>
    <xf xfId="0" borderId="1" fillId="0" fontId="23" numFmtId="173" applyAlignment="1" applyFont="1">
      <alignment horizontal="right"/>
    </xf>
    <xf xfId="0" borderId="1" fillId="0" fontId="23" numFmtId="169" applyAlignment="1" applyFont="1">
      <alignment horizontal="right"/>
    </xf>
    <xf xfId="0" borderId="1" fillId="0" fontId="23" numFmtId="168" applyAlignment="1" applyFont="1">
      <alignment horizontal="right"/>
    </xf>
    <xf xfId="0" borderId="0" fillId="0" fontId="22" numFmtId="170" applyAlignment="1" applyFont="1">
      <alignment horizontal="right"/>
    </xf>
    <xf xfId="0" borderId="0" fillId="0" fontId="22" numFmtId="167" applyAlignment="1" applyFont="1">
      <alignment horizontal="right"/>
    </xf>
    <xf xfId="0" borderId="0" fillId="0" fontId="22" numFmtId="173" applyAlignment="1" applyFont="1">
      <alignment horizontal="right"/>
    </xf>
    <xf xfId="0" borderId="0" fillId="0" fontId="22" numFmtId="169" applyAlignment="1" applyFont="1">
      <alignment horizontal="right"/>
    </xf>
    <xf xfId="0" borderId="0" fillId="0" fontId="22" numFmtId="168" applyAlignment="1" applyFont="1">
      <alignment horizontal="right"/>
    </xf>
    <xf xfId="0" borderId="0" fillId="5" fontId="19" numFmtId="170" applyAlignment="1" applyFont="1" applyFill="1">
      <alignment horizontal="right"/>
    </xf>
    <xf xfId="0" borderId="0" fillId="5" fontId="19" numFmtId="167" applyAlignment="1" applyFont="1" applyFill="1">
      <alignment horizontal="right"/>
    </xf>
    <xf xfId="0" borderId="0" fillId="5" fontId="19" numFmtId="173" applyAlignment="1" applyFont="1" applyFill="1">
      <alignment horizontal="right"/>
    </xf>
    <xf xfId="0" borderId="0" fillId="5" fontId="19" numFmtId="169" applyAlignment="1" applyFont="1" applyFill="1">
      <alignment horizontal="right"/>
    </xf>
    <xf xfId="0" borderId="0" fillId="5" fontId="19" numFmtId="168" applyAlignment="1" applyFont="1" applyFill="1">
      <alignment horizontal="right"/>
    </xf>
    <xf xfId="0" borderId="0" fillId="5" fontId="23" numFmtId="170" applyAlignment="1" applyFont="1" applyFill="1">
      <alignment horizontal="right"/>
    </xf>
    <xf xfId="0" borderId="0" fillId="5" fontId="23" numFmtId="167" applyAlignment="1" applyFont="1" applyFill="1">
      <alignment horizontal="right"/>
    </xf>
    <xf xfId="0" borderId="0" fillId="5" fontId="23" numFmtId="173" applyAlignment="1" applyFont="1" applyFill="1">
      <alignment horizontal="right"/>
    </xf>
    <xf xfId="0" borderId="0" fillId="5" fontId="23" numFmtId="169" applyAlignment="1" applyFont="1" applyFill="1">
      <alignment horizontal="right"/>
    </xf>
    <xf xfId="0" borderId="0" fillId="5" fontId="23" numFmtId="168" applyAlignment="1" applyFont="1" applyFill="1">
      <alignment horizontal="right"/>
    </xf>
    <xf xfId="0" borderId="0" fillId="0" fontId="28" numFmtId="0" applyFont="1"/>
    <xf xfId="0" borderId="1" fillId="0" fontId="19" numFmtId="0" applyFont="1"/>
    <xf xfId="0" borderId="0" fillId="0" fontId="23" numFmtId="0" applyFont="1"/>
    <xf xfId="0" borderId="0" fillId="0" fontId="29" numFmtId="0" applyFont="1"/>
    <xf xfId="0" borderId="0" fillId="0" fontId="19" numFmtId="164" applyFont="1"/>
    <xf xfId="0" borderId="2" fillId="0" fontId="23" numFmtId="0" applyAlignment="1" applyFont="1">
      <alignment wrapText="1" horizontal="center"/>
    </xf>
    <xf xfId="0" borderId="2" fillId="0" fontId="23" numFmtId="0" applyAlignment="1" applyFont="1">
      <alignment wrapText="1" horizontal="left"/>
    </xf>
    <xf xfId="0" borderId="1" fillId="0" fontId="23" numFmtId="0" applyFont="1"/>
    <xf xfId="0" borderId="0" fillId="0" fontId="19" numFmtId="170" applyAlignment="1" applyFont="1">
      <alignment horizontal="right"/>
    </xf>
    <xf xfId="0" borderId="0" fillId="0" fontId="19" numFmtId="167" applyAlignment="1" applyFont="1">
      <alignment horizontal="right"/>
    </xf>
    <xf xfId="0" borderId="0" fillId="0" fontId="19" numFmtId="166" applyAlignment="1" applyFont="1">
      <alignment horizontal="right"/>
    </xf>
    <xf xfId="0" borderId="0" fillId="0" fontId="19" numFmtId="173" applyAlignment="1" applyFont="1">
      <alignment horizontal="right"/>
    </xf>
    <xf xfId="0" borderId="0" fillId="0" fontId="19" numFmtId="168" applyAlignment="1" applyFont="1">
      <alignment horizontal="right"/>
    </xf>
    <xf xfId="0" borderId="1" fillId="0" fontId="23" numFmtId="170" applyAlignment="1" applyFont="1">
      <alignment horizontal="right"/>
    </xf>
    <xf xfId="0" borderId="1" fillId="0" fontId="23" numFmtId="167" applyAlignment="1" applyFont="1">
      <alignment horizontal="right"/>
    </xf>
    <xf xfId="0" borderId="1" fillId="0" fontId="23" numFmtId="166" applyAlignment="1" applyFont="1">
      <alignment horizontal="right"/>
    </xf>
    <xf xfId="0" borderId="1" fillId="0" fontId="23" numFmtId="173" applyAlignment="1" applyFont="1">
      <alignment horizontal="right"/>
    </xf>
    <xf xfId="0" borderId="1" fillId="0" fontId="23" numFmtId="168" applyAlignment="1" applyFont="1">
      <alignment horizontal="right"/>
    </xf>
    <xf xfId="0" borderId="0" fillId="0" fontId="22" numFmtId="170" applyAlignment="1" applyFont="1">
      <alignment horizontal="right"/>
    </xf>
    <xf xfId="0" borderId="0" fillId="0" fontId="22" numFmtId="167" applyAlignment="1" applyFont="1">
      <alignment horizontal="right"/>
    </xf>
    <xf xfId="0" borderId="0" fillId="0" fontId="22" numFmtId="166" applyAlignment="1" applyFont="1">
      <alignment horizontal="right"/>
    </xf>
    <xf xfId="0" borderId="0" fillId="0" fontId="22" numFmtId="173" applyAlignment="1" applyFont="1">
      <alignment horizontal="right"/>
    </xf>
    <xf xfId="0" borderId="0" fillId="0" fontId="22" numFmtId="168" applyAlignment="1" applyFont="1">
      <alignment horizontal="right"/>
    </xf>
    <xf xfId="0" borderId="0" fillId="2" fontId="25" numFmtId="170" applyAlignment="1" applyFont="1" applyFill="1">
      <alignment horizontal="right"/>
    </xf>
    <xf xfId="0" borderId="0" fillId="2" fontId="25" numFmtId="167" applyAlignment="1" applyFont="1" applyFill="1">
      <alignment horizontal="right"/>
    </xf>
    <xf xfId="0" borderId="0" fillId="2" fontId="25" numFmtId="166" applyAlignment="1" applyFont="1" applyFill="1">
      <alignment horizontal="right"/>
    </xf>
    <xf xfId="0" borderId="0" fillId="2" fontId="25" numFmtId="173" applyAlignment="1" applyFont="1" applyFill="1">
      <alignment horizontal="right"/>
    </xf>
    <xf xfId="0" borderId="0" fillId="2" fontId="25" numFmtId="168" applyAlignment="1" applyFont="1" applyFill="1">
      <alignment horizontal="right"/>
    </xf>
    <xf xfId="0" borderId="0" fillId="5" fontId="19" numFmtId="170" applyAlignment="1" applyFont="1" applyFill="1">
      <alignment horizontal="right"/>
    </xf>
    <xf xfId="0" borderId="0" fillId="5" fontId="19" numFmtId="167" applyAlignment="1" applyFont="1" applyFill="1">
      <alignment horizontal="right"/>
    </xf>
    <xf xfId="0" borderId="0" fillId="5" fontId="19" numFmtId="166" applyAlignment="1" applyFont="1" applyFill="1">
      <alignment horizontal="right"/>
    </xf>
    <xf xfId="0" borderId="0" fillId="5" fontId="19" numFmtId="173" applyAlignment="1" applyFont="1" applyFill="1">
      <alignment horizontal="right"/>
    </xf>
    <xf xfId="0" borderId="0" fillId="5" fontId="19" numFmtId="168" applyAlignment="1" applyFont="1" applyFill="1">
      <alignment horizontal="right"/>
    </xf>
    <xf xfId="0" borderId="0" fillId="0" fontId="19" numFmtId="0" applyAlignment="1" applyFont="1">
      <alignment horizontal="right"/>
    </xf>
    <xf xfId="0" borderId="0" fillId="2" fontId="24" numFmtId="0" applyAlignment="1" applyFont="1" applyFill="1">
      <alignment horizontal="right"/>
    </xf>
    <xf xfId="0" borderId="2" fillId="0" fontId="23" numFmtId="164" applyAlignment="1" applyFont="1">
      <alignment wrapText="1" horizontal="right"/>
    </xf>
    <xf xfId="0" borderId="0" fillId="0" fontId="19" numFmtId="174" applyAlignment="1" applyFont="1">
      <alignment horizontal="right"/>
    </xf>
    <xf xfId="0" borderId="1" fillId="0" fontId="23" numFmtId="169" applyAlignment="1" applyFont="1">
      <alignment horizontal="right"/>
    </xf>
    <xf xfId="0" borderId="0" fillId="0" fontId="19" numFmtId="171" applyFont="1"/>
    <xf xfId="0" borderId="0" fillId="0" fontId="19" numFmtId="165" applyFont="1"/>
    <xf xfId="0" borderId="0" fillId="0" fontId="20" numFmtId="4" applyFont="1"/>
    <xf xfId="0" borderId="0" fillId="0" fontId="20" numFmtId="176" applyFont="1"/>
    <xf xfId="0" borderId="0" fillId="0" fontId="20" numFmtId="165" applyFont="1"/>
    <xf xfId="0" borderId="0" fillId="0" fontId="20" numFmtId="171" applyFont="1"/>
    <xf xfId="0" borderId="0" fillId="2" fontId="25" numFmtId="0" applyAlignment="1" applyFont="1" applyFill="1">
      <alignment horizontal="centerContinuous"/>
    </xf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charts/_rels/chart1.xml.rels><?xml version="1.0" encoding="UTF-8" standalone="yes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2.xml.rels><?xml version="1.0" encoding="UTF-8" standalone="yes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000" b="1"/>
            </a:pPr>
            <a:r>
              <a:rPr lang="en-US"/>
              <a:t>EV / CY26E Revenue</a:t>
            </a:r>
          </a:p>
        </c:rich>
      </c:tx>
      <c:overlay val="0"/>
    </c:title>
    <c:plotArea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</c:spPr>
          </c:dPt>
          <c:dPt>
            <c:idx val="1"/>
            <c:invertIfNegative val="0"/>
            <c:bubble3D val="0"/>
            <c:spPr>
              <a:solidFill>
                <a:srgbClr val="8EA9DB"/>
              </a:solidFill>
            </c:spPr>
          </c:dPt>
          <c:dPt>
            <c:idx val="2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3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4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5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6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7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8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9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0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1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2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3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4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5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6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7"/>
            <c:invertIfNegative val="0"/>
            <c:bubble3D val="0"/>
            <c:spPr>
              <a:solidFill>
                <a:srgbClr val="A5A5A5"/>
              </a:solidFill>
            </c:spPr>
          </c:dPt>
          <c:dPt>
            <c:idx val="18"/>
            <c:invertIfNegative val="0"/>
            <c:bubble3D val="0"/>
            <c:spPr>
              <a:solidFill>
                <a:srgbClr val="A5A5A5"/>
              </a:solidFill>
            </c:spPr>
          </c:dPt>
          <c:dPt>
            <c:idx val="19"/>
            <c:invertIfNegative val="0"/>
            <c:bubble3D val="0"/>
            <c:spPr>
              <a:solidFill>
                <a:srgbClr val="A5A5A5"/>
              </a:solidFill>
            </c:spPr>
          </c:dPt>
          <c:dLbls>
            <c:numFmt formatCode="0.0&quot;x&quot;"/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'Trading Comps'!$V$83:$V$102</c:f>
              <c:strCache>
                <c:ptCount val="20"/>
                <c:pt idx="0">
                  <c:v>CWAN – offer</c:v>
                </c:pt>
                <c:pt idx="1">
                  <c:v>CWAN – unaffected</c:v>
                </c:pt>
                <c:pt idx="2">
                  <c:v>Guidewire Software</c:v>
                </c:pt>
                <c:pt idx="3">
                  <c:v>Intapp</c:v>
                </c:pt>
                <c:pt idx="4">
                  <c:v>Q2 Holdings</c:v>
                </c:pt>
                <c:pt idx="5">
                  <c:v>CCC Intelligent Solutions</c:v>
                </c:pt>
                <c:pt idx="6">
                  <c:v>nCino</c:v>
                </c:pt>
                <c:pt idx="7">
                  <c:v>Alkami Technology</c:v>
                </c:pt>
                <c:pt idx="8">
                  <c:v>SS&amp;C Technologies</c:v>
                </c:pt>
                <c:pt idx="9">
                  <c:v>Veeva Systems</c:v>
                </c:pt>
                <c:pt idx="10">
                  <c:v>Nemetschek</c:v>
                </c:pt>
                <c:pt idx="11">
                  <c:v>Bentley Systems</c:v>
                </c:pt>
                <c:pt idx="12">
                  <c:v>Procore Technologies</c:v>
                </c:pt>
                <c:pt idx="13">
                  <c:v>Cellebrite</c:v>
                </c:pt>
                <c:pt idx="14">
                  <c:v>Tyler Technologies</c:v>
                </c:pt>
                <c:pt idx="15">
                  <c:v>AppFolio</c:v>
                </c:pt>
                <c:pt idx="16">
                  <c:v>Vertex</c:v>
                </c:pt>
                <c:pt idx="17">
                  <c:v>Descartes Systems</c:v>
                </c:pt>
                <c:pt idx="18">
                  <c:v>Autodesk</c:v>
                </c:pt>
                <c:pt idx="19">
                  <c:v>Atlassian</c:v>
                </c:pt>
              </c:strCache>
            </c:strRef>
          </c:cat>
          <c:val>
            <c:numRef>
              <c:f>'Trading Comps'!$W$83:$W$102</c:f>
              <c:numCache>
                <c:formatCode>0.0"x"</c:formatCode>
                <c:ptCount val="20"/>
                <c:pt idx="0">
                  <c:v>8.905032666071806</c:v>
                </c:pt>
                <c:pt idx="1">
                  <c:v>6.304996847507921</c:v>
                </c:pt>
                <c:pt idx="2">
                  <c:v>11.337392356931288</c:v>
                </c:pt>
                <c:pt idx="3">
                  <c:v>5.73248735952381</c:v>
                </c:pt>
                <c:pt idx="4">
                  <c:v>5.55646913024055</c:v>
                </c:pt>
                <c:pt idx="5">
                  <c:v>5.20947585574913</c:v>
                </c:pt>
                <c:pt idx="6">
                  <c:v>4.866967408575899</c:v>
                </c:pt>
                <c:pt idx="7">
                  <c:v>4.830083945509092</c:v>
                </c:pt>
                <c:pt idx="8">
                  <c:v>4.294037532193539</c:v>
                </c:pt>
                <c:pt idx="9">
                  <c:v>8.785582640039785</c:v>
                </c:pt>
                <c:pt idx="10">
                  <c:v>8.153506742291079</c:v>
                </c:pt>
                <c:pt idx="11">
                  <c:v>8.03366763421903</c:v>
                </c:pt>
                <c:pt idx="12">
                  <c:v>7.394955471896316</c:v>
                </c:pt>
                <c:pt idx="13">
                  <c:v>7.755108409186271</c:v>
                </c:pt>
                <c:pt idx="14">
                  <c:v>7.692952190535784</c:v>
                </c:pt>
                <c:pt idx="15">
                  <c:v>7.401484854576332</c:v>
                </c:pt>
                <c:pt idx="16">
                  <c:v>3.960909611719128</c:v>
                </c:pt>
                <c:pt idx="17">
                  <c:v>9.561369507599679</c:v>
                </c:pt>
                <c:pt idx="18">
                  <c:v>8.216063957282705</c:v>
                </c:pt>
                <c:pt idx="19">
                  <c:v>5.848039269498065</c:v>
                </c:pt>
              </c:numCache>
            </c:numRef>
          </c:val>
        </c:ser>
        <c:gapWidth val="40"/>
        <c:axId val="111111111"/>
        <c:axId val="222222222"/>
      </c:barChart>
      <c:catAx>
        <c:axId val="111111111"/>
        <c:scaling>
          <c:orientation val="maxMin"/>
        </c:scaling>
        <c:delete val="0"/>
        <c:axPos val="b"/>
        <c:txPr>
          <a:bodyPr/>
          <a:lstStyle/>
          <a:p>
            <a:pPr>
              <a:defRPr sz="700"/>
            </a:pPr>
            <a:endParaRPr lang="en-US"/>
          </a:p>
        </c:txPr>
        <c:crossAx val="222222222"/>
        <c:crosses val="autoZero"/>
      </c:catAx>
      <c:valAx>
        <c:axId val="222222222"/>
        <c:scaling>
          <c:orientation val="minMax"/>
          <c:min val="0"/>
        </c:scaling>
        <c:delete val="0"/>
        <c:axPos val="l"/>
        <c:numFmt formatCode="0.0&quot;x&quot;" sourceLinked="0"/>
        <c:tickLblPos val="high"/>
        <c:txPr>
          <a:bodyPr/>
          <a:lstStyle/>
          <a:p>
            <a:pPr>
              <a:defRPr sz="700"/>
            </a:pPr>
            <a:endParaRPr lang="en-US"/>
          </a:p>
        </c:txPr>
        <c:crossAx val="111111111"/>
        <c:crosses val="autoZero"/>
      </c:valAx>
    </c:plotArea>
    <c:plotVisOnly val="0"/>
    <c:dispBlanksAs val="gap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en-US" sz="1100"/>
              <a:t>Precedent transactions – EV / NTM revenue (SC 13E-3 exhibit (c)(ii), else (c)(vi))</a:t>
            </a:r>
          </a:p>
        </c:rich>
      </c:tx>
      <c:overlay val="0"/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</c:spPr>
          <c:invertIfNegative val="0"/>
          <c:dLbls>
            <c:numFmt formatCode="0.0&quot;x&quot;"/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Precedents!$N$8:$N$22</c:f>
              <c:strCache>
                <c:ptCount val="15"/>
                <c:pt idx="0">
                  <c:v>Dayforce (Aug-25)</c:v>
                </c:pt>
                <c:pt idx="1">
                  <c:v>Sapiens (Aug-25)</c:v>
                </c:pt>
                <c:pt idx="2">
                  <c:v>Enfusion (Jan-25)</c:v>
                </c:pt>
                <c:pt idx="3">
                  <c:v>Smartsheet (Sep-24)</c:v>
                </c:pt>
                <c:pt idx="4">
                  <c:v>Instructure (Jul-24)</c:v>
                </c:pt>
                <c:pt idx="5">
                  <c:v>Envestnet (Jul-24)</c:v>
                </c:pt>
                <c:pt idx="6">
                  <c:v>PowerSchool (Jun-24)</c:v>
                </c:pt>
                <c:pt idx="7">
                  <c:v>SimCorp (Apr-23)</c:v>
                </c:pt>
                <c:pt idx="8">
                  <c:v>Cvent (Mar-23)</c:v>
                </c:pt>
                <c:pt idx="9">
                  <c:v>Qualtrics (Mar-23)</c:v>
                </c:pt>
                <c:pt idx="10">
                  <c:v>Coupa Software (Dec-22)</c:v>
                </c:pt>
                <c:pt idx="11">
                  <c:v>Black Knight (May-22)</c:v>
                </c:pt>
                <c:pt idx="12">
                  <c:v>Inovalon (Aug-21)</c:v>
                </c:pt>
                <c:pt idx="13">
                  <c:v>Proofpoint (Apr-21)</c:v>
                </c:pt>
                <c:pt idx="14">
                  <c:v>RealPage (Dec-20)</c:v>
                </c:pt>
              </c:strCache>
            </c:strRef>
          </c:cat>
          <c:val>
            <c:numRef>
              <c:f>Precedents!$J$8:$J$22</c:f>
              <c:numCache>
                <c:formatCode>0.0"x"</c:formatCode>
                <c:ptCount val="15"/>
                <c:pt idx="0">
                  <c:v>5.9</c:v>
                </c:pt>
                <c:pt idx="1">
                  <c:v>3.8</c:v>
                </c:pt>
                <c:pt idx="2">
                  <c:v>6.2</c:v>
                </c:pt>
                <c:pt idx="3">
                  <c:v>6.2</c:v>
                </c:pt>
                <c:pt idx="4">
                  <c:v>6.9</c:v>
                </c:pt>
                <c:pt idx="5">
                  <c:v>3.2</c:v>
                </c:pt>
                <c:pt idx="6">
                  <c:v>7.2</c:v>
                </c:pt>
                <c:pt idx="7">
                  <c:v>6.5</c:v>
                </c:pt>
                <c:pt idx="8">
                  <c:v>6.4</c:v>
                </c:pt>
                <c:pt idx="9">
                  <c:v>6.9</c:v>
                </c:pt>
                <c:pt idx="10">
                  <c:v>8.7</c:v>
                </c:pt>
                <c:pt idx="11">
                  <c:v>9</c:v>
                </c:pt>
                <c:pt idx="12">
                  <c:v>8.9</c:v>
                </c:pt>
                <c:pt idx="13">
                  <c:v>8</c:v>
                </c:pt>
                <c:pt idx="14">
                  <c:v>8.2</c:v>
                </c:pt>
              </c:numCache>
            </c:numRef>
          </c:val>
        </c:ser>
        <c:gapWidth val="50"/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txPr>
          <a:bodyPr/>
          <a:lstStyle/>
          <a:p>
            <a:pPr>
              <a:defRPr sz="800"/>
            </a:pPr>
            <a:endParaRPr lang="en-US"/>
          </a:p>
        </c:txPr>
        <c:crossAx val="222222222"/>
        <c:crosses val="autoZero"/>
      </c:catAx>
      <c:valAx>
        <c:axId val="222222222"/>
        <c:scaling>
          <c:orientation val="minMax"/>
          <c:min val="0"/>
        </c:scaling>
        <c:delete val="0"/>
        <c:axPos val="l"/>
        <c:numFmt formatCode="0.0&quot;x&quot;" sourceLinked="0"/>
        <c:crossAx val="111111111"/>
        <c:crosses val="autoZero"/>
      </c:valAx>
    </c:plotArea>
    <c:dispBlanksAs val="gap"/>
  </c:char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0</xdr:colOff>
      <xdr:row>4</xdr:row>
      <xdr:rowOff>0</xdr:rowOff>
    </xdr:from>
    <xdr:to>
      <xdr:col>20</xdr:col>
      <xdr:colOff>0</xdr:colOff>
      <xdr:row>43</xdr:row>
      <xdr:rowOff>0</xdr:rowOff>
    </xdr:to>
    <xdr:graphicFrame macro="">
      <xdr:nvGraphicFramePr>
        <xdr:cNvPr id="1" name="Chart 1">
          <a:extLst>
            <a:ext uri="{FF2B5EF4-FFF2-40B4-BE49-F238E27FC236}">
              <a16:creationId xmlns:a16="http://schemas.microsoft.com/office/drawing/2014/main" id="{00000000-8845-4C1D-8CA1-000000000005}"/>
            </a:ext>
          </a:extLst>
        </xdr:cNvPr>
        <xdr:cNvGraphicFramePr/>
      </xdr:nvGraphicFramePr>
      <xdr:xfrm>
        <a:off x="0" y="0"/>
        <a:ext cx="4800600" cy="75692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36</xdr:row>
      <xdr:rowOff>0</xdr:rowOff>
    </xdr:from>
    <xdr:to>
      <xdr:col>13</xdr:col>
      <xdr:colOff>0</xdr:colOff>
      <xdr:row>60</xdr:row>
      <xdr:rowOff>0</xdr:rowOff>
    </xdr:to>
    <xdr:graphicFrame macro="">
      <xdr:nvGraphicFramePr>
        <xdr:cNvPr id="1" name="Chart 1">
          <a:extLst>
            <a:ext uri="{FF2B5EF4-FFF2-40B4-BE49-F238E27FC236}">
              <a16:creationId xmlns:a16="http://schemas.microsoft.com/office/drawing/2014/main" id="{00000001-EF2A-4C1D-8CA1-000000000004}"/>
            </a:ext>
          </a:extLst>
        </xdr:cNvPr>
        <xdr:cNvGraphicFramePr/>
      </xdr:nvGraphicFramePr>
      <xdr:xfrm>
        <a:off x="0" y="0"/>
        <a:ext cx="12344400" cy="45720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comments" Target="../comments2.xml"/><Relationship Id="rId3" Type="http://schemas.openxmlformats.org/officeDocument/2006/relationships/vmlDrawing" Target="../drawings/comments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S127"/>
  <sheetViews>
    <sheetView showGridLines="0" tabSelected="1" workbookViewId="0">
      <selection activeCell="A1" sqref="A1"/>
    </sheetView>
  </sheetViews>
  <cols>
    <col min="1" max="1" width="2.21875" customWidth="1"/>
    <col min="2" max="2" width="30" customWidth="1"/>
    <col min="3" max="10" width="9.5" customWidth="1"/>
    <col min="11" max="12" width="2" customWidth="1"/>
    <col min="13" max="20" width="9" customWidth="1"/>
    <col min="21" max="21" width="2.21875" customWidth="1" hidden="1"/>
    <col min="22" max="22" width="30" customWidth="1" hidden="1"/>
    <col min="23" max="23" width="8.7109375" customWidth="1" hidden="1"/>
    <col min="24" max="24" width="11.7109375" customWidth="1" hidden="1"/>
    <col min="25" max="25" width="8" customWidth="1" hidden="1"/>
    <col min="26" max="26" width="11.42578125" customWidth="1" hidden="1"/>
    <col min="27" max="27" width="10.5703125" customWidth="1" hidden="1"/>
    <col min="28" max="28" width="8.5703125" customWidth="1" hidden="1"/>
    <col min="29" max="29" width="11" customWidth="1" hidden="1"/>
    <col min="30" max="30" width="10.140625" customWidth="1" hidden="1"/>
    <col min="31" max="31" width="17.7109375" customWidth="1" hidden="1"/>
    <col min="32" max="32" width="15.42578125" customWidth="1" hidden="1"/>
    <col min="33" max="33" width="8.7109375" customWidth="1" hidden="1"/>
    <col min="34" max="34" width="8" customWidth="1" hidden="1"/>
    <col min="35" max="35" width="8.85546875" customWidth="1" hidden="1"/>
    <col min="36" max="36" width="8.140625" customWidth="1" hidden="1"/>
    <col min="37" max="37" width="9" customWidth="1" hidden="1"/>
    <col min="38" max="39" width="8" customWidth="1" hidden="1"/>
    <col min="40" max="40" width="14.7109375" customWidth="1" hidden="1"/>
    <col min="41" max="41" width="15.7109375" customWidth="1" hidden="1"/>
    <col min="42" max="42" width="10.140625" customWidth="1" hidden="1"/>
    <col min="43" max="43" width="11.7109375" customWidth="1" hidden="1"/>
    <col min="44" max="44" width="13.140625" customWidth="1" hidden="1"/>
    <col min="45" max="45" width="8" customWidth="1" hidden="1"/>
    <col min="46" max="46" width="12.28515625" customWidth="1" hidden="1"/>
    <col min="47" max="47" width="8" customWidth="1" hidden="1"/>
    <col min="48" max="49" width="2" customWidth="1" hidden="1"/>
    <col min="50" max="50" width="9.28515625" customWidth="1" hidden="1"/>
    <col min="51" max="51" width="9.85546875" customWidth="1" hidden="1"/>
    <col min="52" max="52" width="11.7109375" customWidth="1" hidden="1"/>
    <col min="53" max="53" width="11.28515625" customWidth="1" hidden="1"/>
    <col min="54" max="54" width="10.140625" customWidth="1" hidden="1"/>
    <col min="55" max="55" width="9.140625" customWidth="1" hidden="1"/>
    <col min="56" max="60" width="8" customWidth="1" hidden="1"/>
    <col min="61" max="61" width="14.140625" customWidth="1" hidden="1"/>
    <col min="62" max="62" width="14.5703125" customWidth="1" hidden="1"/>
    <col min="63" max="63" width="8" customWidth="1" hidden="1"/>
    <col min="64" max="64" width="11.140625" customWidth="1" hidden="1"/>
    <col min="65" max="65" width="14.42578125" customWidth="1" hidden="1"/>
    <col min="66" max="66" width="15.140625" customWidth="1" hidden="1"/>
    <col min="67" max="68" width="8.28515625" customWidth="1" hidden="1"/>
    <col min="69" max="69" width="8.140625" customWidth="1" hidden="1"/>
    <col min="70" max="70" width="13" customWidth="1" hidden="1"/>
    <col min="71" max="71" width="8" customWidth="1" hidden="1"/>
  </cols>
  <sheetData>
    <row r="2">
      <c r="B2" t="s" s="2">
        <v>490</v>
      </c>
      <c r="C2" s="92"/>
      <c r="D2" s="92"/>
      <c r="E2" s="92"/>
      <c r="F2" s="92"/>
      <c r="G2" s="92"/>
      <c r="H2" s="92"/>
      <c r="I2" s="92"/>
      <c r="J2" s="92"/>
      <c r="V2" t="s" s="2">
        <v>522</v>
      </c>
    </row>
    <row r="3">
      <c r="B3" t="s" s="108">
        <v>491</v>
      </c>
      <c r="C3" s="92"/>
      <c r="D3" s="92"/>
      <c r="E3" s="92"/>
      <c r="F3" s="92"/>
      <c r="G3" s="92"/>
      <c r="H3" s="92"/>
      <c r="I3" s="92"/>
      <c r="J3" s="92"/>
      <c r="V3" t="s" s="27">
        <v>523</v>
      </c>
    </row>
    <row r="4">
      <c r="B4" s="92"/>
      <c r="C4" s="92"/>
      <c r="D4" s="92"/>
      <c r="E4" s="92"/>
      <c r="F4" s="92"/>
      <c r="G4" s="92"/>
      <c r="H4" s="92"/>
      <c r="I4" s="92"/>
      <c r="J4" s="92"/>
    </row>
    <row r="5">
      <c r="B5" s="92"/>
      <c r="C5" s="92"/>
      <c r="D5" s="92"/>
      <c r="E5" s="92"/>
      <c r="F5" s="92"/>
      <c r="G5" s="92"/>
      <c r="H5" t="s" s="90">
        <v>253</v>
      </c>
      <c r="I5" s="90"/>
      <c r="J5" t="s" s="91">
        <v>254</v>
      </c>
      <c r="Z5" t="s" s="10">
        <v>432</v>
      </c>
      <c r="AA5" s="10"/>
      <c r="AB5" s="10"/>
      <c r="AC5" s="10"/>
      <c r="AD5" s="10"/>
      <c r="AE5" t="s" s="10">
        <v>440</v>
      </c>
      <c r="AF5" s="10"/>
      <c r="AG5" s="10"/>
      <c r="AH5" s="10"/>
      <c r="AI5" s="10"/>
      <c r="AJ5" s="10"/>
      <c r="AK5" t="s" s="10">
        <v>61</v>
      </c>
      <c r="AL5" s="10"/>
      <c r="AM5" s="10"/>
      <c r="AN5" s="10"/>
      <c r="AO5" t="s" s="10">
        <v>448</v>
      </c>
      <c r="AP5" s="10"/>
      <c r="AQ5" s="10"/>
      <c r="AR5" t="s" s="10">
        <v>253</v>
      </c>
      <c r="AS5" s="10"/>
      <c r="AT5" t="s" s="10">
        <v>254</v>
      </c>
      <c r="AU5" s="10"/>
      <c r="AX5" t="s" s="90">
        <v>453</v>
      </c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</row>
    <row r="6" ht="26" customHeight="1">
      <c r="B6" t="s" s="110">
        <v>1</v>
      </c>
      <c r="C6" t="s" s="109">
        <v>499</v>
      </c>
      <c r="D6" t="s" s="109">
        <v>500</v>
      </c>
      <c r="E6" t="s" s="109">
        <v>250</v>
      </c>
      <c r="F6" t="s" s="109">
        <v>501</v>
      </c>
      <c r="G6" t="s" s="109">
        <v>100</v>
      </c>
      <c r="H6" t="s" s="109">
        <v>447</v>
      </c>
      <c r="I6" t="s" s="109">
        <v>252</v>
      </c>
      <c r="J6" t="s" s="109">
        <v>252</v>
      </c>
      <c r="V6" t="s" s="5">
        <v>1</v>
      </c>
      <c r="W6" t="s" s="4">
        <v>20</v>
      </c>
      <c r="X6" t="s" s="4">
        <v>524</v>
      </c>
      <c r="Y6" t="s" s="4">
        <v>525</v>
      </c>
      <c r="Z6" t="s" s="4">
        <v>242</v>
      </c>
      <c r="AA6" t="s" s="4">
        <v>243</v>
      </c>
      <c r="AB6" t="s" s="4">
        <v>244</v>
      </c>
      <c r="AC6" t="s" s="4">
        <v>436</v>
      </c>
      <c r="AD6" t="s" s="4">
        <v>438</v>
      </c>
      <c r="AE6" t="s" s="4">
        <v>245</v>
      </c>
      <c r="AF6" t="s" s="4">
        <v>174</v>
      </c>
      <c r="AG6" t="s" s="4">
        <v>443</v>
      </c>
      <c r="AH6" t="s" s="4">
        <v>250</v>
      </c>
      <c r="AI6" t="s" s="4">
        <v>526</v>
      </c>
      <c r="AJ6" t="s" s="4">
        <v>527</v>
      </c>
      <c r="AK6" t="s" s="4">
        <v>446</v>
      </c>
      <c r="AL6" t="s" s="4">
        <v>447</v>
      </c>
      <c r="AM6" t="s" s="4">
        <v>252</v>
      </c>
      <c r="AN6" t="s" s="4">
        <v>114</v>
      </c>
      <c r="AO6" t="s" s="4">
        <v>449</v>
      </c>
      <c r="AP6" t="s" s="4">
        <v>450</v>
      </c>
      <c r="AQ6" t="s" s="4">
        <v>451</v>
      </c>
      <c r="AR6" t="s" s="4">
        <v>447</v>
      </c>
      <c r="AS6" t="s" s="4">
        <v>252</v>
      </c>
      <c r="AT6" t="s" s="4">
        <v>447</v>
      </c>
      <c r="AU6" t="s" s="4">
        <v>252</v>
      </c>
      <c r="AV6" s="4"/>
      <c r="AW6" s="4"/>
      <c r="AX6" t="s" s="91">
        <v>454</v>
      </c>
      <c r="AY6" t="s" s="91">
        <v>455</v>
      </c>
      <c r="AZ6" t="s" s="91">
        <v>49</v>
      </c>
      <c r="BA6" t="s" s="91">
        <v>456</v>
      </c>
      <c r="BB6" t="s" s="91">
        <v>457</v>
      </c>
      <c r="BC6" t="s" s="91">
        <v>458</v>
      </c>
      <c r="BD6" t="s" s="91">
        <v>56</v>
      </c>
      <c r="BE6" t="s" s="91">
        <v>57</v>
      </c>
      <c r="BF6" t="s" s="91">
        <v>58</v>
      </c>
      <c r="BG6" t="s" s="91">
        <v>459</v>
      </c>
      <c r="BH6" t="s" s="91">
        <v>460</v>
      </c>
      <c r="BI6" t="s" s="91">
        <v>528</v>
      </c>
      <c r="BJ6" t="s" s="91">
        <v>529</v>
      </c>
      <c r="BK6" t="s" s="91">
        <v>530</v>
      </c>
      <c r="BL6" t="s" s="91">
        <v>531</v>
      </c>
      <c r="BM6" t="s" s="91">
        <v>532</v>
      </c>
      <c r="BN6" t="s" s="91">
        <v>533</v>
      </c>
      <c r="BO6" t="s" s="91">
        <v>467</v>
      </c>
      <c r="BP6" t="s" s="91">
        <v>468</v>
      </c>
      <c r="BQ6" t="s" s="91">
        <v>469</v>
      </c>
      <c r="BR6" t="s" s="91">
        <v>534</v>
      </c>
      <c r="BS6" t="s" s="91">
        <v>251</v>
      </c>
    </row>
    <row r="7">
      <c r="B7" t="s" s="111">
        <v>492</v>
      </c>
      <c r="C7" s="115"/>
      <c r="D7" s="116"/>
      <c r="E7" s="117"/>
      <c r="F7" s="118"/>
      <c r="G7" s="118"/>
      <c r="H7" s="119"/>
      <c r="I7" s="119"/>
      <c r="J7" s="119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</row>
    <row r="8">
      <c r="B8" t="str" s="92">
        <f>V12</f>
        <v>Guidewire Software</v>
      </c>
      <c r="C8" s="120">
        <f>AB12</f>
        <v>199.92</v>
      </c>
      <c r="D8" s="121">
        <f>AD12</f>
        <v>0.7634030853826179</v>
      </c>
      <c r="E8" s="122">
        <f>AH12</f>
        <v>16994.75114304</v>
      </c>
      <c r="F8" s="123">
        <f>AP12</f>
        <v>0.16999999999999993</v>
      </c>
      <c r="G8" s="123">
        <f>AQ12</f>
        <v>0.3469999999999999</v>
      </c>
      <c r="H8" s="124">
        <f>AR12</f>
        <v>13.264749057609606</v>
      </c>
      <c r="I8" s="124">
        <f>AS12</f>
        <v>11.337392356931288</v>
      </c>
      <c r="J8" s="124">
        <f>AU12</f>
        <v>32.67260045225156</v>
      </c>
      <c r="V8" t="s" s="1">
        <v>225</v>
      </c>
      <c r="W8" t="s" s="3">
        <v>238</v>
      </c>
      <c r="X8" s="3"/>
      <c r="Y8" s="3"/>
      <c r="Z8" s="41"/>
      <c r="AA8" s="42"/>
      <c r="AB8" s="50">
        <f>$X$57</f>
        <v>16.69</v>
      </c>
      <c r="AC8" s="50">
        <f>$X$59</f>
        <v>32.71</v>
      </c>
      <c r="AD8" s="71">
        <f>AB8/AC8</f>
        <v>0.5102415163558545</v>
      </c>
      <c r="AE8" s="51">
        <f>($X$60+$X$61+$X$62+$X$63)/10^6+$X$64/10^6*MAX(0,1-$X$65/AB8)+$X$66/AB8</f>
        <v>310.12774203654885</v>
      </c>
      <c r="AF8" s="25">
        <f>AB8*AE8</f>
        <v>5176.0320145900005</v>
      </c>
      <c r="AG8" s="25">
        <f>$X$67-$X$68-$X$69</f>
        <v>794.8000000000001</v>
      </c>
      <c r="AH8" s="25">
        <f>AF8+AG8</f>
        <v>5970.832014590001</v>
      </c>
      <c r="AI8" s="72">
        <v>5968</v>
      </c>
      <c r="AJ8" s="73">
        <f>AH8/AI8-1</f>
        <v>0.00047453327580448956</v>
      </c>
      <c r="AK8" s="25">
        <f>$X$70</f>
        <v>451.803</v>
      </c>
      <c r="AL8" s="74">
        <f>$X$71</f>
        <v>731</v>
      </c>
      <c r="AM8" s="74">
        <f>$X$73</f>
        <v>947</v>
      </c>
      <c r="AN8" s="74">
        <f>$X$74</f>
        <v>333</v>
      </c>
      <c r="AO8" s="75">
        <f>AL8/AK8-1</f>
        <v>0.6179618107892157</v>
      </c>
      <c r="AP8" s="75">
        <f>AM8/AL8-1</f>
        <v>0.2954856361149112</v>
      </c>
      <c r="AQ8" s="75">
        <f>AN8/AM8</f>
        <v>0.35163674762407604</v>
      </c>
      <c r="AR8" s="43">
        <f>AH8/AL8</f>
        <v>8.168032851696307</v>
      </c>
      <c r="AS8" s="43">
        <f>AH8/AM8</f>
        <v>6.304996847507921</v>
      </c>
      <c r="AT8" s="43">
        <f>AH8/$X$72</f>
        <v>24.17340896595142</v>
      </c>
      <c r="AU8" s="43">
        <f>AH8/AN8</f>
        <v>17.930426470240242</v>
      </c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</row>
    <row r="9">
      <c r="B9" t="str" s="92">
        <f>V13</f>
        <v>Intapp</v>
      </c>
      <c r="C9" s="120">
        <f>AB13</f>
        <v>45.95</v>
      </c>
      <c r="D9" s="121">
        <f>AD13</f>
        <v>0.6201079622132255</v>
      </c>
      <c r="E9" s="122">
        <f>AH13</f>
        <v>3491.08480195</v>
      </c>
      <c r="F9" s="123">
        <f>AP13</f>
        <v>0.1299999999999999</v>
      </c>
      <c r="G9" s="123">
        <f>AQ13</f>
        <v>0.204</v>
      </c>
      <c r="H9" s="124">
        <f>AR13</f>
        <v>6.477710716261903</v>
      </c>
      <c r="I9" s="124">
        <f>AS13</f>
        <v>5.73248735952381</v>
      </c>
      <c r="J9" s="124">
        <f>AU13</f>
        <v>28.100428232959853</v>
      </c>
      <c r="V9" t="s" s="44">
        <v>410</v>
      </c>
      <c r="W9" t="s" s="45">
        <v>238</v>
      </c>
      <c r="X9" s="45"/>
      <c r="Y9" s="45"/>
      <c r="Z9" s="46"/>
      <c r="AA9" s="47"/>
      <c r="AB9" s="76">
        <f>$X$58</f>
        <v>24.55</v>
      </c>
      <c r="AC9" s="76">
        <f>$X$59</f>
        <v>32.71</v>
      </c>
      <c r="AD9" s="77">
        <f>AB9/AC9</f>
        <v>0.7505350045857536</v>
      </c>
      <c r="AE9" s="78">
        <f>($X$60+$X$61+$X$62+$X$63)/10^6+$X$64/10^6*MAX(0,1-$X$65/AB9)+$X$66/AB9</f>
        <v>311.13099530631365</v>
      </c>
      <c r="AF9" s="48">
        <f>AB9*AE9</f>
        <v>7638.26593477</v>
      </c>
      <c r="AG9" s="48">
        <f>$X$67-$X$68-$X$69</f>
        <v>794.8000000000001</v>
      </c>
      <c r="AH9" s="48">
        <f>AF9+AG9</f>
        <v>8433.06593477</v>
      </c>
      <c r="AI9" s="79">
        <v>8433</v>
      </c>
      <c r="AJ9" s="80">
        <f>AH9/AI9-1</f>
        <v>0.000007818661212022349</v>
      </c>
      <c r="AK9" s="48">
        <f>$X$70</f>
        <v>451.803</v>
      </c>
      <c r="AL9" s="81">
        <f>$X$71</f>
        <v>731</v>
      </c>
      <c r="AM9" s="81">
        <f>$X$73</f>
        <v>947</v>
      </c>
      <c r="AN9" s="81">
        <f>$X$74</f>
        <v>333</v>
      </c>
      <c r="AO9" s="82">
        <f>AL9/AK9-1</f>
        <v>0.6179618107892157</v>
      </c>
      <c r="AP9" s="82">
        <f>AM9/AL9-1</f>
        <v>0.2954856361149112</v>
      </c>
      <c r="AQ9" s="82">
        <f>AN9/AM9</f>
        <v>0.35163674762407604</v>
      </c>
      <c r="AR9" s="49">
        <f>AH9/AL9</f>
        <v>11.536341908030096</v>
      </c>
      <c r="AS9" s="49">
        <f>AH9/AM9</f>
        <v>8.905032666071806</v>
      </c>
      <c r="AT9" s="49">
        <f>AH9/$X$72</f>
        <v>34.14196734724696</v>
      </c>
      <c r="AU9" s="49">
        <f>AH9/AN9</f>
        <v>25.324522326636636</v>
      </c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</row>
    <row r="10">
      <c r="B10" t="str" s="92">
        <f>V14</f>
        <v>Q2 Holdings</v>
      </c>
      <c r="C10" s="120">
        <f>AB14</f>
        <v>74.14</v>
      </c>
      <c r="D10" s="121">
        <f>AD14</f>
        <v>0.7015518546555639</v>
      </c>
      <c r="E10" s="122">
        <f>AH14</f>
        <v>4850.7975507</v>
      </c>
      <c r="F10" s="123">
        <f>AP14</f>
        <v>0.10000000000000009</v>
      </c>
      <c r="G10" s="123">
        <f>AQ14</f>
        <v>0.258</v>
      </c>
      <c r="H10" s="124">
        <f>AR14</f>
        <v>6.112116043264605</v>
      </c>
      <c r="I10" s="124">
        <f>AS14</f>
        <v>5.55646913024055</v>
      </c>
      <c r="J10" s="124">
        <f>AU14</f>
        <v>21.536702055195928</v>
      </c>
      <c r="W10" s="7"/>
      <c r="X10" s="7"/>
      <c r="Y10" s="7"/>
      <c r="Z10" s="29"/>
      <c r="AA10" s="32"/>
      <c r="AB10" s="23"/>
      <c r="AC10" s="23"/>
      <c r="AD10" s="16"/>
      <c r="AE10" s="12"/>
      <c r="AF10" s="24"/>
      <c r="AG10" s="24"/>
      <c r="AH10" s="24"/>
      <c r="AI10" s="24"/>
      <c r="AJ10" s="17"/>
      <c r="AK10" s="24"/>
      <c r="AL10" s="64"/>
      <c r="AM10" s="64"/>
      <c r="AN10" s="64"/>
      <c r="AO10" s="65"/>
      <c r="AP10" s="65"/>
      <c r="AQ10" s="65"/>
      <c r="AR10" s="39"/>
      <c r="AS10" s="39"/>
      <c r="AT10" s="39"/>
      <c r="AU10" s="39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</row>
    <row r="11">
      <c r="B11" t="str" s="92">
        <f>V15</f>
        <v>CCC Intelligent Solutions</v>
      </c>
      <c r="C11" s="120">
        <f>AB15</f>
        <v>7.9</v>
      </c>
      <c r="D11" s="121">
        <f>AD15</f>
        <v>0.6556016597510373</v>
      </c>
      <c r="E11" s="122">
        <f>AH15</f>
        <v>5980.4782824</v>
      </c>
      <c r="F11" s="123">
        <f>AP15</f>
        <v>0.09000000000000008</v>
      </c>
      <c r="G11" s="123">
        <f>AQ15</f>
        <v>0.411</v>
      </c>
      <c r="H11" s="124">
        <f>AR15</f>
        <v>5.678328682766551</v>
      </c>
      <c r="I11" s="124">
        <f>AS15</f>
        <v>5.20947585574913</v>
      </c>
      <c r="J11" s="124">
        <f>AU15</f>
        <v>12.675123736615888</v>
      </c>
      <c r="V11" t="s" s="28">
        <v>411</v>
      </c>
      <c r="W11" s="38"/>
      <c r="X11" s="38"/>
      <c r="Y11" s="38"/>
      <c r="Z11" s="30"/>
      <c r="AA11" s="33"/>
      <c r="AB11" s="31"/>
      <c r="AC11" s="31"/>
      <c r="AD11" s="68"/>
      <c r="AE11" s="34"/>
      <c r="AF11" s="36"/>
      <c r="AG11" s="36"/>
      <c r="AH11" s="36"/>
      <c r="AI11" s="36"/>
      <c r="AJ11" s="62"/>
      <c r="AK11" s="36"/>
      <c r="AL11" s="66"/>
      <c r="AM11" s="66"/>
      <c r="AN11" s="66"/>
      <c r="AO11" s="67"/>
      <c r="AP11" s="67"/>
      <c r="AQ11" s="67"/>
      <c r="AR11" s="40"/>
      <c r="AS11" s="40"/>
      <c r="AT11" s="40"/>
      <c r="AU11" s="40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</row>
    <row r="12">
      <c r="B12" t="str" s="92">
        <f>V16</f>
        <v>nCino</v>
      </c>
      <c r="C12" s="120">
        <f>AB16</f>
        <v>25.68</v>
      </c>
      <c r="D12" s="121">
        <f>AD16</f>
        <v>0.7246049661399548</v>
      </c>
      <c r="E12" s="122">
        <f>AH16</f>
        <v>3109.9921740799996</v>
      </c>
      <c r="F12" s="123">
        <f>AP16</f>
        <v>0.08000000000000007</v>
      </c>
      <c r="G12" s="123">
        <f>AQ16</f>
        <v>0.255</v>
      </c>
      <c r="H12" s="124">
        <f>AR16</f>
        <v>5.256324801261972</v>
      </c>
      <c r="I12" s="124">
        <f>AS16</f>
        <v>4.866967408575899</v>
      </c>
      <c r="J12" s="124">
        <f>AU16</f>
        <v>19.086146700297643</v>
      </c>
      <c r="V12" t="s">
        <v>3</v>
      </c>
      <c r="W12" t="s" s="7">
        <v>22</v>
      </c>
      <c r="X12" t="s" s="7">
        <v>92</v>
      </c>
      <c r="Y12" t="s" s="7">
        <v>95</v>
      </c>
      <c r="Z12" s="6">
        <v>199.92</v>
      </c>
      <c r="AA12" s="32">
        <f>1</f>
        <v>1</v>
      </c>
      <c r="AB12" s="23">
        <f>Z12*AA12</f>
        <v>199.92</v>
      </c>
      <c r="AC12" s="20">
        <v>261.88</v>
      </c>
      <c r="AD12" s="16">
        <f>Z12/AC12</f>
        <v>0.7634030853826179</v>
      </c>
      <c r="AE12" s="12">
        <f>(AX12+IF(BA12&lt;&gt;"",BA12,AY12-AZ12)-BB12)/10^6</f>
        <v>86.690712</v>
      </c>
      <c r="AF12" s="24">
        <f>AB12*AE12</f>
        <v>17331.20714304</v>
      </c>
      <c r="AG12" s="24">
        <f>(SUM(BC12:BF12)-BG12-BH12)/10^6*BS12</f>
        <v>-336.456</v>
      </c>
      <c r="AH12" s="24">
        <f>AF12+AG12</f>
        <v>16994.75114304</v>
      </c>
      <c r="AI12" s="24">
        <f>IF(BK12&lt;&gt;"",BK12,BR12*1000)</f>
        <v>16989</v>
      </c>
      <c r="AJ12" s="17">
        <f>AH12/AI12-1</f>
        <v>0.0003385215751368076</v>
      </c>
      <c r="AK12" s="24">
        <f>(BO12*IF(BQ12&gt;=6,IF(BQ12&lt;=7,BQ12/12,1),1)+BP12*IF(BQ12&gt;=6,IF(BQ12&lt;=7,1-BQ12/12,0),0))/10^6*BS12</f>
        <v>1072.9811666666667</v>
      </c>
      <c r="AL12" s="64">
        <f>IF(BN12&lt;&gt;"",AM12/(1+BN12),"n.a.")</f>
        <v>1281.1965811965813</v>
      </c>
      <c r="AM12" s="64">
        <f>IF(BI12&lt;&gt;"",BI12,BK12/BL12)</f>
        <v>1499</v>
      </c>
      <c r="AN12" s="64">
        <f>IF(BI12&lt;&gt;"",BI12*BJ12,BK12/BM12)</f>
        <v>520.1529999999999</v>
      </c>
      <c r="AO12" s="65">
        <f>IF(ISNUMBER(AL12),AL12/AK12-1,"n.a.")</f>
        <v>0.19405318657806325</v>
      </c>
      <c r="AP12" s="65">
        <f>IF(ISNUMBER(AL12),AM12/AL12-1,"n.a.")</f>
        <v>0.16999999999999993</v>
      </c>
      <c r="AQ12" s="65">
        <f>AN12/AM12</f>
        <v>0.3469999999999999</v>
      </c>
      <c r="AR12" s="39">
        <f>IF(ISNUMBER(AL12),AH12/AL12,"n.a.")</f>
        <v>13.264749057609606</v>
      </c>
      <c r="AS12" s="39">
        <f>AH12/AM12</f>
        <v>11.337392356931288</v>
      </c>
      <c r="AT12" t="s" s="39">
        <v>452</v>
      </c>
      <c r="AU12" s="39">
        <f>AH12/AN12</f>
        <v>32.67260045225156</v>
      </c>
      <c r="AX12" s="93">
        <v>85019176</v>
      </c>
      <c r="AY12" s="93">
        <v>86451737</v>
      </c>
      <c r="AZ12" s="93">
        <v>84780201</v>
      </c>
      <c r="BA12" s="94"/>
      <c r="BB12" s="94"/>
      <c r="BC12" s="94"/>
      <c r="BD12" s="94"/>
      <c r="BE12" s="93">
        <v>675443000</v>
      </c>
      <c r="BF12" s="94"/>
      <c r="BG12" s="93">
        <v>492038000</v>
      </c>
      <c r="BH12" s="93">
        <v>519861000</v>
      </c>
      <c r="BI12" s="95">
        <v>1499</v>
      </c>
      <c r="BJ12" s="96">
        <v>0.347</v>
      </c>
      <c r="BK12" s="95">
        <v>16989</v>
      </c>
      <c r="BL12" s="97">
        <v>11.3</v>
      </c>
      <c r="BM12" s="97">
        <v>34.7</v>
      </c>
      <c r="BN12" s="96">
        <v>0.17</v>
      </c>
      <c r="BO12" s="93">
        <v>980497000</v>
      </c>
      <c r="BP12" s="93">
        <v>1202459000</v>
      </c>
      <c r="BQ12" s="98">
        <v>7</v>
      </c>
      <c r="BR12" s="99">
        <v>16.9</v>
      </c>
      <c r="BS12" s="100">
        <f>1</f>
        <v>1</v>
      </c>
    </row>
    <row r="13">
      <c r="B13" t="str" s="92">
        <f>V17</f>
        <v>Alkami Technology</v>
      </c>
      <c r="C13" s="120">
        <f>AB17</f>
        <v>22.73</v>
      </c>
      <c r="D13" s="121">
        <f>AD17</f>
        <v>0.5696741854636592</v>
      </c>
      <c r="E13" s="122">
        <f>AH17</f>
        <v>2656.54617003</v>
      </c>
      <c r="F13" s="123">
        <f>AP17</f>
        <v>0.24</v>
      </c>
      <c r="G13" s="123">
        <f>AQ17</f>
        <v>0.189</v>
      </c>
      <c r="H13" s="124">
        <f>AR17</f>
        <v>5.989304092431273</v>
      </c>
      <c r="I13" s="124">
        <f>AS17</f>
        <v>4.830083945509092</v>
      </c>
      <c r="J13" s="124">
        <f>AU17</f>
        <v>25.55599971168831</v>
      </c>
      <c r="V13" t="s">
        <v>6</v>
      </c>
      <c r="W13" t="s" s="7">
        <v>25</v>
      </c>
      <c r="X13" t="s" s="7">
        <v>92</v>
      </c>
      <c r="Y13" t="s" s="7">
        <v>312</v>
      </c>
      <c r="Z13" s="6">
        <v>45.95</v>
      </c>
      <c r="AA13" s="32">
        <f>1</f>
        <v>1</v>
      </c>
      <c r="AB13" s="23">
        <f>Z13*AA13</f>
        <v>45.95</v>
      </c>
      <c r="AC13" s="20">
        <v>74.1</v>
      </c>
      <c r="AD13" s="16">
        <f>Z13/AC13</f>
        <v>0.6201079622132255</v>
      </c>
      <c r="AE13" s="12">
        <f>(AX13+IF(BA13&lt;&gt;"",BA13,AY13-AZ13)-BB13)/10^6</f>
        <v>81.926481</v>
      </c>
      <c r="AF13" s="24">
        <f>AB13*AE13</f>
        <v>3764.52180195</v>
      </c>
      <c r="AG13" s="24">
        <f>(SUM(BC13:BF13)-BG13-BH13)/10^6*BS13</f>
        <v>-273.437</v>
      </c>
      <c r="AH13" s="24">
        <f>AF13+AG13</f>
        <v>3491.08480195</v>
      </c>
      <c r="AI13" s="24">
        <f>IF(BK13&lt;&gt;"",BK13,BR13*1000)</f>
        <v>3900</v>
      </c>
      <c r="AJ13" s="17">
        <f>AH13/AI13-1</f>
        <v>-0.10485005078205134</v>
      </c>
      <c r="AK13" s="24">
        <f>(BO13*IF(BQ13&gt;=6,IF(BQ13&lt;=7,BQ13/12,1),1)+BP13*IF(BQ13&gt;=6,IF(BQ13&lt;=7,1-BQ13/12,0),0))/10^6*BS13</f>
        <v>467.3215</v>
      </c>
      <c r="AL13" s="64">
        <f>IF(BN13&lt;&gt;"",AM13/(1+BN13),"n.a.")</f>
        <v>538.9380530973452</v>
      </c>
      <c r="AM13" s="64">
        <f>IF(BI13&lt;&gt;"",BI13,BK13/BL13)</f>
        <v>609</v>
      </c>
      <c r="AN13" s="64">
        <f>IF(BI13&lt;&gt;"",BI13*BJ13,BK13/BM13)</f>
        <v>124.23599999999999</v>
      </c>
      <c r="AO13" s="65">
        <f>IF(ISNUMBER(AL13),AL13/AK13-1,"n.a.")</f>
        <v>0.1532490011637495</v>
      </c>
      <c r="AP13" s="65">
        <f>IF(ISNUMBER(AL13),AM13/AL13-1,"n.a.")</f>
        <v>0.1299999999999999</v>
      </c>
      <c r="AQ13" s="65">
        <f>AN13/AM13</f>
        <v>0.204</v>
      </c>
      <c r="AR13" s="39">
        <f>IF(ISNUMBER(AL13),AH13/AL13,"n.a.")</f>
        <v>6.477710716261903</v>
      </c>
      <c r="AS13" s="39">
        <f>AH13/AM13</f>
        <v>5.73248735952381</v>
      </c>
      <c r="AT13" t="s" s="39">
        <v>452</v>
      </c>
      <c r="AU13" s="39">
        <f>AH13/AN13</f>
        <v>28.100428232959853</v>
      </c>
      <c r="AX13" s="93">
        <v>81926481</v>
      </c>
      <c r="AY13" s="93">
        <v>81878000</v>
      </c>
      <c r="AZ13" s="93">
        <v>81878000</v>
      </c>
      <c r="BA13" s="94"/>
      <c r="BB13" s="94"/>
      <c r="BC13" s="94"/>
      <c r="BD13" s="94"/>
      <c r="BE13" s="94"/>
      <c r="BF13" s="94"/>
      <c r="BG13" s="93">
        <v>273437000</v>
      </c>
      <c r="BH13" s="94"/>
      <c r="BI13" s="95">
        <v>609</v>
      </c>
      <c r="BJ13" s="96">
        <v>0.204</v>
      </c>
      <c r="BK13" s="101"/>
      <c r="BL13" s="102"/>
      <c r="BM13" s="102"/>
      <c r="BN13" s="96">
        <v>0.13</v>
      </c>
      <c r="BO13" s="93">
        <v>430523000</v>
      </c>
      <c r="BP13" s="93">
        <v>504120000</v>
      </c>
      <c r="BQ13" s="98">
        <v>6</v>
      </c>
      <c r="BR13" s="99">
        <v>3.9</v>
      </c>
      <c r="BS13" s="100">
        <f>1</f>
        <v>1</v>
      </c>
    </row>
    <row r="14">
      <c r="B14" t="str" s="92">
        <f>V18</f>
        <v>SS&amp;C Technologies</v>
      </c>
      <c r="C14" s="120">
        <f>AB18</f>
        <v>87.75</v>
      </c>
      <c r="D14" s="121">
        <f>AD18</f>
        <v>0.9728381374722838</v>
      </c>
      <c r="E14" s="122">
        <f>AH18</f>
        <v>28443.704613250004</v>
      </c>
      <c r="F14" s="123">
        <f>AP18</f>
        <v>0.05499999999999994</v>
      </c>
      <c r="G14" s="123">
        <f>AQ18</f>
        <v>0.40199999999999997</v>
      </c>
      <c r="H14" s="124">
        <f>AR18</f>
        <v>4.530209596464183</v>
      </c>
      <c r="I14" s="124">
        <f>AS18</f>
        <v>4.294037532193539</v>
      </c>
      <c r="J14" s="124">
        <f>AU18</f>
        <v>10.681685403466515</v>
      </c>
      <c r="V14" t="s">
        <v>5</v>
      </c>
      <c r="W14" t="s" s="7">
        <v>24</v>
      </c>
      <c r="X14" t="s" s="7">
        <v>92</v>
      </c>
      <c r="Y14" t="s" s="7">
        <v>96</v>
      </c>
      <c r="Z14" s="6">
        <v>74.14</v>
      </c>
      <c r="AA14" s="32">
        <f>1</f>
        <v>1</v>
      </c>
      <c r="AB14" s="23">
        <f>Z14*AA14</f>
        <v>74.14</v>
      </c>
      <c r="AC14" s="20">
        <v>105.68</v>
      </c>
      <c r="AD14" s="16">
        <f>Z14/AC14</f>
        <v>0.7015518546555639</v>
      </c>
      <c r="AE14" s="12">
        <f>(AX14+IF(BA14&lt;&gt;"",BA14,AY14-AZ14)-BB14)/10^6</f>
        <v>65.137005</v>
      </c>
      <c r="AF14" s="24">
        <f>AB14*AE14</f>
        <v>4829.2575507</v>
      </c>
      <c r="AG14" s="24">
        <f>(SUM(BC14:BF14)-BG14-BH14)/10^6*BS14</f>
        <v>21.54</v>
      </c>
      <c r="AH14" s="24">
        <f>AF14+AG14</f>
        <v>4850.7975507</v>
      </c>
      <c r="AI14" s="24">
        <f>IF(BK14&lt;&gt;"",BK14,BR14*1000)</f>
        <v>4823</v>
      </c>
      <c r="AJ14" s="17">
        <f>AH14/AI14-1</f>
        <v>0.005763539436035581</v>
      </c>
      <c r="AK14" s="24">
        <f>(BO14*IF(BQ14&gt;=6,IF(BQ14&lt;=7,BQ14/12,1),1)+BP14*IF(BQ14&gt;=6,IF(BQ14&lt;=7,1-BQ14/12,0),0))/10^6*BS14</f>
        <v>696.464</v>
      </c>
      <c r="AL14" s="64">
        <f>IF(BN14&lt;&gt;"",AM14/(1+BN14),"n.a.")</f>
        <v>793.6363636363636</v>
      </c>
      <c r="AM14" s="64">
        <f>IF(BI14&lt;&gt;"",BI14,BK14/BL14)</f>
        <v>873</v>
      </c>
      <c r="AN14" s="64">
        <f>IF(BI14&lt;&gt;"",BI14*BJ14,BK14/BM14)</f>
        <v>225.234</v>
      </c>
      <c r="AO14" s="65">
        <f>IF(ISNUMBER(AL14),AL14/AK14-1,"n.a.")</f>
        <v>0.13952245002808983</v>
      </c>
      <c r="AP14" s="65">
        <f>IF(ISNUMBER(AL14),AM14/AL14-1,"n.a.")</f>
        <v>0.10000000000000009</v>
      </c>
      <c r="AQ14" s="65">
        <f>AN14/AM14</f>
        <v>0.258</v>
      </c>
      <c r="AR14" s="39">
        <f>IF(ISNUMBER(AL14),AH14/AL14,"n.a.")</f>
        <v>6.112116043264605</v>
      </c>
      <c r="AS14" s="39">
        <f>AH14/AM14</f>
        <v>5.55646913024055</v>
      </c>
      <c r="AT14" t="s" s="39">
        <v>452</v>
      </c>
      <c r="AU14" s="39">
        <f>AH14/AN14</f>
        <v>21.536702055195928</v>
      </c>
      <c r="AX14" s="93">
        <v>62530005</v>
      </c>
      <c r="AY14" s="93">
        <v>69858000</v>
      </c>
      <c r="AZ14" s="93">
        <v>62458000</v>
      </c>
      <c r="BA14" s="94"/>
      <c r="BB14" s="93">
        <v>4793000</v>
      </c>
      <c r="BC14" s="93">
        <v>493933000</v>
      </c>
      <c r="BD14" s="94"/>
      <c r="BE14" s="94"/>
      <c r="BF14" s="94"/>
      <c r="BG14" s="93">
        <v>472393000</v>
      </c>
      <c r="BH14" s="94"/>
      <c r="BI14" s="95">
        <v>873</v>
      </c>
      <c r="BJ14" s="96">
        <v>0.258</v>
      </c>
      <c r="BK14" s="95">
        <v>4823</v>
      </c>
      <c r="BL14" s="97">
        <v>5.5</v>
      </c>
      <c r="BM14" s="97">
        <v>21.4</v>
      </c>
      <c r="BN14" s="96">
        <v>0.1</v>
      </c>
      <c r="BO14" s="93">
        <v>696464000</v>
      </c>
      <c r="BP14" s="94"/>
      <c r="BQ14" s="98">
        <v>12</v>
      </c>
      <c r="BR14" s="99">
        <v>4.9</v>
      </c>
      <c r="BS14" s="100">
        <f>1</f>
        <v>1</v>
      </c>
    </row>
    <row r="15">
      <c r="B15" t="s" s="112">
        <v>228</v>
      </c>
      <c r="C15" s="125"/>
      <c r="D15" s="126">
        <f>AD19</f>
        <v>0.7015518546555639</v>
      </c>
      <c r="E15" s="127"/>
      <c r="F15" s="128">
        <f>AP19</f>
        <v>0.10000000000000009</v>
      </c>
      <c r="G15" s="128">
        <f>AQ19</f>
        <v>0.258</v>
      </c>
      <c r="H15" s="129">
        <f>AR19</f>
        <v>5.989304092431273</v>
      </c>
      <c r="I15" s="129">
        <f>AS19</f>
        <v>5.20947585574913</v>
      </c>
      <c r="J15" s="129">
        <f>AU19</f>
        <v>21.536702055195928</v>
      </c>
      <c r="V15" t="s">
        <v>4</v>
      </c>
      <c r="W15" t="s" s="7">
        <v>23</v>
      </c>
      <c r="X15" t="s" s="7">
        <v>92</v>
      </c>
      <c r="Y15" t="s" s="7">
        <v>312</v>
      </c>
      <c r="Z15" s="6">
        <v>7.9</v>
      </c>
      <c r="AA15" s="32">
        <f>1</f>
        <v>1</v>
      </c>
      <c r="AB15" s="23">
        <f>Z15*AA15</f>
        <v>7.9</v>
      </c>
      <c r="AC15" s="20">
        <v>12.05</v>
      </c>
      <c r="AD15" s="16">
        <f>Z15/AC15</f>
        <v>0.6556016597510373</v>
      </c>
      <c r="AE15" s="12">
        <f>(AX15+IF(BA15&lt;&gt;"",BA15,AY15-AZ15)-BB15)/10^6</f>
        <v>642.019656</v>
      </c>
      <c r="AF15" s="24">
        <f>AB15*AE15</f>
        <v>5071.9552824</v>
      </c>
      <c r="AG15" s="24">
        <f>(SUM(BC15:BF15)-BG15-BH15)/10^6*BS15</f>
        <v>908.523</v>
      </c>
      <c r="AH15" s="24">
        <f>AF15+AG15</f>
        <v>5980.4782824</v>
      </c>
      <c r="AI15" s="24">
        <f>IF(BK15&lt;&gt;"",BK15,BR15*1000)</f>
        <v>6300</v>
      </c>
      <c r="AJ15" s="17">
        <f>AH15/AI15-1</f>
        <v>-0.05071773295238091</v>
      </c>
      <c r="AK15" s="24">
        <f>(BO15*IF(BQ15&gt;=6,IF(BQ15&lt;=7,BQ15/12,1),1)+BP15*IF(BQ15&gt;=6,IF(BQ15&lt;=7,1-BQ15/12,0),0))/10^6*BS15</f>
        <v>944.8</v>
      </c>
      <c r="AL15" s="64">
        <f>IF(BN15&lt;&gt;"",AM15/(1+BN15),"n.a.")</f>
        <v>1053.2110091743118</v>
      </c>
      <c r="AM15" s="64">
        <f>IF(BI15&lt;&gt;"",BI15,BK15/BL15)</f>
        <v>1148</v>
      </c>
      <c r="AN15" s="64">
        <f>IF(BI15&lt;&gt;"",BI15*BJ15,BK15/BM15)</f>
        <v>471.828</v>
      </c>
      <c r="AO15" s="65">
        <f>IF(ISNUMBER(AL15),AL15/AK15-1,"n.a.")</f>
        <v>0.1147449292700169</v>
      </c>
      <c r="AP15" s="65">
        <f>IF(ISNUMBER(AL15),AM15/AL15-1,"n.a.")</f>
        <v>0.09000000000000008</v>
      </c>
      <c r="AQ15" s="65">
        <f>AN15/AM15</f>
        <v>0.411</v>
      </c>
      <c r="AR15" s="39">
        <f>IF(ISNUMBER(AL15),AH15/AL15,"n.a.")</f>
        <v>5.678328682766551</v>
      </c>
      <c r="AS15" s="39">
        <f>AH15/AM15</f>
        <v>5.20947585574913</v>
      </c>
      <c r="AT15" t="s" s="39">
        <v>452</v>
      </c>
      <c r="AU15" s="39">
        <f>AH15/AN15</f>
        <v>12.675123736615888</v>
      </c>
      <c r="AX15" s="93">
        <v>642019656</v>
      </c>
      <c r="AY15" s="93">
        <v>631440015</v>
      </c>
      <c r="AZ15" s="93">
        <v>631440015</v>
      </c>
      <c r="BA15" s="94"/>
      <c r="BB15" s="94"/>
      <c r="BC15" s="93">
        <v>10010000</v>
      </c>
      <c r="BD15" s="93">
        <v>24446000</v>
      </c>
      <c r="BE15" s="93">
        <v>971208000</v>
      </c>
      <c r="BF15" s="94"/>
      <c r="BG15" s="93">
        <v>97141000</v>
      </c>
      <c r="BH15" s="94"/>
      <c r="BI15" s="95">
        <v>1148</v>
      </c>
      <c r="BJ15" s="96">
        <v>0.411</v>
      </c>
      <c r="BK15" s="101"/>
      <c r="BL15" s="102"/>
      <c r="BM15" s="102"/>
      <c r="BN15" s="96">
        <v>0.09</v>
      </c>
      <c r="BO15" s="93">
        <v>944800000</v>
      </c>
      <c r="BP15" s="94"/>
      <c r="BQ15" s="98">
        <v>12</v>
      </c>
      <c r="BR15" s="99">
        <v>6.3</v>
      </c>
      <c r="BS15" s="100">
        <f>1</f>
        <v>1</v>
      </c>
    </row>
    <row r="16">
      <c r="B16" t="s" s="108">
        <v>234</v>
      </c>
      <c r="C16" s="130"/>
      <c r="D16" s="131">
        <f>AD20</f>
        <v>0.6378548109821314</v>
      </c>
      <c r="E16" s="132"/>
      <c r="F16" s="133">
        <f>AP20</f>
        <v>0.08500000000000008</v>
      </c>
      <c r="G16" s="133">
        <f>AQ20</f>
        <v>0.22949999999999998</v>
      </c>
      <c r="H16" s="134">
        <f>AR20</f>
        <v>5.4673267420142615</v>
      </c>
      <c r="I16" s="134">
        <f>AS20</f>
        <v>4.848525677042495</v>
      </c>
      <c r="J16" s="134">
        <f>AU20</f>
        <v>15.880635218456765</v>
      </c>
      <c r="V16" t="s">
        <v>7</v>
      </c>
      <c r="W16" t="s" s="7">
        <v>26</v>
      </c>
      <c r="X16" t="s" s="7">
        <v>92</v>
      </c>
      <c r="Y16" t="s" s="7">
        <v>96</v>
      </c>
      <c r="Z16" s="6">
        <v>25.68</v>
      </c>
      <c r="AA16" s="32">
        <f>1</f>
        <v>1</v>
      </c>
      <c r="AB16" s="23">
        <f>Z16*AA16</f>
        <v>25.68</v>
      </c>
      <c r="AC16" s="20">
        <v>35.44</v>
      </c>
      <c r="AD16" s="16">
        <f>Z16/AC16</f>
        <v>0.7246049661399548</v>
      </c>
      <c r="AE16" s="12">
        <f>(AX16+IF(BA16&lt;&gt;"",BA16,AY16-AZ16)-BB16)/10^6</f>
        <v>116.107756</v>
      </c>
      <c r="AF16" s="24">
        <f>AB16*AE16</f>
        <v>2981.64717408</v>
      </c>
      <c r="AG16" s="24">
        <f>(SUM(BC16:BF16)-BG16-BH16)/10^6*BS16</f>
        <v>128.345</v>
      </c>
      <c r="AH16" s="24">
        <f>AF16+AG16</f>
        <v>3109.9921740799996</v>
      </c>
      <c r="AI16" s="24">
        <f>IF(BK16&lt;&gt;"",BK16,BR16*1000)</f>
        <v>3253</v>
      </c>
      <c r="AJ16" s="17">
        <f>AH16/AI16-1</f>
        <v>-0.043961827826621724</v>
      </c>
      <c r="AK16" s="24">
        <f>(BO16*IF(BQ16&gt;=6,IF(BQ16&lt;=7,BQ16/12,1),1)+BP16*IF(BQ16&gt;=6,IF(BQ16&lt;=7,1-BQ16/12,0),0))/10^6*BS16</f>
        <v>540.657</v>
      </c>
      <c r="AL16" s="64">
        <f>IF(BN16&lt;&gt;"",AM16/(1+BN16),"n.a.")</f>
        <v>591.6666666666666</v>
      </c>
      <c r="AM16" s="64">
        <f>IF(BI16&lt;&gt;"",BI16,BK16/BL16)</f>
        <v>639</v>
      </c>
      <c r="AN16" s="64">
        <f>IF(BI16&lt;&gt;"",BI16*BJ16,BK16/BM16)</f>
        <v>162.945</v>
      </c>
      <c r="AO16" s="65">
        <f>IF(ISNUMBER(AL16),AL16/AK16-1,"n.a.")</f>
        <v>0.09434755615236012</v>
      </c>
      <c r="AP16" s="65">
        <f>IF(ISNUMBER(AL16),AM16/AL16-1,"n.a.")</f>
        <v>0.08000000000000007</v>
      </c>
      <c r="AQ16" s="65">
        <f>AN16/AM16</f>
        <v>0.255</v>
      </c>
      <c r="AR16" s="39">
        <f>IF(ISNUMBER(AL16),AH16/AL16,"n.a.")</f>
        <v>5.256324801261972</v>
      </c>
      <c r="AS16" s="39">
        <f>AH16/AM16</f>
        <v>4.866967408575899</v>
      </c>
      <c r="AT16" t="s" s="39">
        <v>452</v>
      </c>
      <c r="AU16" s="39">
        <f>AH16/AN16</f>
        <v>19.086146700297643</v>
      </c>
      <c r="AX16" s="93">
        <v>114684968</v>
      </c>
      <c r="AY16" s="93">
        <v>115830218</v>
      </c>
      <c r="AZ16" s="93">
        <v>114407430</v>
      </c>
      <c r="BA16" s="94"/>
      <c r="BB16" s="94"/>
      <c r="BC16" s="94"/>
      <c r="BD16" s="94"/>
      <c r="BE16" s="93">
        <v>203500000</v>
      </c>
      <c r="BF16" s="93">
        <v>12435000</v>
      </c>
      <c r="BG16" s="93">
        <v>87590000</v>
      </c>
      <c r="BH16" s="94"/>
      <c r="BI16" s="95">
        <v>639</v>
      </c>
      <c r="BJ16" s="96">
        <v>0.255</v>
      </c>
      <c r="BK16" s="95">
        <v>3253</v>
      </c>
      <c r="BL16" s="97">
        <v>5.1</v>
      </c>
      <c r="BM16" s="97">
        <v>20.5</v>
      </c>
      <c r="BN16" s="96">
        <v>0.08</v>
      </c>
      <c r="BO16" s="93">
        <v>540657000</v>
      </c>
      <c r="BP16" s="94"/>
      <c r="BQ16" s="98">
        <v>1</v>
      </c>
      <c r="BR16" s="99">
        <v>3.3</v>
      </c>
      <c r="BS16" s="100">
        <f>1</f>
        <v>1</v>
      </c>
    </row>
    <row r="17">
      <c r="B17" t="s" s="108">
        <v>233</v>
      </c>
      <c r="C17" s="130"/>
      <c r="D17" s="131">
        <f>AD21</f>
        <v>0.7440040257612863</v>
      </c>
      <c r="E17" s="132"/>
      <c r="F17" s="133">
        <f>AP21</f>
        <v>0.1499999999999999</v>
      </c>
      <c r="G17" s="133">
        <f>AQ21</f>
        <v>0.37449999999999994</v>
      </c>
      <c r="H17" s="134">
        <f>AR21</f>
        <v>6.294913379763254</v>
      </c>
      <c r="I17" s="134">
        <f>AS21</f>
        <v>5.64447824488218</v>
      </c>
      <c r="J17" s="134">
        <f>AU21</f>
        <v>26.828213972324082</v>
      </c>
      <c r="V17" t="s">
        <v>8</v>
      </c>
      <c r="W17" t="s" s="7">
        <v>27</v>
      </c>
      <c r="X17" t="s" s="7">
        <v>92</v>
      </c>
      <c r="Y17" t="s" s="7">
        <v>96</v>
      </c>
      <c r="Z17" s="6">
        <v>22.73</v>
      </c>
      <c r="AA17" s="32">
        <f>1</f>
        <v>1</v>
      </c>
      <c r="AB17" s="23">
        <f>Z17*AA17</f>
        <v>22.73</v>
      </c>
      <c r="AC17" s="20">
        <v>39.9</v>
      </c>
      <c r="AD17" s="16">
        <f>Z17/AC17</f>
        <v>0.5696741854636592</v>
      </c>
      <c r="AE17" s="12">
        <f>(AX17+IF(BA17&lt;&gt;"",BA17,AY17-AZ17)-BB17)/10^6</f>
        <v>105.004011</v>
      </c>
      <c r="AF17" s="24">
        <f>AB17*AE17</f>
        <v>2386.7411700300004</v>
      </c>
      <c r="AG17" s="24">
        <f>(SUM(BC17:BF17)-BG17-BH17)/10^6*BS17</f>
        <v>269.805</v>
      </c>
      <c r="AH17" s="24">
        <f>AF17+AG17</f>
        <v>2656.54617003</v>
      </c>
      <c r="AI17" s="24">
        <f>IF(BK17&lt;&gt;"",BK17,BR17*1000)</f>
        <v>2836</v>
      </c>
      <c r="AJ17" s="17">
        <f>AH17/AI17-1</f>
        <v>-0.06327709096262335</v>
      </c>
      <c r="AK17" s="24">
        <f>(BO17*IF(BQ17&gt;=6,IF(BQ17&lt;=7,BQ17/12,1),1)+BP17*IF(BQ17&gt;=6,IF(BQ17&lt;=7,1-BQ17/12,0),0))/10^6*BS17</f>
        <v>333.849</v>
      </c>
      <c r="AL17" s="64">
        <f>IF(BN17&lt;&gt;"",AM17/(1+BN17),"n.a.")</f>
        <v>443.5483870967742</v>
      </c>
      <c r="AM17" s="64">
        <f>IF(BI17&lt;&gt;"",BI17,BK17/BL17)</f>
        <v>550</v>
      </c>
      <c r="AN17" s="64">
        <f>IF(BI17&lt;&gt;"",BI17*BJ17,BK17/BM17)</f>
        <v>103.95</v>
      </c>
      <c r="AO17" s="65">
        <f>IF(ISNUMBER(AL17),AL17/AK17-1,"n.a.")</f>
        <v>0.3285898328189518</v>
      </c>
      <c r="AP17" s="65">
        <f>IF(ISNUMBER(AL17),AM17/AL17-1,"n.a.")</f>
        <v>0.24</v>
      </c>
      <c r="AQ17" s="65">
        <f>AN17/AM17</f>
        <v>0.189</v>
      </c>
      <c r="AR17" s="39">
        <f>IF(ISNUMBER(AL17),AH17/AL17,"n.a.")</f>
        <v>5.989304092431273</v>
      </c>
      <c r="AS17" s="39">
        <f>AH17/AM17</f>
        <v>4.830083945509092</v>
      </c>
      <c r="AT17" t="s" s="39">
        <v>452</v>
      </c>
      <c r="AU17" s="39">
        <f>AH17/AN17</f>
        <v>25.55599971168831</v>
      </c>
      <c r="AX17" s="93">
        <v>105004011</v>
      </c>
      <c r="AY17" s="93">
        <v>104345319</v>
      </c>
      <c r="AZ17" s="93">
        <v>104345319</v>
      </c>
      <c r="BA17" s="94"/>
      <c r="BB17" s="94"/>
      <c r="BC17" s="94"/>
      <c r="BD17" s="94"/>
      <c r="BE17" s="93">
        <v>360717000</v>
      </c>
      <c r="BF17" s="94"/>
      <c r="BG17" s="93">
        <v>57316000</v>
      </c>
      <c r="BH17" s="93">
        <v>33596000</v>
      </c>
      <c r="BI17" s="95">
        <v>550</v>
      </c>
      <c r="BJ17" s="96">
        <v>0.189</v>
      </c>
      <c r="BK17" s="95">
        <v>2836</v>
      </c>
      <c r="BL17" s="97">
        <v>5.1</v>
      </c>
      <c r="BM17" s="97">
        <v>27.3</v>
      </c>
      <c r="BN17" s="96">
        <v>0.24</v>
      </c>
      <c r="BO17" s="93">
        <v>333849000</v>
      </c>
      <c r="BP17" s="94"/>
      <c r="BQ17" s="98">
        <v>12</v>
      </c>
      <c r="BR17" s="99">
        <v>2.8</v>
      </c>
      <c r="BS17" s="100">
        <f>1</f>
        <v>1</v>
      </c>
    </row>
    <row r="18">
      <c r="B18" t="s" s="111">
        <v>493</v>
      </c>
      <c r="C18" s="115"/>
      <c r="D18" s="116"/>
      <c r="E18" s="117"/>
      <c r="F18" s="118"/>
      <c r="G18" s="118"/>
      <c r="H18" s="119"/>
      <c r="I18" s="119"/>
      <c r="J18" s="119"/>
      <c r="V18" t="s">
        <v>2</v>
      </c>
      <c r="W18" t="s" s="7">
        <v>21</v>
      </c>
      <c r="X18" t="s" s="7">
        <v>92</v>
      </c>
      <c r="Y18" t="s" s="7">
        <v>312</v>
      </c>
      <c r="Z18" s="6">
        <v>87.75</v>
      </c>
      <c r="AA18" s="32">
        <f>1</f>
        <v>1</v>
      </c>
      <c r="AB18" s="23">
        <f>Z18*AA18</f>
        <v>87.75</v>
      </c>
      <c r="AC18" s="20">
        <v>90.2</v>
      </c>
      <c r="AD18" s="16">
        <f>Z18/AC18</f>
        <v>0.9728381374722838</v>
      </c>
      <c r="AE18" s="12">
        <f>(AX18+IF(BA18&lt;&gt;"",BA18,AY18-AZ18)-BB18)/10^6</f>
        <v>252.827403</v>
      </c>
      <c r="AF18" s="24">
        <f>AB18*AE18</f>
        <v>22185.60461325</v>
      </c>
      <c r="AG18" s="24">
        <f>(SUM(BC18:BF18)-BG18-BH18)/10^6*BS18</f>
        <v>6258.1</v>
      </c>
      <c r="AH18" s="24">
        <f>AF18+AG18</f>
        <v>28443.704613250004</v>
      </c>
      <c r="AI18" s="24">
        <f>IF(BK18&lt;&gt;"",BK18,BR18*1000)</f>
        <v>29600</v>
      </c>
      <c r="AJ18" s="17">
        <f>AH18/AI18-1</f>
        <v>-0.039064033336148496</v>
      </c>
      <c r="AK18" s="24">
        <f>(BO18*IF(BQ18&gt;=6,IF(BQ18&lt;=7,BQ18/12,1),1)+BP18*IF(BQ18&gt;=6,IF(BQ18&lt;=7,1-BQ18/12,0),0))/10^6*BS18</f>
        <v>5882</v>
      </c>
      <c r="AL18" s="64">
        <f>IF(BN18&lt;&gt;"",AM18/(1+BN18),"n.a.")</f>
        <v>6278.672985781991</v>
      </c>
      <c r="AM18" s="64">
        <f>IF(BI18&lt;&gt;"",BI18,BK18/BL18)</f>
        <v>6624</v>
      </c>
      <c r="AN18" s="64">
        <f>IF(BI18&lt;&gt;"",BI18*BJ18,BK18/BM18)</f>
        <v>2662.848</v>
      </c>
      <c r="AO18" s="65">
        <f>IF(ISNUMBER(AL18),AL18/AK18-1,"n.a.")</f>
        <v>0.06743845389017178</v>
      </c>
      <c r="AP18" s="65">
        <f>IF(ISNUMBER(AL18),AM18/AL18-1,"n.a.")</f>
        <v>0.05499999999999994</v>
      </c>
      <c r="AQ18" s="65">
        <f>AN18/AM18</f>
        <v>0.40199999999999997</v>
      </c>
      <c r="AR18" s="39">
        <f>IF(ISNUMBER(AL18),AH18/AL18,"n.a.")</f>
        <v>4.530209596464183</v>
      </c>
      <c r="AS18" s="39">
        <f>AH18/AM18</f>
        <v>4.294037532193539</v>
      </c>
      <c r="AT18" t="s" s="39">
        <v>452</v>
      </c>
      <c r="AU18" s="39">
        <f>AH18/AN18</f>
        <v>10.681685403466515</v>
      </c>
      <c r="AX18" s="93">
        <v>244027403</v>
      </c>
      <c r="AY18" s="93">
        <v>252600000</v>
      </c>
      <c r="AZ18" s="93">
        <v>243800000</v>
      </c>
      <c r="BA18" s="94"/>
      <c r="BB18" s="94"/>
      <c r="BC18" s="93">
        <v>20000000</v>
      </c>
      <c r="BD18" s="94"/>
      <c r="BE18" s="93">
        <v>6573100000</v>
      </c>
      <c r="BF18" s="93">
        <v>53300000</v>
      </c>
      <c r="BG18" s="93">
        <v>388300000</v>
      </c>
      <c r="BH18" s="94"/>
      <c r="BI18" s="95">
        <v>6624</v>
      </c>
      <c r="BJ18" s="96">
        <v>0.402</v>
      </c>
      <c r="BK18" s="101"/>
      <c r="BL18" s="102"/>
      <c r="BM18" s="102"/>
      <c r="BN18" s="96">
        <v>0.055</v>
      </c>
      <c r="BO18" s="93">
        <v>5882000000</v>
      </c>
      <c r="BP18" s="94"/>
      <c r="BQ18" s="98">
        <v>12</v>
      </c>
      <c r="BR18" s="99">
        <v>29.6</v>
      </c>
      <c r="BS18" s="100">
        <f>1</f>
        <v>1</v>
      </c>
    </row>
    <row r="19">
      <c r="B19" t="str" s="92">
        <f>V24</f>
        <v>Veeva Systems</v>
      </c>
      <c r="C19" s="120">
        <f>AB24</f>
        <v>221.86</v>
      </c>
      <c r="D19" s="121">
        <f>AD24</f>
        <v>0.7245117889099341</v>
      </c>
      <c r="E19" s="122">
        <f>AH24</f>
        <v>30916.465310300002</v>
      </c>
      <c r="F19" s="123">
        <f>AP24</f>
        <v>0.1200000000000001</v>
      </c>
      <c r="G19" s="123">
        <f>AQ24</f>
        <v>0.463</v>
      </c>
      <c r="H19" s="124">
        <f>AR24</f>
        <v>9.83985255684456</v>
      </c>
      <c r="I19" s="124">
        <f>AS24</f>
        <v>8.785582640039785</v>
      </c>
      <c r="J19" s="124">
        <f>AU24</f>
        <v>18.975340475247915</v>
      </c>
      <c r="V19" t="s" s="9">
        <v>228</v>
      </c>
      <c r="W19" s="52"/>
      <c r="X19" s="52"/>
      <c r="Y19" s="52"/>
      <c r="Z19" s="53"/>
      <c r="AA19" s="54"/>
      <c r="AB19" s="55"/>
      <c r="AC19" s="55"/>
      <c r="AD19" s="83">
        <f>MEDIAN(AD12:AD18)</f>
        <v>0.7015518546555639</v>
      </c>
      <c r="AE19" s="56"/>
      <c r="AF19" s="26"/>
      <c r="AG19" s="26"/>
      <c r="AH19" s="26"/>
      <c r="AI19" s="26"/>
      <c r="AJ19" s="84"/>
      <c r="AK19" s="26"/>
      <c r="AL19" s="85"/>
      <c r="AM19" s="85"/>
      <c r="AN19" s="85"/>
      <c r="AO19" s="86">
        <f>MEDIAN(AO12:AO18)</f>
        <v>0.13952245002808983</v>
      </c>
      <c r="AP19" s="86">
        <f>MEDIAN(AP12:AP18)</f>
        <v>0.10000000000000009</v>
      </c>
      <c r="AQ19" s="86">
        <f>MEDIAN(AQ12:AQ18)</f>
        <v>0.258</v>
      </c>
      <c r="AR19" s="57">
        <f>MEDIAN(AR12:AR18)</f>
        <v>5.989304092431273</v>
      </c>
      <c r="AS19" s="57">
        <f>MEDIAN(AS12:AS18)</f>
        <v>5.20947585574913</v>
      </c>
      <c r="AT19" s="57"/>
      <c r="AU19" s="57">
        <f>MEDIAN(AU12:AU18)</f>
        <v>21.536702055195928</v>
      </c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101"/>
      <c r="BJ19" s="103"/>
      <c r="BK19" s="101"/>
      <c r="BL19" s="102"/>
      <c r="BM19" s="102"/>
      <c r="BN19" s="103"/>
      <c r="BO19" s="94"/>
      <c r="BP19" s="94"/>
      <c r="BQ19" s="104"/>
      <c r="BR19" s="105"/>
      <c r="BS19" s="100"/>
    </row>
    <row r="20">
      <c r="B20" t="str" s="92">
        <f>V25</f>
        <v>Nemetschek</v>
      </c>
      <c r="C20" s="120">
        <f>AB25</f>
        <v>109.82576999999999</v>
      </c>
      <c r="D20" s="121">
        <f>AD25</f>
        <v>0.6804647785039942</v>
      </c>
      <c r="E20" s="122">
        <f>AH25</f>
        <v>12889.500963453569</v>
      </c>
      <c r="F20" s="123">
        <f>AP25</f>
        <v>0.1299999999999999</v>
      </c>
      <c r="G20" s="123">
        <f>AQ25</f>
        <v>0.3228346456692913</v>
      </c>
      <c r="H20" s="124">
        <f>AR25</f>
        <v>9.213462618788919</v>
      </c>
      <c r="I20" s="124">
        <f>AS25</f>
        <v>8.153506742291079</v>
      </c>
      <c r="J20" s="124">
        <f>AU25</f>
        <v>25.255984299291878</v>
      </c>
      <c r="V20" t="s">
        <v>234</v>
      </c>
      <c r="W20" s="7"/>
      <c r="X20" s="7"/>
      <c r="Y20" s="7"/>
      <c r="Z20" s="29"/>
      <c r="AA20" s="32"/>
      <c r="AB20" s="23"/>
      <c r="AC20" s="23"/>
      <c r="AD20" s="16">
        <f>_xlfn.QUARTILE.INC(AD12:AD18,1)</f>
        <v>0.6378548109821314</v>
      </c>
      <c r="AE20" s="12"/>
      <c r="AF20" s="24"/>
      <c r="AG20" s="24"/>
      <c r="AH20" s="24"/>
      <c r="AI20" s="24"/>
      <c r="AJ20" s="17"/>
      <c r="AK20" s="24"/>
      <c r="AL20" s="64"/>
      <c r="AM20" s="64"/>
      <c r="AN20" s="64"/>
      <c r="AO20" s="65">
        <f>_xlfn.QUARTILE.INC(AO12:AO18,1)</f>
        <v>0.10454624271118851</v>
      </c>
      <c r="AP20" s="65">
        <f>_xlfn.QUARTILE.INC(AP12:AP18,1)</f>
        <v>0.08500000000000008</v>
      </c>
      <c r="AQ20" s="65">
        <f>_xlfn.QUARTILE.INC(AQ12:AQ18,1)</f>
        <v>0.22949999999999998</v>
      </c>
      <c r="AR20" s="39">
        <f>_xlfn.QUARTILE.INC(AR12:AR18,1)</f>
        <v>5.4673267420142615</v>
      </c>
      <c r="AS20" s="39">
        <f>_xlfn.QUARTILE.INC(AS12:AS18,1)</f>
        <v>4.848525677042495</v>
      </c>
      <c r="AT20" s="39"/>
      <c r="AU20" s="39">
        <f>_xlfn.QUARTILE.INC(AU12:AU18,1)</f>
        <v>15.880635218456765</v>
      </c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101"/>
      <c r="BJ20" s="103"/>
      <c r="BK20" s="101"/>
      <c r="BL20" s="102"/>
      <c r="BM20" s="102"/>
      <c r="BN20" s="103"/>
      <c r="BO20" s="94"/>
      <c r="BP20" s="94"/>
      <c r="BQ20" s="104"/>
      <c r="BR20" s="105"/>
      <c r="BS20" s="100"/>
    </row>
    <row r="21">
      <c r="B21" t="str" s="92">
        <f>V26</f>
        <v>Bentley Systems</v>
      </c>
      <c r="C21" s="120">
        <f>AB26</f>
        <v>39.75</v>
      </c>
      <c r="D21" s="121">
        <f>AD26</f>
        <v>0.676941416893733</v>
      </c>
      <c r="E21" s="122">
        <f>AH26</f>
        <v>13195.0511365</v>
      </c>
      <c r="F21" s="123">
        <f>AP26</f>
        <v>0.1100000000000001</v>
      </c>
      <c r="G21" s="123">
        <f>AQ26</f>
        <v>0.3632286995515695</v>
      </c>
      <c r="H21" s="124">
        <f>AR26</f>
        <v>8.917371073983126</v>
      </c>
      <c r="I21" s="124">
        <f>AS26</f>
        <v>8.03366763421903</v>
      </c>
      <c r="J21" s="124">
        <f>AU26</f>
        <v>22.117381264578324</v>
      </c>
      <c r="V21" t="s">
        <v>233</v>
      </c>
      <c r="W21" s="7"/>
      <c r="X21" s="7"/>
      <c r="Y21" s="7"/>
      <c r="Z21" s="29"/>
      <c r="AA21" s="32"/>
      <c r="AB21" s="23"/>
      <c r="AC21" s="23"/>
      <c r="AD21" s="16">
        <f>_xlfn.QUARTILE.INC(AD12:AD18,3)</f>
        <v>0.7440040257612863</v>
      </c>
      <c r="AE21" s="12"/>
      <c r="AF21" s="24"/>
      <c r="AG21" s="24"/>
      <c r="AH21" s="24"/>
      <c r="AI21" s="24"/>
      <c r="AJ21" s="17"/>
      <c r="AK21" s="24"/>
      <c r="AL21" s="64"/>
      <c r="AM21" s="64"/>
      <c r="AN21" s="64"/>
      <c r="AO21" s="65">
        <f>_xlfn.QUARTILE.INC(AO12:AO18,3)</f>
        <v>0.17365109387090638</v>
      </c>
      <c r="AP21" s="65">
        <f>_xlfn.QUARTILE.INC(AP12:AP18,3)</f>
        <v>0.1499999999999999</v>
      </c>
      <c r="AQ21" s="65">
        <f>_xlfn.QUARTILE.INC(AQ12:AQ18,3)</f>
        <v>0.37449999999999994</v>
      </c>
      <c r="AR21" s="39">
        <f>_xlfn.QUARTILE.INC(AR12:AR18,3)</f>
        <v>6.294913379763254</v>
      </c>
      <c r="AS21" s="39">
        <f>_xlfn.QUARTILE.INC(AS12:AS18,3)</f>
        <v>5.64447824488218</v>
      </c>
      <c r="AT21" s="39"/>
      <c r="AU21" s="39">
        <f>_xlfn.QUARTILE.INC(AU12:AU18,3)</f>
        <v>26.828213972324082</v>
      </c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101"/>
      <c r="BJ21" s="103"/>
      <c r="BK21" s="101"/>
      <c r="BL21" s="102"/>
      <c r="BM21" s="102"/>
      <c r="BN21" s="103"/>
      <c r="BO21" s="94"/>
      <c r="BP21" s="94"/>
      <c r="BQ21" s="104"/>
      <c r="BR21" s="105"/>
      <c r="BS21" s="100"/>
    </row>
    <row r="22">
      <c r="B22" t="str" s="92">
        <f>V27</f>
        <v>Procore Technologies</v>
      </c>
      <c r="C22" s="120">
        <f>AB27</f>
        <v>74.13</v>
      </c>
      <c r="D22" s="121">
        <f>AD27</f>
        <v>0.8392392165742103</v>
      </c>
      <c r="E22" s="122">
        <f>AH27</f>
        <v>10841.0047218</v>
      </c>
      <c r="F22" s="123">
        <f>AP27</f>
        <v>0.1200000000000001</v>
      </c>
      <c r="G22" s="123">
        <f>AQ27</f>
        <v>0.244</v>
      </c>
      <c r="H22" s="124">
        <f>AR27</f>
        <v>8.282350128523875</v>
      </c>
      <c r="I22" s="124">
        <f>AS27</f>
        <v>7.394955471896316</v>
      </c>
      <c r="J22" s="124">
        <f>AU27</f>
        <v>30.307194556952116</v>
      </c>
      <c r="W22" s="7"/>
      <c r="X22" s="7"/>
      <c r="Y22" s="7"/>
      <c r="Z22" s="29"/>
      <c r="AA22" s="32"/>
      <c r="AB22" s="23"/>
      <c r="AC22" s="23"/>
      <c r="AD22" s="16"/>
      <c r="AE22" s="12"/>
      <c r="AF22" s="24"/>
      <c r="AG22" s="24"/>
      <c r="AH22" s="24"/>
      <c r="AI22" s="24"/>
      <c r="AJ22" s="17"/>
      <c r="AK22" s="24"/>
      <c r="AL22" s="64"/>
      <c r="AM22" s="64"/>
      <c r="AN22" s="64"/>
      <c r="AO22" s="65"/>
      <c r="AP22" s="65"/>
      <c r="AQ22" s="65"/>
      <c r="AR22" s="39"/>
      <c r="AS22" s="39"/>
      <c r="AT22" s="39"/>
      <c r="AU22" s="39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101"/>
      <c r="BJ22" s="103"/>
      <c r="BK22" s="101"/>
      <c r="BL22" s="102"/>
      <c r="BM22" s="102"/>
      <c r="BN22" s="103"/>
      <c r="BO22" s="94"/>
      <c r="BP22" s="94"/>
      <c r="BQ22" s="104"/>
      <c r="BR22" s="105"/>
      <c r="BS22" s="100"/>
    </row>
    <row r="23">
      <c r="B23" t="str" s="92">
        <f>V28</f>
        <v>Cellebrite</v>
      </c>
      <c r="C23" s="120">
        <f>AB28</f>
        <v>19.21</v>
      </c>
      <c r="D23" s="121">
        <f>AD28</f>
        <v>0.7388461538461539</v>
      </c>
      <c r="E23" s="122">
        <f>AH28</f>
        <v>4289.85110736</v>
      </c>
      <c r="F23" s="123">
        <f>AP28</f>
        <v>0.16999999999999993</v>
      </c>
      <c r="G23" s="123">
        <f>AQ28</f>
        <v>0.27241379310344827</v>
      </c>
      <c r="H23" s="124">
        <f>AR28</f>
        <v>9.073476838747936</v>
      </c>
      <c r="I23" s="124">
        <f>AS28</f>
        <v>7.755108409186271</v>
      </c>
      <c r="J23" s="124">
        <f>AU28</f>
        <v>28.46811947675973</v>
      </c>
      <c r="V23" t="s" s="28">
        <v>412</v>
      </c>
      <c r="W23" s="38"/>
      <c r="X23" s="38"/>
      <c r="Y23" s="38"/>
      <c r="Z23" s="30"/>
      <c r="AA23" s="33"/>
      <c r="AB23" s="31"/>
      <c r="AC23" s="31"/>
      <c r="AD23" s="68"/>
      <c r="AE23" s="34"/>
      <c r="AF23" s="36"/>
      <c r="AG23" s="36"/>
      <c r="AH23" s="36"/>
      <c r="AI23" s="36"/>
      <c r="AJ23" s="62"/>
      <c r="AK23" s="36"/>
      <c r="AL23" s="66"/>
      <c r="AM23" s="66"/>
      <c r="AN23" s="66"/>
      <c r="AO23" s="67"/>
      <c r="AP23" s="67"/>
      <c r="AQ23" s="67"/>
      <c r="AR23" s="40"/>
      <c r="AS23" s="40"/>
      <c r="AT23" s="40"/>
      <c r="AU23" s="40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101"/>
      <c r="BJ23" s="103"/>
      <c r="BK23" s="101"/>
      <c r="BL23" s="102"/>
      <c r="BM23" s="102"/>
      <c r="BN23" s="103"/>
      <c r="BO23" s="94"/>
      <c r="BP23" s="94"/>
      <c r="BQ23" s="104"/>
      <c r="BR23" s="105"/>
      <c r="BS23" s="100"/>
    </row>
    <row r="24">
      <c r="B24" t="str" s="92">
        <f>V29</f>
        <v>Tyler Technologies</v>
      </c>
      <c r="C24" s="120">
        <f>AB29</f>
        <v>457.9</v>
      </c>
      <c r="D24" s="121">
        <f>AD29</f>
        <v>0.7080124934285802</v>
      </c>
      <c r="E24" s="122">
        <f>AH29</f>
        <v>19670.878751199998</v>
      </c>
      <c r="F24" s="123">
        <f>AP29</f>
        <v>0.10000000000000009</v>
      </c>
      <c r="G24" s="123">
        <f>AQ29</f>
        <v>0.291</v>
      </c>
      <c r="H24" s="124">
        <f>AR29</f>
        <v>8.462247409589361</v>
      </c>
      <c r="I24" s="124">
        <f>AS29</f>
        <v>7.692952190535784</v>
      </c>
      <c r="J24" s="124">
        <f>AU29</f>
        <v>26.43626182314702</v>
      </c>
      <c r="V24" t="s">
        <v>9</v>
      </c>
      <c r="W24" t="s" s="7">
        <v>28</v>
      </c>
      <c r="X24" t="s" s="7">
        <v>93</v>
      </c>
      <c r="Y24" t="s" s="7">
        <v>95</v>
      </c>
      <c r="Z24" s="6">
        <v>221.86</v>
      </c>
      <c r="AA24" s="32">
        <f>1</f>
        <v>1</v>
      </c>
      <c r="AB24" s="23">
        <f>Z24*AA24</f>
        <v>221.86</v>
      </c>
      <c r="AC24" s="6">
        <v>306.22</v>
      </c>
      <c r="AD24" s="16">
        <f>Z24/AC24</f>
        <v>0.7245117889099341</v>
      </c>
      <c r="AE24" s="12">
        <f>(AX24+IF(BA24&lt;&gt;"",BA24,AY24-AZ24)-BB24)/10^6</f>
        <v>169.267855</v>
      </c>
      <c r="AF24" s="24">
        <f>AB24*AE24</f>
        <v>37553.7663103</v>
      </c>
      <c r="AG24" s="24">
        <f>(SUM(BC24:BF24)-BG24-BH24)/10^6*BS24</f>
        <v>-6637.301</v>
      </c>
      <c r="AH24" s="24">
        <f>AF24+AG24</f>
        <v>30916.465310300002</v>
      </c>
      <c r="AI24" s="24">
        <f>IF(BK24&lt;&gt;"",BK24,BR24*1000)</f>
        <v>30889</v>
      </c>
      <c r="AJ24" s="17">
        <f>AH24/AI24-1</f>
        <v>0.0008891615235198103</v>
      </c>
      <c r="AK24" s="24">
        <f>(BO24*IF(BQ24&gt;=6,IF(BQ24&lt;=7,BQ24/12,1),1)+BP24*IF(BQ24&gt;=6,IF(BQ24&lt;=7,1-BQ24/12,0),0))/10^6*BS24</f>
        <v>2746.619</v>
      </c>
      <c r="AL24" s="64">
        <f>IF(BN24&lt;&gt;"",AM24/(1+BN24),"n.a.")</f>
        <v>3141.9642857142853</v>
      </c>
      <c r="AM24" s="64">
        <f>IF(BI24&lt;&gt;"",BI24,BK24/BL24)</f>
        <v>3519</v>
      </c>
      <c r="AN24" s="64">
        <f>IF(BI24&lt;&gt;"",BI24*BJ24,BK24/BM24)</f>
        <v>1629.297</v>
      </c>
      <c r="AO24" s="65">
        <f>IF(ISNUMBER(AL24),AL24/AK24-1,"n.a.")</f>
        <v>0.14393888839853108</v>
      </c>
      <c r="AP24" s="65">
        <f>IF(ISNUMBER(AL24),AM24/AL24-1,"n.a.")</f>
        <v>0.1200000000000001</v>
      </c>
      <c r="AQ24" s="65">
        <f>AN24/AM24</f>
        <v>0.463</v>
      </c>
      <c r="AR24" s="39">
        <f>IF(ISNUMBER(AL24),AH24/AL24,"n.a.")</f>
        <v>9.83985255684456</v>
      </c>
      <c r="AS24" s="39">
        <f>AH24/AM24</f>
        <v>8.785582640039785</v>
      </c>
      <c r="AT24" t="s" s="39">
        <v>452</v>
      </c>
      <c r="AU24" s="39">
        <f>AH24/AN24</f>
        <v>18.975340475247915</v>
      </c>
      <c r="AX24" s="93">
        <v>164381855</v>
      </c>
      <c r="AY24" s="93">
        <v>168935000</v>
      </c>
      <c r="AZ24" s="93">
        <v>164049000</v>
      </c>
      <c r="BA24" s="94"/>
      <c r="BB24" s="94"/>
      <c r="BC24" s="94"/>
      <c r="BD24" s="94"/>
      <c r="BE24" s="94"/>
      <c r="BF24" s="94"/>
      <c r="BG24" s="93">
        <v>1660137000</v>
      </c>
      <c r="BH24" s="93">
        <v>4977164000</v>
      </c>
      <c r="BI24" s="95">
        <v>3519</v>
      </c>
      <c r="BJ24" s="96">
        <v>0.463</v>
      </c>
      <c r="BK24" s="95">
        <v>30889</v>
      </c>
      <c r="BL24" s="97">
        <v>8.8</v>
      </c>
      <c r="BM24" s="97">
        <v>19.3</v>
      </c>
      <c r="BN24" s="96">
        <v>0.12</v>
      </c>
      <c r="BO24" s="93">
        <v>2746619000</v>
      </c>
      <c r="BP24" s="94"/>
      <c r="BQ24" s="98">
        <v>1</v>
      </c>
      <c r="BR24" s="99">
        <v>30.7</v>
      </c>
      <c r="BS24" s="100">
        <f>1</f>
        <v>1</v>
      </c>
    </row>
    <row r="25">
      <c r="B25" t="str" s="92">
        <f>V30</f>
        <v>AppFolio</v>
      </c>
      <c r="C25" s="120">
        <f>AB30</f>
        <v>233.69</v>
      </c>
      <c r="D25" s="121">
        <f>AD30</f>
        <v>0.7274396887159533</v>
      </c>
      <c r="E25" s="122">
        <f>AH30</f>
        <v>8280.7812553</v>
      </c>
      <c r="F25" s="123">
        <f>AP30</f>
        <v>0.17999999999999994</v>
      </c>
      <c r="G25" s="123">
        <f>AQ30</f>
        <v>0.2788104089219331</v>
      </c>
      <c r="H25" s="124">
        <f>AR30</f>
        <v>8.733752128400072</v>
      </c>
      <c r="I25" s="124">
        <f>AS30</f>
        <v>7.401484854576332</v>
      </c>
      <c r="J25" s="124">
        <f>AU30</f>
        <v>26.546659011747114</v>
      </c>
      <c r="V25" t="s">
        <v>14</v>
      </c>
      <c r="W25" t="s" s="7">
        <v>33</v>
      </c>
      <c r="X25" t="s" s="7">
        <v>312</v>
      </c>
      <c r="Y25" t="s" s="7">
        <v>95</v>
      </c>
      <c r="Z25" s="6">
        <v>93.7</v>
      </c>
      <c r="AA25" s="32">
        <f>$X$79</f>
        <v>1.1721</v>
      </c>
      <c r="AB25" s="23">
        <f>Z25*AA25</f>
        <v>109.82576999999999</v>
      </c>
      <c r="AC25" s="6">
        <v>137.7</v>
      </c>
      <c r="AD25" s="16">
        <f>Z25/AC25</f>
        <v>0.6804647785039942</v>
      </c>
      <c r="AE25" s="12">
        <f>(AX25+IF(BA25&lt;&gt;"",BA25,AY25-AZ25)-BB25)/10^6</f>
        <v>115.466141</v>
      </c>
      <c r="AF25" s="24">
        <f>AB25*AE25</f>
        <v>12681.157844253568</v>
      </c>
      <c r="AG25" s="24">
        <f>(SUM(BC25:BF25)-BG25-BH25)/10^6*BS25</f>
        <v>208.3431192</v>
      </c>
      <c r="AH25" s="24">
        <f>AF25+AG25</f>
        <v>12889.500963453569</v>
      </c>
      <c r="AI25" s="24">
        <f>IF(BK25&lt;&gt;"",BK25,BR25*1000)</f>
        <v>12963</v>
      </c>
      <c r="AJ25" s="17">
        <f>AH25/AI25-1</f>
        <v>-0.005669909476697543</v>
      </c>
      <c r="AK25" s="24">
        <f>(BO25*IF(BQ25&gt;=6,IF(BQ25&lt;=7,BQ25/12,1),1)+BP25*IF(BQ25&gt;=6,IF(BQ25&lt;=7,1-BQ25/12,0),0))/10^6*BS25</f>
        <v>1166.9017365</v>
      </c>
      <c r="AL25" s="64">
        <f>IF(BN25&lt;&gt;"",AM25/(1+BN25),"n.a.")</f>
        <v>1398.9855385279518</v>
      </c>
      <c r="AM25" s="64">
        <f>IF(BI25&lt;&gt;"",BI25,BK25/BL25)</f>
        <v>1580.8536585365855</v>
      </c>
      <c r="AN25" s="64">
        <f>IF(BI25&lt;&gt;"",BI25*BJ25,BK25/BM25)</f>
        <v>510.35433070866145</v>
      </c>
      <c r="AO25" s="65">
        <f>IF(ISNUMBER(AL25),AL25/AK25-1,"n.a.")</f>
        <v>0.1988888993550244</v>
      </c>
      <c r="AP25" s="65">
        <f>IF(ISNUMBER(AL25),AM25/AL25-1,"n.a.")</f>
        <v>0.1299999999999999</v>
      </c>
      <c r="AQ25" s="65">
        <f>AN25/AM25</f>
        <v>0.3228346456692913</v>
      </c>
      <c r="AR25" s="39">
        <f>IF(ISNUMBER(AL25),AH25/AL25,"n.a.")</f>
        <v>9.213462618788919</v>
      </c>
      <c r="AS25" s="39">
        <f>AH25/AM25</f>
        <v>8.153506742291079</v>
      </c>
      <c r="AT25" t="s" s="39">
        <v>452</v>
      </c>
      <c r="AU25" s="39">
        <f>AH25/AN25</f>
        <v>25.255984299291878</v>
      </c>
      <c r="AX25" s="93">
        <v>115466141</v>
      </c>
      <c r="AY25" s="93">
        <v>115478620</v>
      </c>
      <c r="AZ25" s="93">
        <v>115478620</v>
      </c>
      <c r="BA25" s="94"/>
      <c r="BB25" s="94"/>
      <c r="BC25" s="94"/>
      <c r="BD25" s="94"/>
      <c r="BE25" s="93">
        <v>449516000</v>
      </c>
      <c r="BF25" s="93">
        <v>35734000</v>
      </c>
      <c r="BG25" s="93">
        <v>307498000</v>
      </c>
      <c r="BH25" s="94"/>
      <c r="BI25" s="101"/>
      <c r="BJ25" s="103"/>
      <c r="BK25" s="95">
        <v>12963</v>
      </c>
      <c r="BL25" s="97">
        <v>8.2</v>
      </c>
      <c r="BM25" s="97">
        <v>25.4</v>
      </c>
      <c r="BN25" s="96">
        <v>0.13</v>
      </c>
      <c r="BO25" s="93">
        <v>995565000</v>
      </c>
      <c r="BP25" s="94"/>
      <c r="BQ25" s="98">
        <v>12</v>
      </c>
      <c r="BR25" s="105"/>
      <c r="BS25" s="100">
        <f>$X$79</f>
        <v>1.1721</v>
      </c>
    </row>
    <row r="26">
      <c r="B26" t="str" s="92">
        <f>V31</f>
        <v>Vertex</v>
      </c>
      <c r="C26" s="120">
        <f>AB31</f>
        <v>20.02</v>
      </c>
      <c r="D26" s="121">
        <f>AD31</f>
        <v>0.33960983884648005</v>
      </c>
      <c r="E26" s="122">
        <f>AH31</f>
        <v>3271.7113392799997</v>
      </c>
      <c r="F26" t="str" s="123">
        <f>AP31</f>
        <v>n.a.</v>
      </c>
      <c r="G26" s="123">
        <f>AQ31</f>
        <v>0.224</v>
      </c>
      <c r="H26" t="str" s="124">
        <f>AR31</f>
        <v>n.a.</v>
      </c>
      <c r="I26" s="124">
        <f>AS31</f>
        <v>3.960909611719128</v>
      </c>
      <c r="J26" s="124">
        <f>AU31</f>
        <v>17.68263219517468</v>
      </c>
      <c r="V26" t="s">
        <v>13</v>
      </c>
      <c r="W26" t="s" s="7">
        <v>32</v>
      </c>
      <c r="X26" t="s" s="7">
        <v>312</v>
      </c>
      <c r="Y26" t="s" s="7">
        <v>95</v>
      </c>
      <c r="Z26" s="6">
        <v>39.75</v>
      </c>
      <c r="AA26" s="32">
        <f>1</f>
        <v>1</v>
      </c>
      <c r="AB26" s="23">
        <f>Z26*AA26</f>
        <v>39.75</v>
      </c>
      <c r="AC26" s="20">
        <v>58.72</v>
      </c>
      <c r="AD26" s="16">
        <f>Z26/AC26</f>
        <v>0.676941416893733</v>
      </c>
      <c r="AE26" s="12">
        <f>(AX26+IF(BA26&lt;&gt;"",BA26,AY26-AZ26)-BB26)/10^6</f>
        <v>304.730494</v>
      </c>
      <c r="AF26" s="24">
        <f>AB26*AE26</f>
        <v>12113.037136500001</v>
      </c>
      <c r="AG26" s="24">
        <f>(SUM(BC26:BF26)-BG26-BH26)/10^6*BS26</f>
        <v>1082.014</v>
      </c>
      <c r="AH26" s="24">
        <f>AF26+AG26</f>
        <v>13195.0511365</v>
      </c>
      <c r="AI26" s="24">
        <f>IF(BK26&lt;&gt;"",BK26,BR26*1000)</f>
        <v>13304</v>
      </c>
      <c r="AJ26" s="17">
        <f>AH26/AI26-1</f>
        <v>-0.008189180960613385</v>
      </c>
      <c r="AK26" s="24">
        <f>(BO26*IF(BQ26&gt;=6,IF(BQ26&lt;=7,BQ26/12,1),1)+BP26*IF(BQ26&gt;=6,IF(BQ26&lt;=7,1-BQ26/12,0),0))/10^6*BS26</f>
        <v>1353.095</v>
      </c>
      <c r="AL26" s="64">
        <f>IF(BN26&lt;&gt;"",AM26/(1+BN26),"n.a.")</f>
        <v>1479.7019241463686</v>
      </c>
      <c r="AM26" s="64">
        <f>IF(BI26&lt;&gt;"",BI26,BK26/BL26)</f>
        <v>1642.4691358024693</v>
      </c>
      <c r="AN26" s="64">
        <f>IF(BI26&lt;&gt;"",BI26*BJ26,BK26/BM26)</f>
        <v>596.5919282511211</v>
      </c>
      <c r="AO26" s="65">
        <f>IF(ISNUMBER(AL26),AL26/AK26-1,"n.a.")</f>
        <v>0.09356839257137795</v>
      </c>
      <c r="AP26" s="65">
        <f>IF(ISNUMBER(AL26),AM26/AL26-1,"n.a.")</f>
        <v>0.1100000000000001</v>
      </c>
      <c r="AQ26" s="65">
        <f>AN26/AM26</f>
        <v>0.3632286995515695</v>
      </c>
      <c r="AR26" s="39">
        <f>IF(ISNUMBER(AL26),AH26/AL26,"n.a.")</f>
        <v>8.917371073983126</v>
      </c>
      <c r="AS26" s="39">
        <f>AH26/AM26</f>
        <v>8.03366763421903</v>
      </c>
      <c r="AT26" t="s" s="39">
        <v>452</v>
      </c>
      <c r="AU26" s="39">
        <f>AH26/AN26</f>
        <v>22.117381264578324</v>
      </c>
      <c r="AX26" s="93">
        <v>303557068</v>
      </c>
      <c r="AY26" s="93">
        <v>333277478</v>
      </c>
      <c r="AZ26" s="93">
        <v>314626191</v>
      </c>
      <c r="BA26" s="94"/>
      <c r="BB26" s="93">
        <v>17477861</v>
      </c>
      <c r="BC26" s="94"/>
      <c r="BD26" s="94"/>
      <c r="BE26" s="93">
        <v>1247378000</v>
      </c>
      <c r="BF26" s="93">
        <v>47000</v>
      </c>
      <c r="BG26" s="93">
        <v>165411000</v>
      </c>
      <c r="BH26" s="94"/>
      <c r="BI26" s="101"/>
      <c r="BJ26" s="103"/>
      <c r="BK26" s="95">
        <v>13304</v>
      </c>
      <c r="BL26" s="97">
        <v>8.1</v>
      </c>
      <c r="BM26" s="97">
        <v>22.3</v>
      </c>
      <c r="BN26" s="96">
        <v>0.11</v>
      </c>
      <c r="BO26" s="93">
        <v>1353095000</v>
      </c>
      <c r="BP26" s="94"/>
      <c r="BQ26" s="98">
        <v>12</v>
      </c>
      <c r="BR26" s="105"/>
      <c r="BS26" s="100">
        <f>1</f>
        <v>1</v>
      </c>
    </row>
    <row r="27">
      <c r="B27" t="s" s="112">
        <v>228</v>
      </c>
      <c r="C27" s="125"/>
      <c r="D27" s="126">
        <f>AD32</f>
        <v>0.7162621411692571</v>
      </c>
      <c r="E27" s="127"/>
      <c r="F27" s="128">
        <f>AP32</f>
        <v>0.1200000000000001</v>
      </c>
      <c r="G27" s="128">
        <f>AQ32</f>
        <v>0.28490520446096657</v>
      </c>
      <c r="H27" s="129">
        <f>AR32</f>
        <v>8.917371073983126</v>
      </c>
      <c r="I27" s="129">
        <f>AS32</f>
        <v>7.7240302998610275</v>
      </c>
      <c r="J27" s="129">
        <f>AU32</f>
        <v>25.84612306121945</v>
      </c>
      <c r="V27" t="s">
        <v>11</v>
      </c>
      <c r="W27" t="s" s="7">
        <v>30</v>
      </c>
      <c r="X27" t="s" s="7">
        <v>93</v>
      </c>
      <c r="Y27" t="s" s="7">
        <v>95</v>
      </c>
      <c r="Z27" s="6">
        <v>74.13</v>
      </c>
      <c r="AA27" s="32">
        <f>1</f>
        <v>1</v>
      </c>
      <c r="AB27" s="23">
        <f>Z27*AA27</f>
        <v>74.13</v>
      </c>
      <c r="AC27" s="20">
        <v>88.33</v>
      </c>
      <c r="AD27" s="16">
        <f>Z27/AC27</f>
        <v>0.8392392165742103</v>
      </c>
      <c r="AE27" s="12">
        <f>(AX27+IF(BA27&lt;&gt;"",BA27,AY27-AZ27)-BB27)/10^6</f>
        <v>155.46986</v>
      </c>
      <c r="AF27" s="24">
        <f>AB27*AE27</f>
        <v>11524.9807218</v>
      </c>
      <c r="AG27" s="24">
        <f>(SUM(BC27:BF27)-BG27-BH27)/10^6*BS27</f>
        <v>-683.976</v>
      </c>
      <c r="AH27" s="24">
        <f>AF27+AG27</f>
        <v>10841.0047218</v>
      </c>
      <c r="AI27" s="24">
        <f>IF(BK27&lt;&gt;"",BK27,BR27*1000)</f>
        <v>11588</v>
      </c>
      <c r="AJ27" s="17">
        <f>AH27/AI27-1</f>
        <v>-0.06446283035899203</v>
      </c>
      <c r="AK27" s="24">
        <f>(BO27*IF(BQ27&gt;=6,IF(BQ27&lt;=7,BQ27/12,1),1)+BP27*IF(BQ27&gt;=6,IF(BQ27&lt;=7,1-BQ27/12,0),0))/10^6*BS27</f>
        <v>1151.708</v>
      </c>
      <c r="AL27" s="64">
        <f>IF(BN27&lt;&gt;"",AM27/(1+BN27),"n.a.")</f>
        <v>1308.9285714285713</v>
      </c>
      <c r="AM27" s="64">
        <f>IF(BI27&lt;&gt;"",BI27,BK27/BL27)</f>
        <v>1466</v>
      </c>
      <c r="AN27" s="64">
        <f>IF(BI27&lt;&gt;"",BI27*BJ27,BK27/BM27)</f>
        <v>357.704</v>
      </c>
      <c r="AO27" s="65">
        <f>IF(ISNUMBER(AL27),AL27/AK27-1,"n.a.")</f>
        <v>0.13651079217003903</v>
      </c>
      <c r="AP27" s="65">
        <f>IF(ISNUMBER(AL27),AM27/AL27-1,"n.a.")</f>
        <v>0.1200000000000001</v>
      </c>
      <c r="AQ27" s="65">
        <f>AN27/AM27</f>
        <v>0.244</v>
      </c>
      <c r="AR27" s="39">
        <f>IF(ISNUMBER(AL27),AH27/AL27,"n.a.")</f>
        <v>8.282350128523875</v>
      </c>
      <c r="AS27" s="39">
        <f>AH27/AM27</f>
        <v>7.394955471896316</v>
      </c>
      <c r="AT27" t="s" s="39">
        <v>452</v>
      </c>
      <c r="AU27" s="39">
        <f>AH27/AN27</f>
        <v>30.307194556952116</v>
      </c>
      <c r="AX27" s="93">
        <v>155469860</v>
      </c>
      <c r="AY27" s="93">
        <v>150278399</v>
      </c>
      <c r="AZ27" s="93">
        <v>150278399</v>
      </c>
      <c r="BA27" s="94"/>
      <c r="BB27" s="94"/>
      <c r="BC27" s="94"/>
      <c r="BD27" s="94"/>
      <c r="BE27" s="94"/>
      <c r="BF27" s="94"/>
      <c r="BG27" s="93">
        <v>350496000</v>
      </c>
      <c r="BH27" s="93">
        <v>333480000</v>
      </c>
      <c r="BI27" s="95">
        <v>1466</v>
      </c>
      <c r="BJ27" s="96">
        <v>0.244</v>
      </c>
      <c r="BK27" s="95">
        <v>11588</v>
      </c>
      <c r="BL27" s="97">
        <v>7.9</v>
      </c>
      <c r="BM27" s="97">
        <v>32.3</v>
      </c>
      <c r="BN27" s="96">
        <v>0.12</v>
      </c>
      <c r="BO27" s="93">
        <v>1151708000</v>
      </c>
      <c r="BP27" s="94"/>
      <c r="BQ27" s="98">
        <v>12</v>
      </c>
      <c r="BR27" s="99">
        <v>11.6</v>
      </c>
      <c r="BS27" s="100">
        <f>1</f>
        <v>1</v>
      </c>
    </row>
    <row r="28">
      <c r="B28" t="s" s="108">
        <v>234</v>
      </c>
      <c r="C28" s="130"/>
      <c r="D28" s="131">
        <f>AD33</f>
        <v>0.6795839381014289</v>
      </c>
      <c r="E28" s="132"/>
      <c r="F28" s="133">
        <f>AP33</f>
        <v>0.1150000000000001</v>
      </c>
      <c r="G28" s="133">
        <f>AQ33</f>
        <v>0.2653103448275862</v>
      </c>
      <c r="H28" s="134">
        <f>AR33</f>
        <v>8.597999768994717</v>
      </c>
      <c r="I28" s="134">
        <f>AS33</f>
        <v>7.399852508906328</v>
      </c>
      <c r="J28" s="134">
        <f>AU33</f>
        <v>21.33187106724572</v>
      </c>
      <c r="V28" t="s">
        <v>16</v>
      </c>
      <c r="W28" t="s" s="7">
        <v>35</v>
      </c>
      <c r="X28" t="s" s="7">
        <v>312</v>
      </c>
      <c r="Y28" t="s" s="7">
        <v>95</v>
      </c>
      <c r="Z28" s="6">
        <v>19.21</v>
      </c>
      <c r="AA28" s="32">
        <f>1</f>
        <v>1</v>
      </c>
      <c r="AB28" s="23">
        <f>Z28*AA28</f>
        <v>19.21</v>
      </c>
      <c r="AC28" s="20">
        <v>26</v>
      </c>
      <c r="AD28" s="16">
        <f>Z28/AC28</f>
        <v>0.7388461538461539</v>
      </c>
      <c r="AE28" s="12">
        <f>(AX28+IF(BA28&lt;&gt;"",BA28,AY28-AZ28)-BB28)/10^6</f>
        <v>250.680016</v>
      </c>
      <c r="AF28" s="24">
        <f>AB28*AE28</f>
        <v>4815.56310736</v>
      </c>
      <c r="AG28" s="24">
        <f>(SUM(BC28:BF28)-BG28-BH28)/10^6*BS28</f>
        <v>-525.712</v>
      </c>
      <c r="AH28" s="24">
        <f>AF28+AG28</f>
        <v>4289.85110736</v>
      </c>
      <c r="AI28" s="24">
        <f>IF(BK28&lt;&gt;"",BK28,BR28*1000)</f>
        <v>4370</v>
      </c>
      <c r="AJ28" s="17">
        <f>AH28/AI28-1</f>
        <v>-0.018340707697940495</v>
      </c>
      <c r="AK28" s="24">
        <f>(BO28*IF(BQ28&gt;=6,IF(BQ28&lt;=7,BQ28/12,1),1)+BP28*IF(BQ28&gt;=6,IF(BQ28&lt;=7,1-BQ28/12,0),0))/10^6*BS28</f>
        <v>401.203</v>
      </c>
      <c r="AL28" s="64">
        <f>IF(BN28&lt;&gt;"",AM28/(1+BN28),"n.a.")</f>
        <v>472.79021962566264</v>
      </c>
      <c r="AM28" s="64">
        <f>IF(BI28&lt;&gt;"",BI28,BK28/BL28)</f>
        <v>553.1645569620252</v>
      </c>
      <c r="AN28" s="64">
        <f>IF(BI28&lt;&gt;"",BI28*BJ28,BK28/BM28)</f>
        <v>150.68965517241378</v>
      </c>
      <c r="AO28" s="65">
        <f>IF(ISNUMBER(AL28),AL28/AK28-1,"n.a.")</f>
        <v>0.1784314165787959</v>
      </c>
      <c r="AP28" s="65">
        <f>IF(ISNUMBER(AL28),AM28/AL28-1,"n.a.")</f>
        <v>0.16999999999999993</v>
      </c>
      <c r="AQ28" s="65">
        <f>AN28/AM28</f>
        <v>0.27241379310344827</v>
      </c>
      <c r="AR28" s="39">
        <f>IF(ISNUMBER(AL28),AH28/AL28,"n.a.")</f>
        <v>9.073476838747936</v>
      </c>
      <c r="AS28" s="39">
        <f>AH28/AM28</f>
        <v>7.755108409186271</v>
      </c>
      <c r="AT28" t="s" s="39">
        <v>452</v>
      </c>
      <c r="AU28" s="39">
        <f>AH28/AN28</f>
        <v>28.46811947675973</v>
      </c>
      <c r="AX28" s="93">
        <v>244469106</v>
      </c>
      <c r="AY28" s="93">
        <v>249719713</v>
      </c>
      <c r="AZ28" s="93">
        <v>243508803</v>
      </c>
      <c r="BA28" s="94"/>
      <c r="BB28" s="94"/>
      <c r="BC28" s="94"/>
      <c r="BD28" s="94"/>
      <c r="BE28" s="94"/>
      <c r="BF28" s="94"/>
      <c r="BG28" s="93">
        <v>281361000</v>
      </c>
      <c r="BH28" s="93">
        <v>244351000</v>
      </c>
      <c r="BI28" s="101"/>
      <c r="BJ28" s="103"/>
      <c r="BK28" s="95">
        <v>4370</v>
      </c>
      <c r="BL28" s="97">
        <v>7.9</v>
      </c>
      <c r="BM28" s="97">
        <v>29</v>
      </c>
      <c r="BN28" s="96">
        <v>0.17</v>
      </c>
      <c r="BO28" s="93">
        <v>401203000</v>
      </c>
      <c r="BP28" s="94"/>
      <c r="BQ28" s="98">
        <v>12</v>
      </c>
      <c r="BR28" s="105"/>
      <c r="BS28" s="100">
        <f>1</f>
        <v>1</v>
      </c>
    </row>
    <row r="29">
      <c r="B29" t="s" s="108">
        <v>233</v>
      </c>
      <c r="C29" s="130"/>
      <c r="D29" s="131">
        <f>AD34</f>
        <v>0.7302913049985035</v>
      </c>
      <c r="E29" s="132"/>
      <c r="F29" s="133">
        <f>AP34</f>
        <v>0.1499999999999999</v>
      </c>
      <c r="G29" s="133">
        <f>AQ34</f>
        <v>0.3329331591398609</v>
      </c>
      <c r="H29" s="134">
        <f>AR34</f>
        <v>9.143469728768427</v>
      </c>
      <c r="I29" s="134">
        <f>AS34</f>
        <v>8.063627411237043</v>
      </c>
      <c r="J29" s="134">
        <f>AU34</f>
        <v>27.027024128000267</v>
      </c>
      <c r="V29" t="s">
        <v>10</v>
      </c>
      <c r="W29" t="s" s="7">
        <v>29</v>
      </c>
      <c r="X29" t="s" s="7">
        <v>93</v>
      </c>
      <c r="Y29" t="s" s="7">
        <v>312</v>
      </c>
      <c r="Z29" s="6">
        <v>457.9</v>
      </c>
      <c r="AA29" s="32">
        <f>1</f>
        <v>1</v>
      </c>
      <c r="AB29" s="23">
        <f>Z29*AA29</f>
        <v>457.9</v>
      </c>
      <c r="AC29" s="20">
        <v>646.74</v>
      </c>
      <c r="AD29" s="16">
        <f>Z29/AC29</f>
        <v>0.7080124934285802</v>
      </c>
      <c r="AE29" s="12">
        <f>(AX29+IF(BA29&lt;&gt;"",BA29,AY29-AZ29)-BB29)/10^6</f>
        <v>43.726728</v>
      </c>
      <c r="AF29" s="24">
        <f>AB29*AE29</f>
        <v>20022.4687512</v>
      </c>
      <c r="AG29" s="24">
        <f>(SUM(BC29:BF29)-BG29-BH29)/10^6*BS29</f>
        <v>-351.59</v>
      </c>
      <c r="AH29" s="24">
        <f>AF29+AG29</f>
        <v>19670.878751199998</v>
      </c>
      <c r="AI29" s="24">
        <f>IF(BK29&lt;&gt;"",BK29,BR29*1000)</f>
        <v>19800</v>
      </c>
      <c r="AJ29" s="17">
        <f>AH29/AI29-1</f>
        <v>-0.006521275191919251</v>
      </c>
      <c r="AK29" s="24">
        <f>(BO29*IF(BQ29&gt;=6,IF(BQ29&lt;=7,BQ29/12,1),1)+BP29*IF(BQ29&gt;=6,IF(BQ29&lt;=7,1-BQ29/12,0),0))/10^6*BS29</f>
        <v>2137.803</v>
      </c>
      <c r="AL29" s="64">
        <f>IF(BN29&lt;&gt;"",AM29/(1+BN29),"n.a.")</f>
        <v>2324.5454545454545</v>
      </c>
      <c r="AM29" s="64">
        <f>IF(BI29&lt;&gt;"",BI29,BK29/BL29)</f>
        <v>2557</v>
      </c>
      <c r="AN29" s="64">
        <f>IF(BI29&lt;&gt;"",BI29*BJ29,BK29/BM29)</f>
        <v>744.087</v>
      </c>
      <c r="AO29" s="65">
        <f>IF(ISNUMBER(AL29),AL29/AK29-1,"n.a.")</f>
        <v>0.0873525084142246</v>
      </c>
      <c r="AP29" s="65">
        <f>IF(ISNUMBER(AL29),AM29/AL29-1,"n.a.")</f>
        <v>0.10000000000000009</v>
      </c>
      <c r="AQ29" s="65">
        <f>AN29/AM29</f>
        <v>0.291</v>
      </c>
      <c r="AR29" s="39">
        <f>IF(ISNUMBER(AL29),AH29/AL29,"n.a.")</f>
        <v>8.462247409589361</v>
      </c>
      <c r="AS29" s="39">
        <f>AH29/AM29</f>
        <v>7.692952190535784</v>
      </c>
      <c r="AT29" t="s" s="39">
        <v>452</v>
      </c>
      <c r="AU29" s="39">
        <f>AH29/AN29</f>
        <v>26.43626182314702</v>
      </c>
      <c r="AX29" s="93">
        <v>43027728</v>
      </c>
      <c r="AY29" s="93">
        <v>43834000</v>
      </c>
      <c r="AZ29" s="93">
        <v>43135000</v>
      </c>
      <c r="BA29" s="94"/>
      <c r="BB29" s="94"/>
      <c r="BC29" s="93">
        <v>599231000</v>
      </c>
      <c r="BD29" s="94"/>
      <c r="BE29" s="94"/>
      <c r="BF29" s="94"/>
      <c r="BG29" s="93">
        <v>834101000</v>
      </c>
      <c r="BH29" s="93">
        <v>116720000</v>
      </c>
      <c r="BI29" s="95">
        <v>2557</v>
      </c>
      <c r="BJ29" s="96">
        <v>0.291</v>
      </c>
      <c r="BK29" s="101"/>
      <c r="BL29" s="102"/>
      <c r="BM29" s="102"/>
      <c r="BN29" s="96">
        <v>0.1</v>
      </c>
      <c r="BO29" s="93">
        <v>2137803000</v>
      </c>
      <c r="BP29" s="94"/>
      <c r="BQ29" s="98">
        <v>12</v>
      </c>
      <c r="BR29" s="99">
        <v>19.8</v>
      </c>
      <c r="BS29" s="100">
        <f>1</f>
        <v>1</v>
      </c>
    </row>
    <row r="30">
      <c r="B30" t="s" s="111">
        <v>494</v>
      </c>
      <c r="C30" s="115"/>
      <c r="D30" s="116"/>
      <c r="E30" s="117"/>
      <c r="F30" s="118"/>
      <c r="G30" s="118"/>
      <c r="H30" s="119"/>
      <c r="I30" s="119"/>
      <c r="J30" s="119"/>
      <c r="V30" t="s">
        <v>15</v>
      </c>
      <c r="W30" t="s" s="7">
        <v>34</v>
      </c>
      <c r="X30" t="s" s="7">
        <v>312</v>
      </c>
      <c r="Y30" t="s" s="7">
        <v>95</v>
      </c>
      <c r="Z30" s="6">
        <v>233.69</v>
      </c>
      <c r="AA30" s="32">
        <f>1</f>
        <v>1</v>
      </c>
      <c r="AB30" s="23">
        <f>Z30*AA30</f>
        <v>233.69</v>
      </c>
      <c r="AC30" s="20">
        <v>321.25</v>
      </c>
      <c r="AD30" s="16">
        <f>Z30/AC30</f>
        <v>0.7274396887159533</v>
      </c>
      <c r="AE30" s="12">
        <f>(AX30+IF(BA30&lt;&gt;"",BA30,AY30-AZ30)-BB30)/10^6</f>
        <v>36.29137</v>
      </c>
      <c r="AF30" s="24">
        <f>AB30*AE30</f>
        <v>8480.9302553</v>
      </c>
      <c r="AG30" s="24">
        <f>(SUM(BC30:BF30)-BG30-BH30)/10^6*BS30</f>
        <v>-200.149</v>
      </c>
      <c r="AH30" s="24">
        <f>AF30+AG30</f>
        <v>8280.7812553</v>
      </c>
      <c r="AI30" s="24">
        <f>IF(BK30&lt;&gt;"",BK30,BR30*1000)</f>
        <v>8391</v>
      </c>
      <c r="AJ30" s="17">
        <f>AH30/AI30-1</f>
        <v>-0.013135352723155691</v>
      </c>
      <c r="AK30" s="24">
        <f>(BO30*IF(BQ30&gt;=6,IF(BQ30&lt;=7,BQ30/12,1),1)+BP30*IF(BQ30&gt;=6,IF(BQ30&lt;=7,1-BQ30/12,0),0))/10^6*BS30</f>
        <v>794.202</v>
      </c>
      <c r="AL30" s="64">
        <f>IF(BN30&lt;&gt;"",AM30/(1+BN30),"n.a.")</f>
        <v>948.135593220339</v>
      </c>
      <c r="AM30" s="64">
        <f>IF(BI30&lt;&gt;"",BI30,BK30/BL30)</f>
        <v>1118.8</v>
      </c>
      <c r="AN30" s="64">
        <f>IF(BI30&lt;&gt;"",BI30*BJ30,BK30/BM30)</f>
        <v>311.9330855018587</v>
      </c>
      <c r="AO30" s="65">
        <f>IF(ISNUMBER(AL30),AL30/AK30-1,"n.a.")</f>
        <v>0.19382171440054163</v>
      </c>
      <c r="AP30" s="65">
        <f>IF(ISNUMBER(AL30),AM30/AL30-1,"n.a.")</f>
        <v>0.17999999999999994</v>
      </c>
      <c r="AQ30" s="65">
        <f>AN30/AM30</f>
        <v>0.2788104089219331</v>
      </c>
      <c r="AR30" s="39">
        <f>IF(ISNUMBER(AL30),AH30/AL30,"n.a.")</f>
        <v>8.733752128400072</v>
      </c>
      <c r="AS30" s="39">
        <f>AH30/AM30</f>
        <v>7.401484854576332</v>
      </c>
      <c r="AT30" t="s" s="39">
        <v>452</v>
      </c>
      <c r="AU30" s="39">
        <f>AH30/AN30</f>
        <v>26.546659011747114</v>
      </c>
      <c r="AX30" s="93">
        <v>35921370</v>
      </c>
      <c r="AY30" s="93">
        <v>36259000</v>
      </c>
      <c r="AZ30" s="93">
        <v>35889000</v>
      </c>
      <c r="BA30" s="94"/>
      <c r="BB30" s="94"/>
      <c r="BC30" s="94"/>
      <c r="BD30" s="94"/>
      <c r="BE30" s="94"/>
      <c r="BF30" s="94"/>
      <c r="BG30" s="93">
        <v>76093000</v>
      </c>
      <c r="BH30" s="93">
        <v>124056000</v>
      </c>
      <c r="BI30" s="101"/>
      <c r="BJ30" s="103"/>
      <c r="BK30" s="95">
        <v>8391</v>
      </c>
      <c r="BL30" s="97">
        <v>7.5</v>
      </c>
      <c r="BM30" s="97">
        <v>26.9</v>
      </c>
      <c r="BN30" s="96">
        <v>0.18</v>
      </c>
      <c r="BO30" s="93">
        <v>794202000</v>
      </c>
      <c r="BP30" s="94"/>
      <c r="BQ30" s="98">
        <v>12</v>
      </c>
      <c r="BR30" s="105"/>
      <c r="BS30" s="100">
        <f>1</f>
        <v>1</v>
      </c>
    </row>
    <row r="31">
      <c r="B31" t="str" s="92">
        <f>V37</f>
        <v>Descartes Systems</v>
      </c>
      <c r="C31" s="120">
        <f>AB37</f>
        <v>89.72423802612482</v>
      </c>
      <c r="D31" s="121">
        <f>AD37</f>
        <v>0.7051442910915935</v>
      </c>
      <c r="E31" s="122">
        <f>AH37</f>
        <v>7584.357166705371</v>
      </c>
      <c r="F31" s="123">
        <f>AP37</f>
        <v>0.1100000000000001</v>
      </c>
      <c r="G31" s="123">
        <f>AQ37</f>
        <v>0.463768115942029</v>
      </c>
      <c r="H31" s="124">
        <f>AR37</f>
        <v>10.613120153435643</v>
      </c>
      <c r="I31" s="124">
        <f>AS37</f>
        <v>9.561369507599679</v>
      </c>
      <c r="J31" s="124">
        <f>AU37</f>
        <v>20.61670300076181</v>
      </c>
      <c r="V31" t="s">
        <v>12</v>
      </c>
      <c r="W31" t="s" s="7">
        <v>31</v>
      </c>
      <c r="X31" t="s" s="7">
        <v>93</v>
      </c>
      <c r="Y31" t="s" s="7">
        <v>312</v>
      </c>
      <c r="Z31" s="6">
        <v>20.02</v>
      </c>
      <c r="AA31" s="32">
        <f>1</f>
        <v>1</v>
      </c>
      <c r="AB31" s="23">
        <f>Z31*AA31</f>
        <v>20.02</v>
      </c>
      <c r="AC31" s="20">
        <v>58.95</v>
      </c>
      <c r="AD31" s="16">
        <f>Z31/AC31</f>
        <v>0.33960983884648005</v>
      </c>
      <c r="AE31" s="12">
        <f>(AX31+IF(BA31&lt;&gt;"",BA31,AY31-AZ31)-BB31)/10^6</f>
        <v>162.252964</v>
      </c>
      <c r="AF31" s="24">
        <f>AB31*AE31</f>
        <v>3248.3043392799996</v>
      </c>
      <c r="AG31" s="24">
        <f>(SUM(BC31:BF31)-BG31-BH31)/10^6*BS31</f>
        <v>23.407</v>
      </c>
      <c r="AH31" s="24">
        <f>AF31+AG31</f>
        <v>3271.7113392799997</v>
      </c>
      <c r="AI31" s="24">
        <f>IF(BK31&lt;&gt;"",BK31,BR31*1000)</f>
        <v>3300</v>
      </c>
      <c r="AJ31" s="17">
        <f>AH31/AI31-1</f>
        <v>-0.008572321430303065</v>
      </c>
      <c r="AK31" s="24">
        <f>(BO31*IF(BQ31&gt;=6,IF(BQ31&lt;=7,BQ31/12,1),1)+BP31*IF(BQ31&gt;=6,IF(BQ31&lt;=7,1-BQ31/12,0),0))/10^6*BS31</f>
        <v>666.776</v>
      </c>
      <c r="AL31" t="str" s="64">
        <f>IF(BN31&lt;&gt;"",AM31/(1+BN31),"n.a.")</f>
        <v>n.a.</v>
      </c>
      <c r="AM31" s="64">
        <f>IF(BI31&lt;&gt;"",BI31,BK31/BL31)</f>
        <v>826</v>
      </c>
      <c r="AN31" s="64">
        <f>IF(BI31&lt;&gt;"",BI31*BJ31,BK31/BM31)</f>
        <v>185.024</v>
      </c>
      <c r="AO31" t="str" s="65">
        <f>IF(ISNUMBER(AL31),AL31/AK31-1,"n.a.")</f>
        <v>n.a.</v>
      </c>
      <c r="AP31" t="str" s="65">
        <f>IF(ISNUMBER(AL31),AM31/AL31-1,"n.a.")</f>
        <v>n.a.</v>
      </c>
      <c r="AQ31" s="65">
        <f>AN31/AM31</f>
        <v>0.224</v>
      </c>
      <c r="AR31" t="str" s="39">
        <f>IF(ISNUMBER(AL31),AH31/AL31,"n.a.")</f>
        <v>n.a.</v>
      </c>
      <c r="AS31" s="39">
        <f>AH31/AM31</f>
        <v>3.960909611719128</v>
      </c>
      <c r="AT31" t="s" s="39">
        <v>452</v>
      </c>
      <c r="AU31" s="39">
        <f>AH31/AN31</f>
        <v>17.68263219517468</v>
      </c>
      <c r="AX31" s="93">
        <v>159527964</v>
      </c>
      <c r="AY31" s="93">
        <v>81865000</v>
      </c>
      <c r="AZ31" s="93">
        <v>77361000</v>
      </c>
      <c r="BA31" s="93">
        <v>2725000</v>
      </c>
      <c r="BB31" s="94"/>
      <c r="BC31" s="94"/>
      <c r="BD31" s="94"/>
      <c r="BE31" s="93">
        <v>336913000</v>
      </c>
      <c r="BF31" s="94"/>
      <c r="BG31" s="93">
        <v>313506000</v>
      </c>
      <c r="BH31" s="94"/>
      <c r="BI31" s="95">
        <v>826</v>
      </c>
      <c r="BJ31" s="96">
        <v>0.224</v>
      </c>
      <c r="BK31" s="101"/>
      <c r="BL31" s="102"/>
      <c r="BM31" s="102"/>
      <c r="BN31" s="103"/>
      <c r="BO31" s="93">
        <v>666776000</v>
      </c>
      <c r="BP31" s="94"/>
      <c r="BQ31" s="98">
        <v>12</v>
      </c>
      <c r="BR31" s="99">
        <v>3.3</v>
      </c>
      <c r="BS31" s="100">
        <f>1</f>
        <v>1</v>
      </c>
    </row>
    <row r="32">
      <c r="B32" t="str" s="92">
        <f>V38</f>
        <v>Autodesk</v>
      </c>
      <c r="C32" s="120">
        <f>AB38</f>
        <v>300.08</v>
      </c>
      <c r="D32" s="121">
        <f>AD38</f>
        <v>0.9182655528014932</v>
      </c>
      <c r="E32" s="122">
        <f>AH38</f>
        <v>64410.119999999995</v>
      </c>
      <c r="F32" s="123">
        <f>AP38</f>
        <v>0.1100000000000001</v>
      </c>
      <c r="G32" s="123">
        <f>AQ38</f>
        <v>0.4018691588785047</v>
      </c>
      <c r="H32" s="124">
        <f>AR38</f>
        <v>9.119830992583804</v>
      </c>
      <c r="I32" s="124">
        <f>AS38</f>
        <v>8.216063957282705</v>
      </c>
      <c r="J32" s="124">
        <f>AU38</f>
        <v>20.444624265796495</v>
      </c>
      <c r="V32" t="s" s="9">
        <v>228</v>
      </c>
      <c r="W32" s="52"/>
      <c r="X32" s="52"/>
      <c r="Y32" s="52"/>
      <c r="Z32" s="53"/>
      <c r="AA32" s="54"/>
      <c r="AB32" s="55"/>
      <c r="AC32" s="55"/>
      <c r="AD32" s="83">
        <f>MEDIAN(AD24:AD31)</f>
        <v>0.7162621411692571</v>
      </c>
      <c r="AE32" s="56"/>
      <c r="AF32" s="26"/>
      <c r="AG32" s="26"/>
      <c r="AH32" s="26"/>
      <c r="AI32" s="26"/>
      <c r="AJ32" s="84"/>
      <c r="AK32" s="26"/>
      <c r="AL32" s="85"/>
      <c r="AM32" s="85"/>
      <c r="AN32" s="85"/>
      <c r="AO32" s="86">
        <f>MEDIAN(AO24:AO31)</f>
        <v>0.14393888839853108</v>
      </c>
      <c r="AP32" s="86">
        <f>MEDIAN(AP24:AP31)</f>
        <v>0.1200000000000001</v>
      </c>
      <c r="AQ32" s="86">
        <f>MEDIAN(AQ24:AQ31)</f>
        <v>0.28490520446096657</v>
      </c>
      <c r="AR32" s="57">
        <f>MEDIAN(AR24:AR31)</f>
        <v>8.917371073983126</v>
      </c>
      <c r="AS32" s="57">
        <f>MEDIAN(AS24:AS31)</f>
        <v>7.7240302998610275</v>
      </c>
      <c r="AT32" s="57"/>
      <c r="AU32" s="57">
        <f>MEDIAN(AU24:AU31)</f>
        <v>25.84612306121945</v>
      </c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101"/>
      <c r="BJ32" s="103"/>
      <c r="BK32" s="101"/>
      <c r="BL32" s="102"/>
      <c r="BM32" s="102"/>
      <c r="BN32" s="103"/>
      <c r="BO32" s="94"/>
      <c r="BP32" s="94"/>
      <c r="BQ32" s="104"/>
      <c r="BR32" s="105"/>
      <c r="BS32" s="100"/>
    </row>
    <row r="33">
      <c r="B33" t="str" s="92">
        <f>V39</f>
        <v>Atlassian</v>
      </c>
      <c r="C33" s="120">
        <f>AB39</f>
        <v>161.07</v>
      </c>
      <c r="D33" s="121">
        <f>AD39</f>
        <v>0.49876137982287727</v>
      </c>
      <c r="E33" s="122">
        <f>AH39</f>
        <v>40589.04755486001</v>
      </c>
      <c r="F33" s="123">
        <f>AP39</f>
        <v>0.19999999999999996</v>
      </c>
      <c r="G33" s="123">
        <f>AQ39</f>
        <v>0.26556016597510373</v>
      </c>
      <c r="H33" s="124">
        <f>AR39</f>
        <v>7.017647123397678</v>
      </c>
      <c r="I33" s="124">
        <f>AS39</f>
        <v>5.848039269498065</v>
      </c>
      <c r="J33" s="124">
        <f>AU39</f>
        <v>22.02152287420365</v>
      </c>
      <c r="V33" t="s">
        <v>234</v>
      </c>
      <c r="W33" s="7"/>
      <c r="X33" s="7"/>
      <c r="Y33" s="7"/>
      <c r="Z33" s="29"/>
      <c r="AA33" s="32"/>
      <c r="AB33" s="23"/>
      <c r="AC33" s="23"/>
      <c r="AD33" s="16">
        <f>_xlfn.QUARTILE.INC(AD24:AD31,1)</f>
        <v>0.6795839381014289</v>
      </c>
      <c r="AE33" s="12"/>
      <c r="AF33" s="24"/>
      <c r="AG33" s="24"/>
      <c r="AH33" s="24"/>
      <c r="AI33" s="24"/>
      <c r="AJ33" s="17"/>
      <c r="AK33" s="24"/>
      <c r="AL33" s="64"/>
      <c r="AM33" s="64"/>
      <c r="AN33" s="64"/>
      <c r="AO33" s="65">
        <f>_xlfn.QUARTILE.INC(AO24:AO31,1)</f>
        <v>0.11503959237070849</v>
      </c>
      <c r="AP33" s="65">
        <f>_xlfn.QUARTILE.INC(AP24:AP31,1)</f>
        <v>0.1150000000000001</v>
      </c>
      <c r="AQ33" s="65">
        <f>_xlfn.QUARTILE.INC(AQ24:AQ31,1)</f>
        <v>0.2653103448275862</v>
      </c>
      <c r="AR33" s="39">
        <f>_xlfn.QUARTILE.INC(AR24:AR31,1)</f>
        <v>8.597999768994717</v>
      </c>
      <c r="AS33" s="39">
        <f>_xlfn.QUARTILE.INC(AS24:AS31,1)</f>
        <v>7.399852508906328</v>
      </c>
      <c r="AT33" s="39"/>
      <c r="AU33" s="39">
        <f>_xlfn.QUARTILE.INC(AU24:AU31,1)</f>
        <v>21.33187106724572</v>
      </c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101"/>
      <c r="BJ33" s="103"/>
      <c r="BK33" s="101"/>
      <c r="BL33" s="102"/>
      <c r="BM33" s="102"/>
      <c r="BN33" s="103"/>
      <c r="BO33" s="94"/>
      <c r="BP33" s="94"/>
      <c r="BQ33" s="104"/>
      <c r="BR33" s="105"/>
      <c r="BS33" s="100"/>
    </row>
    <row r="34">
      <c r="B34" t="s" s="112">
        <v>228</v>
      </c>
      <c r="C34" s="125"/>
      <c r="D34" s="126">
        <f>AD40</f>
        <v>0.7051442910915935</v>
      </c>
      <c r="E34" s="127"/>
      <c r="F34" s="128">
        <f>AP40</f>
        <v>0.1100000000000001</v>
      </c>
      <c r="G34" s="128">
        <f>AQ40</f>
        <v>0.4018691588785047</v>
      </c>
      <c r="H34" s="129">
        <f>AR40</f>
        <v>9.119830992583804</v>
      </c>
      <c r="I34" s="129">
        <f>AS40</f>
        <v>8.216063957282705</v>
      </c>
      <c r="J34" s="129">
        <f>AU40</f>
        <v>20.61670300076181</v>
      </c>
      <c r="V34" t="s">
        <v>233</v>
      </c>
      <c r="W34" s="7"/>
      <c r="X34" s="7"/>
      <c r="Y34" s="7"/>
      <c r="Z34" s="29"/>
      <c r="AA34" s="32"/>
      <c r="AB34" s="23"/>
      <c r="AC34" s="23"/>
      <c r="AD34" s="16">
        <f>_xlfn.QUARTILE.INC(AD24:AD31,3)</f>
        <v>0.7302913049985035</v>
      </c>
      <c r="AE34" s="12"/>
      <c r="AF34" s="24"/>
      <c r="AG34" s="24"/>
      <c r="AH34" s="24"/>
      <c r="AI34" s="24"/>
      <c r="AJ34" s="17"/>
      <c r="AK34" s="24"/>
      <c r="AL34" s="64"/>
      <c r="AM34" s="64"/>
      <c r="AN34" s="64"/>
      <c r="AO34" s="65">
        <f>_xlfn.QUARTILE.INC(AO24:AO31,3)</f>
        <v>0.18612656548966877</v>
      </c>
      <c r="AP34" s="65">
        <f>_xlfn.QUARTILE.INC(AP24:AP31,3)</f>
        <v>0.1499999999999999</v>
      </c>
      <c r="AQ34" s="65">
        <f>_xlfn.QUARTILE.INC(AQ24:AQ31,3)</f>
        <v>0.3329331591398609</v>
      </c>
      <c r="AR34" s="39">
        <f>_xlfn.QUARTILE.INC(AR24:AR31,3)</f>
        <v>9.143469728768427</v>
      </c>
      <c r="AS34" s="39">
        <f>_xlfn.QUARTILE.INC(AS24:AS31,3)</f>
        <v>8.063627411237043</v>
      </c>
      <c r="AT34" s="39"/>
      <c r="AU34" s="39">
        <f>_xlfn.QUARTILE.INC(AU24:AU31,3)</f>
        <v>27.027024128000267</v>
      </c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101"/>
      <c r="BJ34" s="103"/>
      <c r="BK34" s="101"/>
      <c r="BL34" s="102"/>
      <c r="BM34" s="102"/>
      <c r="BN34" s="103"/>
      <c r="BO34" s="94"/>
      <c r="BP34" s="94"/>
      <c r="BQ34" s="104"/>
      <c r="BR34" s="105"/>
      <c r="BS34" s="100"/>
    </row>
    <row r="35">
      <c r="B35" t="s" s="108">
        <v>234</v>
      </c>
      <c r="C35" s="130"/>
      <c r="D35" s="131">
        <f>AD41</f>
        <v>0.6019528354572354</v>
      </c>
      <c r="E35" s="132"/>
      <c r="F35" s="133">
        <f>AP41</f>
        <v>0.1100000000000001</v>
      </c>
      <c r="G35" s="133">
        <f>AQ41</f>
        <v>0.33371466242680425</v>
      </c>
      <c r="H35" s="134">
        <f>AR41</f>
        <v>8.06873905799074</v>
      </c>
      <c r="I35" s="134">
        <f>AS41</f>
        <v>7.032051613390385</v>
      </c>
      <c r="J35" s="134">
        <f>AU41</f>
        <v>20.530663633279154</v>
      </c>
      <c r="W35" s="7"/>
      <c r="X35" s="7"/>
      <c r="Y35" s="7"/>
      <c r="Z35" s="29"/>
      <c r="AA35" s="32"/>
      <c r="AB35" s="23"/>
      <c r="AC35" s="23"/>
      <c r="AD35" s="16"/>
      <c r="AE35" s="12"/>
      <c r="AF35" s="24"/>
      <c r="AG35" s="24"/>
      <c r="AH35" s="24"/>
      <c r="AI35" s="24"/>
      <c r="AJ35" s="17"/>
      <c r="AK35" s="24"/>
      <c r="AL35" s="64"/>
      <c r="AM35" s="64"/>
      <c r="AN35" s="64"/>
      <c r="AO35" s="65"/>
      <c r="AP35" s="65"/>
      <c r="AQ35" s="65"/>
      <c r="AR35" s="39"/>
      <c r="AS35" s="39"/>
      <c r="AT35" s="39"/>
      <c r="AU35" s="39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101"/>
      <c r="BJ35" s="103"/>
      <c r="BK35" s="101"/>
      <c r="BL35" s="102"/>
      <c r="BM35" s="102"/>
      <c r="BN35" s="103"/>
      <c r="BO35" s="94"/>
      <c r="BP35" s="94"/>
      <c r="BQ35" s="104"/>
      <c r="BR35" s="105"/>
      <c r="BS35" s="100"/>
    </row>
    <row r="36">
      <c r="B36" t="s" s="108">
        <v>233</v>
      </c>
      <c r="C36" s="130"/>
      <c r="D36" s="131">
        <f>AD42</f>
        <v>0.8117049219465433</v>
      </c>
      <c r="E36" s="132"/>
      <c r="F36" s="133">
        <f>AP42</f>
        <v>0.15500000000000003</v>
      </c>
      <c r="G36" s="133">
        <f>AQ42</f>
        <v>0.4328186374102668</v>
      </c>
      <c r="H36" s="134">
        <f>AR42</f>
        <v>9.866475573009723</v>
      </c>
      <c r="I36" s="134">
        <f>AS42</f>
        <v>8.888716732441193</v>
      </c>
      <c r="J36" s="134">
        <f>AU42</f>
        <v>21.31911293748273</v>
      </c>
      <c r="V36" t="s" s="28">
        <v>231</v>
      </c>
      <c r="W36" s="38"/>
      <c r="X36" s="38"/>
      <c r="Y36" s="38"/>
      <c r="Z36" s="30"/>
      <c r="AA36" s="33"/>
      <c r="AB36" s="31"/>
      <c r="AC36" s="31"/>
      <c r="AD36" s="68"/>
      <c r="AE36" s="34"/>
      <c r="AF36" s="36"/>
      <c r="AG36" s="36"/>
      <c r="AH36" s="36"/>
      <c r="AI36" s="36"/>
      <c r="AJ36" s="62"/>
      <c r="AK36" s="36"/>
      <c r="AL36" s="66"/>
      <c r="AM36" s="66"/>
      <c r="AN36" s="66"/>
      <c r="AO36" s="67"/>
      <c r="AP36" s="67"/>
      <c r="AQ36" s="67"/>
      <c r="AR36" s="40"/>
      <c r="AS36" s="40"/>
      <c r="AT36" s="40"/>
      <c r="AU36" s="40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101"/>
      <c r="BJ36" s="103"/>
      <c r="BK36" s="101"/>
      <c r="BL36" s="102"/>
      <c r="BM36" s="102"/>
      <c r="BN36" s="103"/>
      <c r="BO36" s="94"/>
      <c r="BP36" s="94"/>
      <c r="BQ36" s="104"/>
      <c r="BR36" s="105"/>
      <c r="BS36" s="100"/>
    </row>
    <row r="37">
      <c r="B37" t="s" s="111">
        <v>495</v>
      </c>
      <c r="C37" s="115"/>
      <c r="D37" s="116"/>
      <c r="E37" s="117"/>
      <c r="F37" s="118"/>
      <c r="G37" s="118"/>
      <c r="H37" s="119"/>
      <c r="I37" s="119"/>
      <c r="J37" s="119"/>
      <c r="V37" t="s">
        <v>19</v>
      </c>
      <c r="W37" t="s" s="7">
        <v>38</v>
      </c>
      <c r="X37" t="s" s="7">
        <v>312</v>
      </c>
      <c r="Y37" t="s" s="7">
        <v>93</v>
      </c>
      <c r="Z37" s="6">
        <v>123.64</v>
      </c>
      <c r="AA37" s="32">
        <f>1/$X$80</f>
        <v>0.725689404934688</v>
      </c>
      <c r="AB37" s="23">
        <f>Z37*AA37</f>
        <v>89.72423802612482</v>
      </c>
      <c r="AC37" s="6">
        <v>175.34</v>
      </c>
      <c r="AD37" s="16">
        <f>Z37/AC37</f>
        <v>0.7051442910915935</v>
      </c>
      <c r="AE37" s="12">
        <f>(AX37+IF(BA37&lt;&gt;"",BA37,AY37-AZ37)-BB37)/10^6</f>
        <v>87.636823</v>
      </c>
      <c r="AF37" s="24">
        <f>AB37*AE37</f>
        <v>7863.147166705371</v>
      </c>
      <c r="AG37" s="24">
        <f>(SUM(BC37:BF37)-BG37-BH37)/10^6*BS37</f>
        <v>-278.79</v>
      </c>
      <c r="AH37" s="24">
        <f>AF37+AG37</f>
        <v>7584.357166705371</v>
      </c>
      <c r="AI37" s="24">
        <f>IF(BK37&lt;&gt;"",BK37,BR37*1000)</f>
        <v>7615</v>
      </c>
      <c r="AJ37" s="17">
        <f>AH37/AI37-1</f>
        <v>-0.0040240096250333535</v>
      </c>
      <c r="AK37" s="24">
        <f>(BO37*IF(BQ37&gt;=6,IF(BQ37&lt;=7,BQ37/12,1),1)+BP37*IF(BQ37&gt;=6,IF(BQ37&lt;=7,1-BQ37/12,0),0))/10^6*BS37</f>
        <v>651</v>
      </c>
      <c r="AL37" s="64">
        <f>IF(BN37&lt;&gt;"",AM37/(1+BN37),"n.a.")</f>
        <v>714.6208708708709</v>
      </c>
      <c r="AM37" s="64">
        <f>IF(BI37&lt;&gt;"",BI37,BK37/BL37)</f>
        <v>793.2291666666667</v>
      </c>
      <c r="AN37" s="64">
        <f>IF(BI37&lt;&gt;"",BI37*BJ37,BK37/BM37)</f>
        <v>367.8743961352657</v>
      </c>
      <c r="AO37" s="65">
        <f>IF(ISNUMBER(AL37),AL37/AK37-1,"n.a.")</f>
        <v>0.09772791224404132</v>
      </c>
      <c r="AP37" s="65">
        <f>IF(ISNUMBER(AL37),AM37/AL37-1,"n.a.")</f>
        <v>0.1100000000000001</v>
      </c>
      <c r="AQ37" s="65">
        <f>AN37/AM37</f>
        <v>0.463768115942029</v>
      </c>
      <c r="AR37" s="39">
        <f>IF(ISNUMBER(AL37),AH37/AL37,"n.a.")</f>
        <v>10.613120153435643</v>
      </c>
      <c r="AS37" s="39">
        <f>AH37/AM37</f>
        <v>9.561369507599679</v>
      </c>
      <c r="AT37" t="s" s="39">
        <v>452</v>
      </c>
      <c r="AU37" s="39">
        <f>AH37/AN37</f>
        <v>20.61670300076181</v>
      </c>
      <c r="AX37" s="93">
        <v>85986823</v>
      </c>
      <c r="AY37" s="93">
        <v>87610000</v>
      </c>
      <c r="AZ37" s="93">
        <v>85960000</v>
      </c>
      <c r="BA37" s="94"/>
      <c r="BB37" s="94"/>
      <c r="BC37" s="94"/>
      <c r="BD37" s="94"/>
      <c r="BE37" s="94"/>
      <c r="BF37" s="94"/>
      <c r="BG37" s="93">
        <v>278790000</v>
      </c>
      <c r="BH37" s="94"/>
      <c r="BI37" s="101"/>
      <c r="BJ37" s="103"/>
      <c r="BK37" s="95">
        <v>7615</v>
      </c>
      <c r="BL37" s="97">
        <v>9.6</v>
      </c>
      <c r="BM37" s="97">
        <v>20.7</v>
      </c>
      <c r="BN37" s="96">
        <v>0.11</v>
      </c>
      <c r="BO37" s="93">
        <v>651000000</v>
      </c>
      <c r="BP37" s="94"/>
      <c r="BQ37" s="98">
        <v>1</v>
      </c>
      <c r="BR37" s="105"/>
      <c r="BS37" s="100">
        <f>1</f>
        <v>1</v>
      </c>
    </row>
    <row r="38">
      <c r="B38" t="s" s="112">
        <v>228</v>
      </c>
      <c r="C38" s="125"/>
      <c r="D38" s="126">
        <f>AD45</f>
        <v>0.7065783922600868</v>
      </c>
      <c r="E38" s="127"/>
      <c r="F38" s="128">
        <f>AP45</f>
        <v>0.1200000000000001</v>
      </c>
      <c r="G38" s="128">
        <f>AQ45</f>
        <v>0.28490520446096657</v>
      </c>
      <c r="H38" s="129">
        <f>AR45</f>
        <v>8.462247409589361</v>
      </c>
      <c r="I38" s="129">
        <f>AS45</f>
        <v>7.398220163236324</v>
      </c>
      <c r="J38" s="129">
        <f>AU45</f>
        <v>22.069452069390987</v>
      </c>
      <c r="V38" t="s">
        <v>17</v>
      </c>
      <c r="W38" t="s" s="7">
        <v>36</v>
      </c>
      <c r="X38" t="s" s="7">
        <v>312</v>
      </c>
      <c r="Y38" t="s" s="7">
        <v>93</v>
      </c>
      <c r="Z38" s="6">
        <v>300.08</v>
      </c>
      <c r="AA38" s="32">
        <f>1</f>
        <v>1</v>
      </c>
      <c r="AB38" s="23">
        <f>Z38*AA38</f>
        <v>300.08</v>
      </c>
      <c r="AC38" s="20">
        <v>326.79</v>
      </c>
      <c r="AD38" s="16">
        <f>Z38/AC38</f>
        <v>0.9182655528014932</v>
      </c>
      <c r="AE38" s="12">
        <f>(AX38+IF(BA38&lt;&gt;"",BA38,AY38-AZ38)-BB38)/10^6</f>
        <v>214</v>
      </c>
      <c r="AF38" s="24">
        <f>AB38*AE38</f>
        <v>64217.119999999995</v>
      </c>
      <c r="AG38" s="24">
        <f>(SUM(BC38:BF38)-BG38-BH38)/10^6*BS38</f>
        <v>193</v>
      </c>
      <c r="AH38" s="24">
        <f>AF38+AG38</f>
        <v>64410.119999999995</v>
      </c>
      <c r="AI38" s="24">
        <f>IF(BK38&lt;&gt;"",BK38,BR38*1000)</f>
        <v>67420</v>
      </c>
      <c r="AJ38" s="17">
        <f>AH38/AI38-1</f>
        <v>-0.044643725897359876</v>
      </c>
      <c r="AK38" s="24">
        <f>(BO38*IF(BQ38&gt;=6,IF(BQ38&lt;=7,BQ38/12,1),1)+BP38*IF(BQ38&gt;=6,IF(BQ38&lt;=7,1-BQ38/12,0),0))/10^6*BS38</f>
        <v>6131</v>
      </c>
      <c r="AL38" s="64">
        <f>IF(BN38&lt;&gt;"",AM38/(1+BN38),"n.a.")</f>
        <v>7062.644039388225</v>
      </c>
      <c r="AM38" s="64">
        <f>IF(BI38&lt;&gt;"",BI38,BK38/BL38)</f>
        <v>7839.53488372093</v>
      </c>
      <c r="AN38" s="64">
        <f>IF(BI38&lt;&gt;"",BI38*BJ38,BK38/BM38)</f>
        <v>3150.4672897196265</v>
      </c>
      <c r="AO38" s="65">
        <f>IF(ISNUMBER(AL38),AL38/AK38-1,"n.a.")</f>
        <v>0.15195629414259093</v>
      </c>
      <c r="AP38" s="65">
        <f>IF(ISNUMBER(AL38),AM38/AL38-1,"n.a.")</f>
        <v>0.1100000000000001</v>
      </c>
      <c r="AQ38" s="65">
        <f>AN38/AM38</f>
        <v>0.4018691588785047</v>
      </c>
      <c r="AR38" s="39">
        <f>IF(ISNUMBER(AL38),AH38/AL38,"n.a.")</f>
        <v>9.119830992583804</v>
      </c>
      <c r="AS38" s="39">
        <f>AH38/AM38</f>
        <v>8.216063957282705</v>
      </c>
      <c r="AT38" t="s" s="39">
        <v>452</v>
      </c>
      <c r="AU38" s="39">
        <f>AH38/AN38</f>
        <v>20.444624265796495</v>
      </c>
      <c r="AX38" s="93">
        <v>212000000</v>
      </c>
      <c r="AY38" s="93">
        <v>215000000</v>
      </c>
      <c r="AZ38" s="93">
        <v>213000000</v>
      </c>
      <c r="BA38" s="94"/>
      <c r="BB38" s="94"/>
      <c r="BC38" s="94"/>
      <c r="BD38" s="94"/>
      <c r="BE38" s="93">
        <v>2482000000</v>
      </c>
      <c r="BF38" s="94"/>
      <c r="BG38" s="93">
        <v>1989000000</v>
      </c>
      <c r="BH38" s="93">
        <v>300000000</v>
      </c>
      <c r="BI38" s="101"/>
      <c r="BJ38" s="103"/>
      <c r="BK38" s="95">
        <v>67420</v>
      </c>
      <c r="BL38" s="97">
        <v>8.6</v>
      </c>
      <c r="BM38" s="97">
        <v>21.4</v>
      </c>
      <c r="BN38" s="96">
        <v>0.11</v>
      </c>
      <c r="BO38" s="93">
        <v>6131000000</v>
      </c>
      <c r="BP38" s="94"/>
      <c r="BQ38" s="98">
        <v>1</v>
      </c>
      <c r="BR38" s="105"/>
      <c r="BS38" s="100">
        <f>1</f>
        <v>1</v>
      </c>
    </row>
    <row r="39">
      <c r="B39" t="s" s="108">
        <v>234</v>
      </c>
      <c r="C39" s="130"/>
      <c r="D39" s="131">
        <f>AD46</f>
        <v>0.6609365990367113</v>
      </c>
      <c r="E39" s="132"/>
      <c r="F39" s="133">
        <f>AP46</f>
        <v>0.10000000000000009</v>
      </c>
      <c r="G39" s="133">
        <f>AQ46</f>
        <v>0.25575000000000003</v>
      </c>
      <c r="H39" s="134">
        <f>AR46</f>
        <v>6.112116043264605</v>
      </c>
      <c r="I39" s="134">
        <f>AS46</f>
        <v>5.296224174371985</v>
      </c>
      <c r="J39" s="134">
        <f>AU46</f>
        <v>19.425766091672358</v>
      </c>
      <c r="V39" t="s">
        <v>18</v>
      </c>
      <c r="W39" t="s" s="7">
        <v>37</v>
      </c>
      <c r="X39" t="s" s="7">
        <v>312</v>
      </c>
      <c r="Y39" t="s" s="7">
        <v>93</v>
      </c>
      <c r="Z39" s="6">
        <v>161.07</v>
      </c>
      <c r="AA39" s="32">
        <f>1</f>
        <v>1</v>
      </c>
      <c r="AB39" s="23">
        <f>Z39*AA39</f>
        <v>161.07</v>
      </c>
      <c r="AC39" s="20">
        <v>322.94</v>
      </c>
      <c r="AD39" s="16">
        <f>Z39/AC39</f>
        <v>0.49876137982287727</v>
      </c>
      <c r="AE39" s="12">
        <f>(AX39+IF(BA39&lt;&gt;"",BA39,AY39-AZ39)-BB39)/10^6</f>
        <v>263.111098</v>
      </c>
      <c r="AF39" s="24">
        <f>AB39*AE39</f>
        <v>42379.304554860006</v>
      </c>
      <c r="AG39" s="24">
        <f>(SUM(BC39:BF39)-BG39-BH39)/10^6*BS39</f>
        <v>-1790.257</v>
      </c>
      <c r="AH39" s="24">
        <f>AF39+AG39</f>
        <v>40589.04755486001</v>
      </c>
      <c r="AI39" s="24">
        <f>IF(BK39&lt;&gt;"",BK39,BR39*1000)</f>
        <v>44420</v>
      </c>
      <c r="AJ39" s="17">
        <f>AH39/AI39-1</f>
        <v>-0.08624386414092733</v>
      </c>
      <c r="AK39" s="24">
        <f>(BO39*IF(BQ39&gt;=6,IF(BQ39&lt;=7,BQ39/12,1),1)+BP39*IF(BQ39&gt;=6,IF(BQ39&lt;=7,1-BQ39/12,0),0))/10^6*BS39</f>
        <v>4786.9535</v>
      </c>
      <c r="AL39" s="64">
        <f>IF(BN39&lt;&gt;"",AM39/(1+BN39),"n.a.")</f>
        <v>5783.854166666667</v>
      </c>
      <c r="AM39" s="64">
        <f>IF(BI39&lt;&gt;"",BI39,BK39/BL39)</f>
        <v>6940.625</v>
      </c>
      <c r="AN39" s="64">
        <f>IF(BI39&lt;&gt;"",BI39*BJ39,BK39/BM39)</f>
        <v>1843.1535269709543</v>
      </c>
      <c r="AO39" s="65">
        <f>IF(ISNUMBER(AL39),AL39/AK39-1,"n.a.")</f>
        <v>0.2082536767208345</v>
      </c>
      <c r="AP39" s="65">
        <f>IF(ISNUMBER(AL39),AM39/AL39-1,"n.a.")</f>
        <v>0.19999999999999996</v>
      </c>
      <c r="AQ39" s="65">
        <f>AN39/AM39</f>
        <v>0.26556016597510373</v>
      </c>
      <c r="AR39" s="39">
        <f>IF(ISNUMBER(AL39),AH39/AL39,"n.a.")</f>
        <v>7.017647123397678</v>
      </c>
      <c r="AS39" s="39">
        <f>AH39/AM39</f>
        <v>5.848039269498065</v>
      </c>
      <c r="AT39" t="s" s="39">
        <v>452</v>
      </c>
      <c r="AU39" s="39">
        <f>AH39/AN39</f>
        <v>22.02152287420365</v>
      </c>
      <c r="AX39" s="93">
        <v>263111098</v>
      </c>
      <c r="AY39" s="93">
        <v>262991000</v>
      </c>
      <c r="AZ39" s="93">
        <v>262991000</v>
      </c>
      <c r="BA39" s="94"/>
      <c r="BB39" s="94"/>
      <c r="BC39" s="94"/>
      <c r="BD39" s="94"/>
      <c r="BE39" s="93">
        <v>988143000</v>
      </c>
      <c r="BF39" s="94"/>
      <c r="BG39" s="93">
        <v>2322360000</v>
      </c>
      <c r="BH39" s="93">
        <v>456040000</v>
      </c>
      <c r="BI39" s="101"/>
      <c r="BJ39" s="103"/>
      <c r="BK39" s="95">
        <v>44420</v>
      </c>
      <c r="BL39" s="97">
        <v>6.4</v>
      </c>
      <c r="BM39" s="97">
        <v>24.1</v>
      </c>
      <c r="BN39" s="96">
        <v>0.2</v>
      </c>
      <c r="BO39" s="93">
        <v>4358603000</v>
      </c>
      <c r="BP39" s="93">
        <v>5215304000</v>
      </c>
      <c r="BQ39" s="98">
        <v>6</v>
      </c>
      <c r="BR39" s="105"/>
      <c r="BS39" s="100">
        <f>1</f>
        <v>1</v>
      </c>
    </row>
    <row r="40">
      <c r="B40" t="s" s="108">
        <v>233</v>
      </c>
      <c r="C40" s="130"/>
      <c r="D40" s="131">
        <f>AD47</f>
        <v>0.7359945375636038</v>
      </c>
      <c r="E40" s="132"/>
      <c r="F40" s="133">
        <f>AP47</f>
        <v>0.16999999999999993</v>
      </c>
      <c r="G40" s="133">
        <f>AQ47</f>
        <v>0.3922090440467709</v>
      </c>
      <c r="H40" s="134">
        <f>AR47</f>
        <v>9.119830992583804</v>
      </c>
      <c r="I40" s="134">
        <f>AS47</f>
        <v>8.123546965273066</v>
      </c>
      <c r="J40" s="134">
        <f>AU47</f>
        <v>26.51905971459709</v>
      </c>
      <c r="V40" t="s" s="9">
        <v>228</v>
      </c>
      <c r="W40" s="9"/>
      <c r="X40" s="9"/>
      <c r="Y40" s="9"/>
      <c r="Z40" s="9"/>
      <c r="AA40" s="9"/>
      <c r="AB40" s="9"/>
      <c r="AC40" s="9"/>
      <c r="AD40" s="83">
        <f>MEDIAN(AD37:AD39)</f>
        <v>0.7051442910915935</v>
      </c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84">
        <f>MEDIAN(AO37:AO39)</f>
        <v>0.15195629414259093</v>
      </c>
      <c r="AP40" s="84">
        <f>MEDIAN(AP37:AP39)</f>
        <v>0.1100000000000001</v>
      </c>
      <c r="AQ40" s="84">
        <f>MEDIAN(AQ37:AQ39)</f>
        <v>0.4018691588785047</v>
      </c>
      <c r="AR40" s="61">
        <f>MEDIAN(AR37:AR39)</f>
        <v>9.119830992583804</v>
      </c>
      <c r="AS40" s="61">
        <f>MEDIAN(AS37:AS39)</f>
        <v>8.216063957282705</v>
      </c>
      <c r="AT40" s="61"/>
      <c r="AU40" s="61">
        <f>MEDIAN(AU37:AU39)</f>
        <v>20.61670300076181</v>
      </c>
    </row>
    <row r="41">
      <c r="B41" t="s" s="111">
        <v>302</v>
      </c>
      <c r="C41" s="115"/>
      <c r="D41" s="116"/>
      <c r="E41" s="117"/>
      <c r="F41" s="118"/>
      <c r="G41" s="118"/>
      <c r="H41" s="119"/>
      <c r="I41" s="119"/>
      <c r="J41" s="119"/>
      <c r="V41" t="s">
        <v>234</v>
      </c>
      <c r="AD41" s="16">
        <f>_xlfn.QUARTILE.INC(AD37:AD39,1)</f>
        <v>0.6019528354572354</v>
      </c>
      <c r="AO41" s="17">
        <f>_xlfn.QUARTILE.INC(AO37:AO39,1)</f>
        <v>0.12484210319331612</v>
      </c>
      <c r="AP41" s="17">
        <f>_xlfn.QUARTILE.INC(AP37:AP39,1)</f>
        <v>0.1100000000000001</v>
      </c>
      <c r="AQ41" s="17">
        <f>_xlfn.QUARTILE.INC(AQ37:AQ39,1)</f>
        <v>0.33371466242680425</v>
      </c>
      <c r="AR41" s="15">
        <f>_xlfn.QUARTILE.INC(AR37:AR39,1)</f>
        <v>8.06873905799074</v>
      </c>
      <c r="AS41" s="15">
        <f>_xlfn.QUARTILE.INC(AS37:AS39,1)</f>
        <v>7.032051613390385</v>
      </c>
      <c r="AT41" s="15"/>
      <c r="AU41" s="15">
        <f>_xlfn.QUARTILE.INC(AU37:AU39,1)</f>
        <v>20.530663633279154</v>
      </c>
    </row>
    <row r="42">
      <c r="B42" t="s" s="113">
        <v>496</v>
      </c>
      <c r="C42" s="135">
        <f>AB8</f>
        <v>16.69</v>
      </c>
      <c r="D42" s="136">
        <f>AD8</f>
        <v>0.5102415163558545</v>
      </c>
      <c r="E42" s="137">
        <f>AH8</f>
        <v>5970.832014590001</v>
      </c>
      <c r="F42" s="138">
        <f>AP8</f>
        <v>0.2954856361149112</v>
      </c>
      <c r="G42" s="138">
        <f>AQ8</f>
        <v>0.35163674762407604</v>
      </c>
      <c r="H42" s="139">
        <f>AR8</f>
        <v>8.168032851696307</v>
      </c>
      <c r="I42" s="139">
        <f>AS8</f>
        <v>6.304996847507921</v>
      </c>
      <c r="J42" s="139">
        <f>AU8</f>
        <v>17.930426470240242</v>
      </c>
      <c r="V42" t="s">
        <v>233</v>
      </c>
      <c r="AD42" s="16">
        <f>_xlfn.QUARTILE.INC(AD37:AD39,3)</f>
        <v>0.8117049219465433</v>
      </c>
      <c r="AO42" s="17">
        <f>_xlfn.QUARTILE.INC(AO37:AO39,3)</f>
        <v>0.18010498543171272</v>
      </c>
      <c r="AP42" s="17">
        <f>_xlfn.QUARTILE.INC(AP37:AP39,3)</f>
        <v>0.15500000000000003</v>
      </c>
      <c r="AQ42" s="17">
        <f>_xlfn.QUARTILE.INC(AQ37:AQ39,3)</f>
        <v>0.4328186374102668</v>
      </c>
      <c r="AR42" s="15">
        <f>_xlfn.QUARTILE.INC(AR37:AR39,3)</f>
        <v>9.866475573009723</v>
      </c>
      <c r="AS42" s="15">
        <f>_xlfn.QUARTILE.INC(AS37:AS39,3)</f>
        <v>8.888716732441193</v>
      </c>
      <c r="AT42" s="15"/>
      <c r="AU42" s="15">
        <f>_xlfn.QUARTILE.INC(AU37:AU39,3)</f>
        <v>21.31911293748273</v>
      </c>
    </row>
    <row r="43">
      <c r="B43" t="s" s="114">
        <v>497</v>
      </c>
      <c r="C43" s="140">
        <f>AB9</f>
        <v>24.55</v>
      </c>
      <c r="D43" s="141">
        <f>AD9</f>
        <v>0.7505350045857536</v>
      </c>
      <c r="E43" s="142">
        <f>AH9</f>
        <v>8433.06593477</v>
      </c>
      <c r="F43" s="143">
        <f>AP9</f>
        <v>0.2954856361149112</v>
      </c>
      <c r="G43" s="143">
        <f>AQ9</f>
        <v>0.35163674762407604</v>
      </c>
      <c r="H43" s="144">
        <f>AR9</f>
        <v>11.536341908030096</v>
      </c>
      <c r="I43" s="144">
        <f>AS9</f>
        <v>8.905032666071806</v>
      </c>
      <c r="J43" s="144">
        <f>AU9</f>
        <v>25.324522326636636</v>
      </c>
      <c r="AD43" s="16"/>
      <c r="AO43" s="17"/>
      <c r="AP43" s="17"/>
      <c r="AQ43" s="17"/>
      <c r="AR43" s="15"/>
      <c r="AS43" s="15"/>
      <c r="AT43" s="15"/>
      <c r="AU43" s="15"/>
    </row>
    <row r="44">
      <c r="B44" s="146"/>
      <c r="C44" s="146"/>
      <c r="D44" s="146"/>
      <c r="E44" s="146"/>
      <c r="F44" s="146"/>
      <c r="G44" s="146"/>
      <c r="H44" s="146"/>
      <c r="I44" s="146"/>
      <c r="J44" s="146"/>
      <c r="V44" t="s" s="18">
        <v>232</v>
      </c>
      <c r="W44" s="18"/>
      <c r="X44" s="18"/>
      <c r="Y44" s="18"/>
      <c r="Z44" s="18"/>
      <c r="AA44" s="18"/>
      <c r="AB44" s="18"/>
      <c r="AC44" s="18"/>
      <c r="AD44" s="69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70"/>
      <c r="AP44" s="70"/>
      <c r="AQ44" s="70"/>
      <c r="AR44" s="37"/>
      <c r="AS44" s="37"/>
      <c r="AT44" s="37"/>
      <c r="AU44" s="37"/>
    </row>
    <row r="45">
      <c r="B45" t="s" s="145">
        <v>535</v>
      </c>
      <c r="C45" s="92"/>
      <c r="D45" s="92"/>
      <c r="E45" s="92"/>
      <c r="F45" s="92"/>
      <c r="G45" s="92"/>
      <c r="H45" s="92"/>
      <c r="I45" s="92"/>
      <c r="J45" s="92"/>
      <c r="V45" t="s" s="9">
        <v>228</v>
      </c>
      <c r="W45" s="9"/>
      <c r="X45" s="9"/>
      <c r="Y45" s="9"/>
      <c r="Z45" s="9"/>
      <c r="AA45" s="9"/>
      <c r="AB45" s="9"/>
      <c r="AC45" s="9"/>
      <c r="AD45" s="83">
        <f t="array" ref="AD45">MEDIAN(IF(ISNUMBER(AD$12:AD$39)*($W$12:$W$39&lt;&gt;""),AD$12:AD$39))</f>
        <v>0.7065783922600868</v>
      </c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84">
        <f t="array" ref="AO45">MEDIAN(IF(ISNUMBER(AO$12:AO$39)*($W$12:$W$39&lt;&gt;""),AO$12:AO$39))</f>
        <v>0.14393888839853108</v>
      </c>
      <c r="AP45" s="84">
        <f t="array" ref="AP45">MEDIAN(IF(ISNUMBER(AP$12:AP$39)*($W$12:$W$39&lt;&gt;""),AP$12:AP$39))</f>
        <v>0.1200000000000001</v>
      </c>
      <c r="AQ45" s="84">
        <f t="array" ref="AQ45">MEDIAN(IF(ISNUMBER(AQ$12:AQ$39)*($W$12:$W$39&lt;&gt;""),AQ$12:AQ$39))</f>
        <v>0.28490520446096657</v>
      </c>
      <c r="AR45" s="61">
        <f t="array" ref="AR45">MEDIAN(IF(ISNUMBER(AR$12:AR$39)*($W$12:$W$39&lt;&gt;""),AR$12:AR$39))</f>
        <v>8.462247409589361</v>
      </c>
      <c r="AS45" s="61">
        <f t="array" ref="AS45">MEDIAN(IF(ISNUMBER(AS$12:AS$39)*($W$12:$W$39&lt;&gt;""),AS$12:AS$39))</f>
        <v>7.398220163236324</v>
      </c>
      <c r="AT45" s="61"/>
      <c r="AU45" s="61">
        <f t="array" ref="AU45">MEDIAN(IF(ISNUMBER(AU$12:AU$39)*($W$12:$W$39&lt;&gt;""),AU$12:AU$39))</f>
        <v>22.069452069390987</v>
      </c>
    </row>
    <row r="46">
      <c r="V46" t="s">
        <v>234</v>
      </c>
      <c r="AD46" s="16">
        <f t="array" ref="AD46">_xlfn.QUARTILE.INC(IF(ISNUMBER(AD$12:AD$39)*($W$12:$W$39&lt;&gt;""),AD$12:AD$39),1)</f>
        <v>0.6609365990367113</v>
      </c>
      <c r="AO46" s="17">
        <f t="array" ref="AO46">_xlfn.QUARTILE.INC(IF(ISNUMBER(AO$12:AO$39)*($W$12:$W$39&lt;&gt;""),AO$12:AO$39),1)</f>
        <v>0.09772791224404132</v>
      </c>
      <c r="AP46" s="17">
        <f t="array" ref="AP46">_xlfn.QUARTILE.INC(IF(ISNUMBER(AP$12:AP$39)*($W$12:$W$39&lt;&gt;""),AP$12:AP$39),1)</f>
        <v>0.10000000000000009</v>
      </c>
      <c r="AQ46" s="17">
        <f t="array" ref="AQ46">_xlfn.QUARTILE.INC(IF(ISNUMBER(AQ$12:AQ$39)*($W$12:$W$39&lt;&gt;""),AQ$12:AQ$39),1)</f>
        <v>0.25575000000000003</v>
      </c>
      <c r="AR46" s="15">
        <f t="array" ref="AR46">_xlfn.QUARTILE.INC(IF(ISNUMBER(AR$12:AR$39)*($W$12:$W$39&lt;&gt;""),AR$12:AR$39),1)</f>
        <v>6.112116043264605</v>
      </c>
      <c r="AS46" s="15">
        <f t="array" ref="AS46">_xlfn.QUARTILE.INC(IF(ISNUMBER(AS$12:AS$39)*($W$12:$W$39&lt;&gt;""),AS$12:AS$39),1)</f>
        <v>5.296224174371985</v>
      </c>
      <c r="AT46" s="15"/>
      <c r="AU46" s="15">
        <f t="array" ref="AU46">_xlfn.QUARTILE.INC(IF(ISNUMBER(AU$12:AU$39)*($W$12:$W$39&lt;&gt;""),AU$12:AU$39),1)</f>
        <v>19.425766091672358</v>
      </c>
    </row>
    <row r="47">
      <c r="V47" t="s">
        <v>233</v>
      </c>
      <c r="AD47" s="16">
        <f t="array" ref="AD47">_xlfn.QUARTILE.INC(IF(ISNUMBER(AD$12:AD$39)*($W$12:$W$39&lt;&gt;""),AD$12:AD$39),3)</f>
        <v>0.7359945375636038</v>
      </c>
      <c r="AO47" s="17">
        <f t="array" ref="AO47">_xlfn.QUARTILE.INC(IF(ISNUMBER(AO$12:AO$39)*($W$12:$W$39&lt;&gt;""),AO$12:AO$39),3)</f>
        <v>0.19382171440054163</v>
      </c>
      <c r="AP47" s="17">
        <f t="array" ref="AP47">_xlfn.QUARTILE.INC(IF(ISNUMBER(AP$12:AP$39)*($W$12:$W$39&lt;&gt;""),AP$12:AP$39),3)</f>
        <v>0.16999999999999993</v>
      </c>
      <c r="AQ47" s="17">
        <f t="array" ref="AQ47">_xlfn.QUARTILE.INC(IF(ISNUMBER(AQ$12:AQ$39)*($W$12:$W$39&lt;&gt;""),AQ$12:AQ$39),3)</f>
        <v>0.3922090440467709</v>
      </c>
      <c r="AR47" s="15">
        <f t="array" ref="AR47">_xlfn.QUARTILE.INC(IF(ISNUMBER(AR$12:AR$39)*($W$12:$W$39&lt;&gt;""),AR$12:AR$39),3)</f>
        <v>9.119830992583804</v>
      </c>
      <c r="AS47" s="15">
        <f t="array" ref="AS47">_xlfn.QUARTILE.INC(IF(ISNUMBER(AS$12:AS$39)*($W$12:$W$39&lt;&gt;""),AS$12:AS$39),3)</f>
        <v>8.123546965273066</v>
      </c>
      <c r="AT47" s="15"/>
      <c r="AU47" s="15">
        <f t="array" ref="AU47">_xlfn.QUARTILE.INC(IF(ISNUMBER(AU$12:AU$39)*($W$12:$W$39&lt;&gt;""),AU$12:AU$39),3)</f>
        <v>26.51905971459709</v>
      </c>
    </row>
    <row r="48">
      <c r="B48" t="s" s="148">
        <v>502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V48" t="s" s="58">
        <v>536</v>
      </c>
      <c r="W48" s="58"/>
      <c r="X48" s="58"/>
      <c r="Y48" s="58"/>
      <c r="Z48" s="58"/>
      <c r="AA48" s="58"/>
      <c r="AB48" s="58"/>
      <c r="AC48" s="58"/>
      <c r="AD48" s="87">
        <f t="array" ref="AD48">MEDIAN(IF(ISNUMBER(AD$12:AD$39)*(($X$12:$X$39="FS")+($X$12:$X$39="Other")),AD$12:AD$39))</f>
        <v>0.7080124934285802</v>
      </c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88">
        <f t="array" ref="AO48">MEDIAN(IF(ISNUMBER(AO$12:AO$39)*(($X$12:$X$39="FS")+($X$12:$X$39="Other")),AO$12:AO$39))</f>
        <v>0.13801662109906443</v>
      </c>
      <c r="AP48" s="88">
        <f t="array" ref="AP48">MEDIAN(IF(ISNUMBER(AP$12:AP$39)*(($X$12:$X$39="FS")+($X$12:$X$39="Other")),AP$12:AP$39))</f>
        <v>0.1100000000000001</v>
      </c>
      <c r="AQ48" s="88">
        <f t="array" ref="AQ48">MEDIAN(IF(ISNUMBER(AQ$12:AQ$39)*(($X$12:$X$39="FS")+($X$12:$X$39="Other")),AQ$12:AQ$39))</f>
        <v>0.258</v>
      </c>
      <c r="AR48" s="89">
        <f t="array" ref="AR48">MEDIAN(IF(ISNUMBER(AR$12:AR$39)*(($X$12:$X$39="FS")+($X$12:$X$39="Other")),AR$12:AR$39))</f>
        <v>6.294913379763254</v>
      </c>
      <c r="AS48" s="89">
        <f t="array" ref="AS48">MEDIAN(IF(ISNUMBER(AS$12:AS$39)*(($X$12:$X$39="FS")+($X$12:$X$39="Other")),AS$12:AS$39))</f>
        <v>5.55646913024055</v>
      </c>
      <c r="AT48" s="89"/>
      <c r="AU48" s="89">
        <f t="array" ref="AU48">MEDIAN(IF(ISNUMBER(AU$12:AU$39)*(($X$12:$X$39="FS")+($X$12:$X$39="Other")),AU$12:AU$39))</f>
        <v>21.536702055195928</v>
      </c>
    </row>
    <row r="49">
      <c r="B49" t="s" s="108">
        <v>503</v>
      </c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V49" t="s">
        <v>537</v>
      </c>
      <c r="AD49" s="16">
        <f t="array" ref="AD49">MEDIAN(IF(ISNUMBER(AD$12:AD$39)*(($Y$12:$Y$39="Vertical")+($Y$12:$Y$39="Other")),AD$12:AD$39))</f>
        <v>0.7259757388129437</v>
      </c>
      <c r="AO49" s="17">
        <f t="array" ref="AO49">MEDIAN(IF(ISNUMBER(AO$12:AO$39)*(($Y$12:$Y$39="Vertical")+($Y$12:$Y$39="Other")),AO$12:AO$39))</f>
        <v>0.16519385536069342</v>
      </c>
      <c r="AP49" s="17">
        <f t="array" ref="AP49">MEDIAN(IF(ISNUMBER(AP$12:AP$39)*(($Y$12:$Y$39="Vertical")+($Y$12:$Y$39="Other")),AP$12:AP$39))</f>
        <v>0.125</v>
      </c>
      <c r="AQ49" s="17">
        <f t="array" ref="AQ49">MEDIAN(IF(ISNUMBER(AQ$12:AQ$39)*(($Y$12:$Y$39="Vertical")+($Y$12:$Y$39="Other")),AQ$12:AQ$39))</f>
        <v>0.3349173228346456</v>
      </c>
      <c r="AR49" s="15">
        <f t="array" ref="AR49">MEDIAN(IF(ISNUMBER(AR$12:AR$39)*(($Y$12:$Y$39="Vertical")+($Y$12:$Y$39="Other")),AR$12:AR$39))</f>
        <v>9.09665391566587</v>
      </c>
      <c r="AS49" s="15">
        <f t="array" ref="AS49">MEDIAN(IF(ISNUMBER(AS$12:AS$39)*(($Y$12:$Y$39="Vertical")+($Y$12:$Y$39="Other")),AS$12:AS$39))</f>
        <v>8.093587188255054</v>
      </c>
      <c r="AT49" s="15"/>
      <c r="AU49" s="15">
        <f t="array" ref="AU49">MEDIAN(IF(ISNUMBER(AU$12:AU$39)*(($Y$12:$Y$39="Vertical")+($Y$12:$Y$39="Other")),AU$12:AU$39))</f>
        <v>23.6866827819351</v>
      </c>
    </row>
    <row r="50">
      <c r="B50" s="92"/>
      <c r="C50" s="92"/>
      <c r="D50" s="92"/>
      <c r="E50" s="92"/>
      <c r="F50" s="92"/>
      <c r="G50" t="s" s="90">
        <v>518</v>
      </c>
      <c r="H50" s="90"/>
      <c r="I50" s="90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</row>
    <row r="51">
      <c r="B51" t="s" s="151">
        <v>1</v>
      </c>
      <c r="C51" t="s" s="150">
        <v>499</v>
      </c>
      <c r="D51" t="s" s="150">
        <v>500</v>
      </c>
      <c r="E51" t="s" s="150">
        <v>245</v>
      </c>
      <c r="F51" t="s" s="150">
        <v>443</v>
      </c>
      <c r="G51" t="s" s="150">
        <v>250</v>
      </c>
      <c r="H51" t="s" s="150">
        <v>61</v>
      </c>
      <c r="I51" t="s" s="150">
        <v>213</v>
      </c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V51" t="s" s="18">
        <v>413</v>
      </c>
      <c r="W51" s="18"/>
      <c r="X51" t="s" s="19">
        <v>348</v>
      </c>
      <c r="Y51" s="19"/>
      <c r="Z51" t="s" s="19">
        <v>433</v>
      </c>
      <c r="AA51" t="s" s="19">
        <v>434</v>
      </c>
      <c r="AB51" t="s" s="19">
        <v>435</v>
      </c>
      <c r="AC51" t="s" s="19">
        <v>437</v>
      </c>
      <c r="AD51" t="s" s="19">
        <v>439</v>
      </c>
      <c r="AE51" t="s" s="19">
        <v>441</v>
      </c>
      <c r="AF51" t="s" s="19">
        <v>442</v>
      </c>
    </row>
    <row r="52">
      <c r="B52" t="s" s="111">
        <v>492</v>
      </c>
      <c r="C52" s="111"/>
      <c r="D52" s="111"/>
      <c r="E52" s="111"/>
      <c r="F52" s="111"/>
      <c r="G52" s="111"/>
      <c r="H52" s="111"/>
      <c r="I52" s="111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V52" t="s">
        <v>414</v>
      </c>
      <c r="X52" s="24">
        <f>$X$75</f>
        <v>730</v>
      </c>
      <c r="Z52" s="15">
        <f>AR46</f>
        <v>6.112116043264605</v>
      </c>
      <c r="AA52" s="15">
        <f>AR45</f>
        <v>8.462247409589361</v>
      </c>
      <c r="AB52" s="15">
        <f>AR47</f>
        <v>9.119830992583804</v>
      </c>
      <c r="AC52" s="23">
        <f>(Z52*X52-$X$67+$X$68+$X$69+$X$64/10^6*$X$65-$X$66)/(($X$60+$X$61+$X$62+$X$63+$X$64)/10^6)</f>
        <v>11.872975872265345</v>
      </c>
      <c r="AD52" s="23">
        <f>(AA52*X52-$X$67+$X$68+$X$69+$X$64/10^6*$X$65-$X$66)/(($X$60+$X$61+$X$62+$X$63+$X$64)/10^6)</f>
        <v>17.349540727936088</v>
      </c>
      <c r="AE52" s="23">
        <f>(AB52*X52-$X$67+$X$68+$X$69+$X$64/10^6*$X$65-$X$66)/(($X$60+$X$61+$X$62+$X$63+$X$64)/10^6)</f>
        <v>18.881922786188976</v>
      </c>
      <c r="AF52" s="17">
        <f>$X$58/AD52-1</f>
        <v>0.4150230478706445</v>
      </c>
    </row>
    <row r="53">
      <c r="B53" t="str" s="92">
        <f>B110</f>
        <v>Guidewire Software</v>
      </c>
      <c r="C53" s="153">
        <f>C110*D110</f>
        <v>217.77</v>
      </c>
      <c r="D53" s="154">
        <f>C110/E110</f>
        <v>0.8315640751489233</v>
      </c>
      <c r="E53" s="155">
        <f>(G110+IF(K110&lt;&gt;"",K110,I110-J110)-L110)/10^6</f>
        <v>86.431347</v>
      </c>
      <c r="F53" s="156">
        <f>(SUM(M110:P110)-Q110-R110)/10^6*1</f>
        <v>-474.875</v>
      </c>
      <c r="G53" s="156">
        <f>C53*E53+F53</f>
        <v>18347.27943619</v>
      </c>
      <c r="H53" s="157">
        <f>G53/AM12</f>
        <v>12.239679410400267</v>
      </c>
      <c r="I53" s="157">
        <f>G53/AN12</f>
        <v>35.272851326801934</v>
      </c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V53" t="s">
        <v>329</v>
      </c>
      <c r="X53" s="24">
        <f>$X$77</f>
        <v>940</v>
      </c>
      <c r="Z53" s="15">
        <f>AS46</f>
        <v>5.296224174371985</v>
      </c>
      <c r="AA53" s="15">
        <f>AS45</f>
        <v>7.398220163236324</v>
      </c>
      <c r="AB53" s="15">
        <f>AS47</f>
        <v>8.123546965273066</v>
      </c>
      <c r="AC53" s="23">
        <f>(Z53*X53-$X$67+$X$68+$X$69+$X$64/10^6*$X$65-$X$66)/(($X$60+$X$61+$X$62+$X$63+$X$64)/10^6)</f>
        <v>13.522097518915992</v>
      </c>
      <c r="AD53" s="23">
        <f>(AA53*X53-$X$67+$X$68+$X$69+$X$64/10^6*$X$65-$X$66)/(($X$60+$X$61+$X$62+$X$63+$X$64)/10^6)</f>
        <v>19.829535263494684</v>
      </c>
      <c r="AE53" s="23">
        <f>(AB53*X53-$X$67+$X$68+$X$69+$X$64/10^6*$X$65-$X$66)/(($X$60+$X$61+$X$62+$X$63+$X$64)/10^6)</f>
        <v>22.006015938318825</v>
      </c>
      <c r="AF53" s="17">
        <f>$X$58/AD53-1</f>
        <v>0.23805221220668193</v>
      </c>
    </row>
    <row r="54">
      <c r="B54" t="str" s="92">
        <f>B111</f>
        <v>Intapp</v>
      </c>
      <c r="C54" s="153">
        <f>C111*D111</f>
        <v>40.19</v>
      </c>
      <c r="D54" s="154">
        <f>C111/E111</f>
        <v>0.5423751686909581</v>
      </c>
      <c r="E54" s="155">
        <f>(G111+IF(K111&lt;&gt;"",K111,I111-J111)-L111)/10^6</f>
        <v>81.926481</v>
      </c>
      <c r="F54" s="156">
        <f>(SUM(M111:P111)-Q111-R111)/10^6*1</f>
        <v>-273.437</v>
      </c>
      <c r="G54" s="156">
        <f>C54*E54+F54</f>
        <v>3019.18827139</v>
      </c>
      <c r="H54" s="157">
        <f>G54/AM13</f>
        <v>4.9576162091789815</v>
      </c>
      <c r="I54" s="157">
        <f>G54/AN13</f>
        <v>24.302040241073442</v>
      </c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V54" t="s">
        <v>330</v>
      </c>
      <c r="X54" s="24">
        <f>$X$78</f>
        <v>338</v>
      </c>
      <c r="Z54" s="15">
        <f>AU46</f>
        <v>19.425766091672358</v>
      </c>
      <c r="AA54" s="15">
        <f>AU45</f>
        <v>22.069452069390987</v>
      </c>
      <c r="AB54" s="15">
        <f>AU47</f>
        <v>26.51905971459709</v>
      </c>
      <c r="AC54" s="23">
        <f>(Z54*X54-$X$67+$X$68+$X$69+$X$64/10^6*$X$65-$X$66)/(($X$60+$X$61+$X$62+$X$63+$X$64)/10^6)</f>
        <v>18.58961830491101</v>
      </c>
      <c r="AD54" s="23">
        <f>(AA54*X54-$X$67+$X$68+$X$69+$X$64/10^6*$X$65-$X$66)/(($X$60+$X$61+$X$62+$X$63+$X$64)/10^6)</f>
        <v>21.4420798869414</v>
      </c>
      <c r="AE54" s="23">
        <f>(AB54*X54-$X$67+$X$68+$X$69+$X$64/10^6*$X$65-$X$66)/(($X$60+$X$61+$X$62+$X$63+$X$64)/10^6)</f>
        <v>26.243079313511707</v>
      </c>
      <c r="AF54" s="17">
        <f>$X$58/AD54-1</f>
        <v>0.14494489944286504</v>
      </c>
    </row>
    <row r="55">
      <c r="B55" t="str" s="92">
        <f>B112</f>
        <v>Q2 Holdings</v>
      </c>
      <c r="C55" s="153">
        <f>C112*D112</f>
        <v>73.19</v>
      </c>
      <c r="D55" s="154">
        <f>C112/E112</f>
        <v>0.6602616147947677</v>
      </c>
      <c r="E55" s="155">
        <f>(G112+IF(K112&lt;&gt;"",K112,I112-J112)-L112)/10^6</f>
        <v>65.137005</v>
      </c>
      <c r="F55" s="156">
        <f>(SUM(M112:P112)-Q112-R112)/10^6*1</f>
        <v>21.54</v>
      </c>
      <c r="G55" s="156">
        <f>C55*E55+F55</f>
        <v>4788.91739595</v>
      </c>
      <c r="H55" s="157">
        <f>G55/AM14</f>
        <v>5.485586936941581</v>
      </c>
      <c r="I55" s="157">
        <f>G55/AN14</f>
        <v>21.261964871866592</v>
      </c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</row>
    <row r="56">
      <c r="B56" t="str" s="92">
        <f>B113</f>
        <v>CCC Intelligent Solutions</v>
      </c>
      <c r="C56" s="153">
        <f>C113*D113</f>
        <v>7.49</v>
      </c>
      <c r="D56" s="154">
        <f>C113/E113</f>
        <v>0.5874509803921569</v>
      </c>
      <c r="E56" s="155">
        <f>(G113+IF(K113&lt;&gt;"",K113,I113-J113)-L113)/10^6</f>
        <v>642.019656</v>
      </c>
      <c r="F56" s="156">
        <f>(SUM(M113:P113)-Q113-R113)/10^6*1</f>
        <v>908.523</v>
      </c>
      <c r="G56" s="156">
        <f>C56*E56+F56</f>
        <v>5717.250223440001</v>
      </c>
      <c r="H56" s="157">
        <f>G56/AM15</f>
        <v>4.980183121463416</v>
      </c>
      <c r="I56" s="157">
        <f>G56/AN15</f>
        <v>12.117233872173761</v>
      </c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V56" t="s" s="18">
        <v>415</v>
      </c>
      <c r="W56" s="18"/>
      <c r="X56" s="18"/>
    </row>
    <row r="57">
      <c r="B57" t="str" s="92">
        <f>B114</f>
        <v>nCino</v>
      </c>
      <c r="C57" s="153">
        <f>C114*D114</f>
        <v>26.21</v>
      </c>
      <c r="D57" s="154">
        <f>C114/E114</f>
        <v>0.6146810506566605</v>
      </c>
      <c r="E57" s="155">
        <f>(G114+IF(K114&lt;&gt;"",K114,I114-J114)-L114)/10^6</f>
        <v>115.81472</v>
      </c>
      <c r="F57" s="156">
        <f>(SUM(M114:P114)-Q114-R114)/10^6*1</f>
        <v>90.91</v>
      </c>
      <c r="G57" s="156">
        <f>C57*E57+F57</f>
        <v>3126.4138111999996</v>
      </c>
      <c r="H57" s="157">
        <f>G57/AM16</f>
        <v>4.892666371205007</v>
      </c>
      <c r="I57" s="157">
        <f>G57/AN16</f>
        <v>19.18692694590199</v>
      </c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V57" t="s">
        <v>416</v>
      </c>
      <c r="X57" s="20">
        <v>16.69</v>
      </c>
    </row>
    <row r="58">
      <c r="B58" t="str" s="92">
        <f>B115</f>
        <v>Alkami Technology</v>
      </c>
      <c r="C58" s="153">
        <f>C115*D115</f>
        <v>19.69</v>
      </c>
      <c r="D58" s="154">
        <f>C115/E115</f>
        <v>0.466366650876362</v>
      </c>
      <c r="E58" s="155">
        <f>(G115+IF(K115&lt;&gt;"",K115,I115-J115)-L115)/10^6</f>
        <v>105.004011</v>
      </c>
      <c r="F58" s="156">
        <f>(SUM(M115:P115)-Q115-R115)/10^6*1</f>
        <v>269.805</v>
      </c>
      <c r="G58" s="156">
        <f>C58*E58+F58</f>
        <v>2337.33397659</v>
      </c>
      <c r="H58" s="157">
        <f>G58/AM17</f>
        <v>4.249698139254545</v>
      </c>
      <c r="I58" s="157">
        <f>G58/AN17</f>
        <v>22.48517533997114</v>
      </c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V58" t="s">
        <v>417</v>
      </c>
      <c r="X58" s="20">
        <v>24.55</v>
      </c>
    </row>
    <row r="59">
      <c r="B59" t="str" s="92">
        <f>B116</f>
        <v>SS&amp;C Technologies</v>
      </c>
      <c r="C59" s="153">
        <f>C116*D116</f>
        <v>84.89</v>
      </c>
      <c r="D59" s="154">
        <f>C116/E116</f>
        <v>0.9411308203991131</v>
      </c>
      <c r="E59" s="155">
        <f>(G116+IF(K116&lt;&gt;"",K116,I116-J116)-L116)/10^6</f>
        <v>252.827403</v>
      </c>
      <c r="F59" s="156">
        <f>(SUM(M116:P116)-Q116-R116)/10^6*1</f>
        <v>6258.1</v>
      </c>
      <c r="G59" s="156">
        <f>C59*E59+F59</f>
        <v>27720.618240670003</v>
      </c>
      <c r="H59" s="157">
        <f>G59/AM18</f>
        <v>4.184875942130133</v>
      </c>
      <c r="I59" s="157">
        <f>G59/AN18</f>
        <v>10.410139159527695</v>
      </c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V59" t="s">
        <v>418</v>
      </c>
      <c r="X59" s="20">
        <v>32.71</v>
      </c>
    </row>
    <row r="60">
      <c r="B60" t="s" s="152">
        <v>228</v>
      </c>
      <c r="C60" s="158"/>
      <c r="D60" s="159">
        <f>MEDIAN(D53:D59)</f>
        <v>0.6146810506566605</v>
      </c>
      <c r="E60" s="160"/>
      <c r="F60" s="161"/>
      <c r="G60" s="161"/>
      <c r="H60" s="162">
        <f>MEDIAN(H53:H59)</f>
        <v>4.9576162091789815</v>
      </c>
      <c r="I60" s="162">
        <f>MEDIAN(I53:I59)</f>
        <v>21.261964871866592</v>
      </c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V60" t="s">
        <v>150</v>
      </c>
      <c r="X60" s="13">
        <v>288632333</v>
      </c>
    </row>
    <row r="61">
      <c r="B61" t="s" s="108">
        <v>234</v>
      </c>
      <c r="C61" s="163"/>
      <c r="D61" s="164">
        <f>_xlfn.QUARTILE.INC(D53:D59,1)</f>
        <v>0.5649130745415576</v>
      </c>
      <c r="E61" s="165"/>
      <c r="F61" s="166"/>
      <c r="G61" s="166"/>
      <c r="H61" s="167">
        <f>_xlfn.QUARTILE.INC(H53:H59,1)</f>
        <v>4.571182255229776</v>
      </c>
      <c r="I61" s="167">
        <f>_xlfn.QUARTILE.INC(I53:I59,1)</f>
        <v>15.652080409037875</v>
      </c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V61" t="s">
        <v>151</v>
      </c>
      <c r="X61" s="13">
        <v>4506422</v>
      </c>
    </row>
    <row r="62">
      <c r="B62" t="s" s="108">
        <v>233</v>
      </c>
      <c r="C62" s="163"/>
      <c r="D62" s="164">
        <f>_xlfn.QUARTILE.INC(D53:D59,3)</f>
        <v>0.7459128449718455</v>
      </c>
      <c r="E62" s="165"/>
      <c r="F62" s="166"/>
      <c r="G62" s="166"/>
      <c r="H62" s="167">
        <f>_xlfn.QUARTILE.INC(H53:H59,3)</f>
        <v>5.232885029202498</v>
      </c>
      <c r="I62" s="167">
        <f>_xlfn.QUARTILE.INC(I53:I59,3)</f>
        <v>23.39360779052229</v>
      </c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V62" t="s">
        <v>152</v>
      </c>
      <c r="X62" s="13">
        <v>8547355</v>
      </c>
    </row>
    <row r="63">
      <c r="B63" t="s" s="111">
        <v>493</v>
      </c>
      <c r="C63" s="168"/>
      <c r="D63" s="169"/>
      <c r="E63" s="170"/>
      <c r="F63" s="171"/>
      <c r="G63" s="171"/>
      <c r="H63" s="172"/>
      <c r="I63" s="17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V63" t="s">
        <v>153</v>
      </c>
      <c r="X63" s="13">
        <v>3984521</v>
      </c>
    </row>
    <row r="64">
      <c r="B64" t="str" s="92">
        <f>B117</f>
        <v>Veeva Systems</v>
      </c>
      <c r="C64" s="153">
        <f>C117*D117</f>
        <v>295.75</v>
      </c>
      <c r="D64" s="154">
        <f>C117/E117</f>
        <v>0.9658088955652798</v>
      </c>
      <c r="E64" s="155">
        <f>(G117+IF(K117&lt;&gt;"",K117,I117-J117)-L117)/10^6</f>
        <v>168.097013</v>
      </c>
      <c r="F64" s="156">
        <f>(SUM(M117:P117)-Q117-R117)/10^6*1</f>
        <v>-6403.713</v>
      </c>
      <c r="G64" s="156">
        <f>C64*E64+F64</f>
        <v>43310.978594750006</v>
      </c>
      <c r="H64" s="157">
        <f>G64/AM24</f>
        <v>12.307751802998013</v>
      </c>
      <c r="I64" s="157">
        <f>G64/AN24</f>
        <v>26.582617285092898</v>
      </c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V64" t="s">
        <v>419</v>
      </c>
      <c r="X64" s="13">
        <v>7590682</v>
      </c>
    </row>
    <row r="65">
      <c r="B65" t="str" s="92">
        <f>B118</f>
        <v>Nemetschek</v>
      </c>
      <c r="C65" s="153">
        <f>C118*D118</f>
        <v>107.25305000000002</v>
      </c>
      <c r="D65" s="154">
        <f>C118/E118</f>
        <v>0.6746550472040669</v>
      </c>
      <c r="E65" s="155">
        <f>(G118+IF(K118&lt;&gt;"",K118,I118-J118)-L118)/10^6</f>
        <v>115.466141</v>
      </c>
      <c r="F65" s="156">
        <f>(SUM(M118:P118)-Q118-R118)/10^6*$D$118</f>
        <v>205.21468400000003</v>
      </c>
      <c r="G65" s="156">
        <f>C65*E65+F65</f>
        <v>12589.310477980052</v>
      </c>
      <c r="H65" s="157">
        <f>G65/AM25</f>
        <v>7.963615360598351</v>
      </c>
      <c r="I65" s="157">
        <f>G65/AN25</f>
        <v>24.66778416575587</v>
      </c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V65" t="s">
        <v>155</v>
      </c>
      <c r="X65" s="20">
        <v>9.09</v>
      </c>
    </row>
    <row r="66">
      <c r="B66" t="str" s="92">
        <f>B119</f>
        <v>Bentley Systems</v>
      </c>
      <c r="C66" s="153">
        <f>C119*D119</f>
        <v>46.32</v>
      </c>
      <c r="D66" s="154">
        <f>C119/E119</f>
        <v>0.7888283378746594</v>
      </c>
      <c r="E66" s="155">
        <f>(G119+IF(K119&lt;&gt;"",K119,I119-J119)-L119)/10^6</f>
        <v>304.730494</v>
      </c>
      <c r="F66" s="156">
        <f>(SUM(M119:P119)-Q119-R119)/10^6*1</f>
        <v>1082.014</v>
      </c>
      <c r="G66" s="156">
        <f>C66*E66+F66</f>
        <v>15197.13048208</v>
      </c>
      <c r="H66" s="157">
        <f>G66/AM26</f>
        <v>9.252612515397473</v>
      </c>
      <c r="I66" s="157">
        <f>G66/AN26</f>
        <v>25.47324186337823</v>
      </c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V66" t="s">
        <v>420</v>
      </c>
      <c r="X66" s="11">
        <v>16.7</v>
      </c>
    </row>
    <row r="67">
      <c r="B67" t="str" s="92">
        <f>B120</f>
        <v>Procore Technologies</v>
      </c>
      <c r="C67" s="153">
        <f>C120*D120</f>
        <v>79.16</v>
      </c>
      <c r="D67" s="154">
        <f>C120/E120</f>
        <v>0.8961847616891203</v>
      </c>
      <c r="E67" s="155">
        <f>(G120+IF(K120&lt;&gt;"",K120,I120-J120)-L120)/10^6</f>
        <v>155.46986</v>
      </c>
      <c r="F67" s="156">
        <f>(SUM(M120:P120)-Q120-R120)/10^6*1</f>
        <v>-683.976</v>
      </c>
      <c r="G67" s="156">
        <f>C67*E67+F67</f>
        <v>11623.0181176</v>
      </c>
      <c r="H67" s="157">
        <f>G67/AM27</f>
        <v>7.928388893315144</v>
      </c>
      <c r="I67" s="157">
        <f>G67/AN27</f>
        <v>32.49339710375059</v>
      </c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V67" t="s">
        <v>421</v>
      </c>
      <c r="X67" s="11">
        <v>859</v>
      </c>
    </row>
    <row r="68">
      <c r="B68" t="str" s="92">
        <f>B121</f>
        <v>Cellebrite</v>
      </c>
      <c r="C68" s="153">
        <f>C121*D121</f>
        <v>15.61</v>
      </c>
      <c r="D68" s="154">
        <f>C121/E121</f>
        <v>0.6003846153846154</v>
      </c>
      <c r="E68" s="155">
        <f>(G121+IF(K121&lt;&gt;"",K121,I121-J121)-L121)/10^6</f>
        <v>253.090995</v>
      </c>
      <c r="F68" s="156">
        <f>(SUM(M121:P121)-Q121-R121)/10^6*1</f>
        <v>-472.184</v>
      </c>
      <c r="G68" s="156">
        <f>C68*E68+F68</f>
        <v>3478.5664319499997</v>
      </c>
      <c r="H68" s="157">
        <f>G68/AM28</f>
        <v>6.288483938765446</v>
      </c>
      <c r="I68" s="157">
        <f>G68/AN28</f>
        <v>23.084308129645308</v>
      </c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V68" t="s">
        <v>161</v>
      </c>
      <c r="X68" s="11">
        <v>60.8</v>
      </c>
    </row>
    <row r="69">
      <c r="B69" t="str" s="92">
        <f>B122</f>
        <v>Tyler Technologies</v>
      </c>
      <c r="C69" s="153">
        <f>C122*D122</f>
        <v>464.48</v>
      </c>
      <c r="D69" s="154">
        <f>C122/E122</f>
        <v>0.7181865973961716</v>
      </c>
      <c r="E69" s="155">
        <f>(G122+IF(K122&lt;&gt;"",K122,I122-J122)-L122)/10^6</f>
        <v>43.726728</v>
      </c>
      <c r="F69" s="156">
        <f>(SUM(M122:P122)-Q122-R122)/10^6*1</f>
        <v>-351.59</v>
      </c>
      <c r="G69" s="156">
        <f>C69*E69+F69</f>
        <v>19958.60062144</v>
      </c>
      <c r="H69" s="157">
        <f>G69/AM29</f>
        <v>7.80547540924521</v>
      </c>
      <c r="I69" s="157">
        <f>G69/AN29</f>
        <v>26.822939550670824</v>
      </c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V69" t="s">
        <v>54</v>
      </c>
      <c r="X69" s="11">
        <v>3.4</v>
      </c>
    </row>
    <row r="70">
      <c r="B70" t="str" s="92">
        <f>B123</f>
        <v>AppFolio</v>
      </c>
      <c r="C70" s="153">
        <f>C123*D123</f>
        <v>254.96</v>
      </c>
      <c r="D70" s="154">
        <f>C123/E123</f>
        <v>0.7936498054474709</v>
      </c>
      <c r="E70" s="155">
        <f>(G123+IF(K123&lt;&gt;"",K123,I123-J123)-L123)/10^6</f>
        <v>36.29137</v>
      </c>
      <c r="F70" s="156">
        <f>(SUM(M123:P123)-Q123-R123)/10^6*1</f>
        <v>-200.149</v>
      </c>
      <c r="G70" s="156">
        <f>C70*E70+F70</f>
        <v>9052.6986952</v>
      </c>
      <c r="H70" s="157">
        <f>G70/AM30</f>
        <v>8.091436087951378</v>
      </c>
      <c r="I70" s="157">
        <f>G70/AN30</f>
        <v>29.02128410211894</v>
      </c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V70" t="s">
        <v>422</v>
      </c>
      <c r="X70" s="11">
        <v>451.803</v>
      </c>
    </row>
    <row r="71">
      <c r="B71" t="str" s="92">
        <f>B124</f>
        <v>Vertex</v>
      </c>
      <c r="C71" s="153">
        <f>C124*D124</f>
        <v>19.19</v>
      </c>
      <c r="D71" s="154">
        <f>C124/E124</f>
        <v>0.3255301102629347</v>
      </c>
      <c r="E71" s="155">
        <f>(G124+IF(K124&lt;&gt;"",K124,I124-J124)-L124)/10^6</f>
        <v>162.252964</v>
      </c>
      <c r="F71" s="156">
        <f>(SUM(M124:P124)-Q124-R124)/10^6*1</f>
        <v>23.407</v>
      </c>
      <c r="G71" s="156">
        <f>C71*E71+F71</f>
        <v>3137.0413791600004</v>
      </c>
      <c r="H71" s="157">
        <f>G71/AM31</f>
        <v>3.7978709190799034</v>
      </c>
      <c r="I71" s="157">
        <f>G71/AN31</f>
        <v>16.95478088874957</v>
      </c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V71" t="s">
        <v>423</v>
      </c>
      <c r="X71" s="11">
        <v>731</v>
      </c>
    </row>
    <row r="72">
      <c r="B72" t="s" s="152">
        <v>228</v>
      </c>
      <c r="C72" s="158"/>
      <c r="D72" s="159">
        <f>MEDIAN(D64:D71)</f>
        <v>0.7535074676354155</v>
      </c>
      <c r="E72" s="160"/>
      <c r="F72" s="161"/>
      <c r="G72" s="161"/>
      <c r="H72" s="162">
        <f>MEDIAN(H64:H71)</f>
        <v>7.946002126956747</v>
      </c>
      <c r="I72" s="162">
        <f>MEDIAN(I64:I71)</f>
        <v>26.027929574235564</v>
      </c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V72" t="s">
        <v>424</v>
      </c>
      <c r="X72" s="11">
        <v>247</v>
      </c>
    </row>
    <row r="73">
      <c r="B73" t="s" s="108">
        <v>234</v>
      </c>
      <c r="C73" s="163"/>
      <c r="D73" s="164">
        <f>_xlfn.QUARTILE.INC(D64:D71,1)</f>
        <v>0.656087439249204</v>
      </c>
      <c r="E73" s="165"/>
      <c r="F73" s="166"/>
      <c r="G73" s="166"/>
      <c r="H73" s="167">
        <f>_xlfn.QUARTILE.INC(H64:H71,1)</f>
        <v>7.426227541625269</v>
      </c>
      <c r="I73" s="167">
        <f>_xlfn.QUARTILE.INC(I64:I71,1)</f>
        <v>24.271915156728227</v>
      </c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V73" t="s">
        <v>425</v>
      </c>
      <c r="X73" s="11">
        <v>947</v>
      </c>
    </row>
    <row r="74">
      <c r="B74" t="s" s="108">
        <v>233</v>
      </c>
      <c r="C74" s="163"/>
      <c r="D74" s="164">
        <f>_xlfn.QUARTILE.INC(D64:D71,3)</f>
        <v>0.8192835445078832</v>
      </c>
      <c r="E74" s="165"/>
      <c r="F74" s="166"/>
      <c r="G74" s="166"/>
      <c r="H74" s="167">
        <f>_xlfn.QUARTILE.INC(H64:H71,3)</f>
        <v>8.381730194812901</v>
      </c>
      <c r="I74" s="167">
        <f>_xlfn.QUARTILE.INC(I64:I71,3)</f>
        <v>27.372525688532853</v>
      </c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V74" t="s">
        <v>426</v>
      </c>
      <c r="X74" s="11">
        <v>333</v>
      </c>
    </row>
    <row r="75">
      <c r="B75" t="s" s="111">
        <v>494</v>
      </c>
      <c r="C75" s="168"/>
      <c r="D75" s="169"/>
      <c r="E75" s="170"/>
      <c r="F75" s="171"/>
      <c r="G75" s="171"/>
      <c r="H75" s="172"/>
      <c r="I75" s="17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V75" t="s">
        <v>427</v>
      </c>
      <c r="X75" s="11">
        <v>730</v>
      </c>
    </row>
    <row r="76">
      <c r="B76" t="str" s="92">
        <f>B125</f>
        <v>Descartes Systems</v>
      </c>
      <c r="C76" s="153">
        <f>C125*D125</f>
        <v>82.79278637108845</v>
      </c>
      <c r="D76" s="154">
        <f>C125/E125</f>
        <v>0.6624272841336831</v>
      </c>
      <c r="E76" s="155">
        <f>(G125+IF(K125&lt;&gt;"",K125,I125-J125)-L125)/10^6</f>
        <v>87.692516</v>
      </c>
      <c r="F76" s="156">
        <f>(SUM(M125:P125)-Q125-R125)/10^6*1</f>
        <v>-240.632</v>
      </c>
      <c r="G76" s="156">
        <f>C76*E76+F76</f>
        <v>7019.675743531257</v>
      </c>
      <c r="H76" s="157">
        <f>G76/AM37</f>
        <v>8.849492729862122</v>
      </c>
      <c r="I76" s="157">
        <f>G76/AN37</f>
        <v>19.0817186987652</v>
      </c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V76" t="s">
        <v>428</v>
      </c>
      <c r="X76" s="11">
        <v>248</v>
      </c>
    </row>
    <row r="77">
      <c r="B77" t="str" s="92">
        <f>B126</f>
        <v>Autodesk</v>
      </c>
      <c r="C77" s="153">
        <f>C126*D126</f>
        <v>298.72</v>
      </c>
      <c r="D77" s="154">
        <f>C126/E126</f>
        <v>0.9141038587472077</v>
      </c>
      <c r="E77" s="155">
        <f>(G126+IF(K126&lt;&gt;"",K126,I126-J126)-L126)/10^6</f>
        <v>215</v>
      </c>
      <c r="F77" s="156">
        <f>(SUM(M126:P126)-Q126-R126)/10^6*1</f>
        <v>245</v>
      </c>
      <c r="G77" s="156">
        <f>C77*E77+F77</f>
        <v>64469.8</v>
      </c>
      <c r="H77" s="157">
        <f>G77/AM38</f>
        <v>8.223676653811925</v>
      </c>
      <c r="I77" s="157">
        <f>G77/AN38</f>
        <v>20.463567487392464</v>
      </c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V77" t="s">
        <v>429</v>
      </c>
      <c r="X77" s="11">
        <v>940</v>
      </c>
    </row>
    <row r="78">
      <c r="B78" t="str" s="92">
        <f>B127</f>
        <v>Atlassian</v>
      </c>
      <c r="C78" s="153">
        <f>C127*D127</f>
        <v>159.13</v>
      </c>
      <c r="D78" s="154">
        <f>C127/E127</f>
        <v>0.4927540719638323</v>
      </c>
      <c r="E78" s="155">
        <f>(G127+IF(K127&lt;&gt;"",K127,I127-J127)-L127)/10^6</f>
        <v>263.111098</v>
      </c>
      <c r="F78" s="156">
        <f>(SUM(M127:P127)-Q127-R127)/10^6*1</f>
        <v>-1790.257</v>
      </c>
      <c r="G78" s="156">
        <f>C78*E78+F78</f>
        <v>40078.61202474</v>
      </c>
      <c r="H78" s="157">
        <f>G78/AM39</f>
        <v>5.774496104419992</v>
      </c>
      <c r="I78" s="157">
        <f>G78/AN39</f>
        <v>21.74458689320653</v>
      </c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V78" t="s">
        <v>430</v>
      </c>
      <c r="X78" s="11">
        <v>338</v>
      </c>
    </row>
    <row r="79">
      <c r="B79" t="s" s="152">
        <v>228</v>
      </c>
      <c r="C79" s="158"/>
      <c r="D79" s="159">
        <f>MEDIAN(D76:D78)</f>
        <v>0.6624272841336831</v>
      </c>
      <c r="E79" s="160"/>
      <c r="F79" s="161"/>
      <c r="G79" s="161"/>
      <c r="H79" s="162">
        <f>MEDIAN(H76:H78)</f>
        <v>8.223676653811925</v>
      </c>
      <c r="I79" s="162">
        <f>MEDIAN(I76:I78)</f>
        <v>20.463567487392464</v>
      </c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V79" t="s">
        <v>126</v>
      </c>
      <c r="X79" s="21">
        <v>1.1721</v>
      </c>
    </row>
    <row r="80">
      <c r="B80" t="s" s="108">
        <v>234</v>
      </c>
      <c r="C80" s="163"/>
      <c r="D80" s="164">
        <f>_xlfn.QUARTILE.INC(D76:D78,1)</f>
        <v>0.5775906780487577</v>
      </c>
      <c r="E80" s="165"/>
      <c r="F80" s="166"/>
      <c r="G80" s="166"/>
      <c r="H80" s="167">
        <f>_xlfn.QUARTILE.INC(H76:H78,1)</f>
        <v>6.999086379115958</v>
      </c>
      <c r="I80" s="167">
        <f>_xlfn.QUARTILE.INC(I76:I78,1)</f>
        <v>19.772643093078834</v>
      </c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V80" t="s">
        <v>127</v>
      </c>
      <c r="X80" s="21">
        <v>1.378</v>
      </c>
    </row>
    <row r="81">
      <c r="B81" t="s" s="108">
        <v>233</v>
      </c>
      <c r="C81" s="163"/>
      <c r="D81" s="164">
        <f>_xlfn.QUARTILE.INC(D76:D78,3)</f>
        <v>0.7882655714404454</v>
      </c>
      <c r="E81" s="165"/>
      <c r="F81" s="166"/>
      <c r="G81" s="166"/>
      <c r="H81" s="167">
        <f>_xlfn.QUARTILE.INC(H76:H78,3)</f>
        <v>8.536584691837025</v>
      </c>
      <c r="I81" s="167">
        <f>_xlfn.QUARTILE.INC(I76:I78,3)</f>
        <v>21.1040771902995</v>
      </c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</row>
    <row r="82">
      <c r="B82" t="s" s="111">
        <v>495</v>
      </c>
      <c r="C82" s="168"/>
      <c r="D82" s="169"/>
      <c r="E82" s="170"/>
      <c r="F82" s="171"/>
      <c r="G82" s="171"/>
      <c r="H82" s="172"/>
      <c r="I82" s="17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V82" t="s" s="18">
        <v>431</v>
      </c>
      <c r="W82" s="18"/>
    </row>
    <row r="83">
      <c r="B83" t="s" s="152">
        <v>228</v>
      </c>
      <c r="C83" s="158"/>
      <c r="D83" s="159">
        <f>MEDIAN(D53:D59,D64:D71,D76:D78)</f>
        <v>0.668541165668875</v>
      </c>
      <c r="E83" s="160"/>
      <c r="F83" s="161"/>
      <c r="G83" s="161"/>
      <c r="H83" s="162">
        <f>MEDIAN(H53:H59,H64:H71,H76:H78)</f>
        <v>7.046979674005328</v>
      </c>
      <c r="I83" s="162">
        <f>MEDIAN(I53:I59,I64:I71,I76:I78)</f>
        <v>22.78474173480822</v>
      </c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V83" t="str">
        <f>V9</f>
        <v>CWAN – offer</v>
      </c>
      <c r="W83" s="15">
        <f>AS9</f>
        <v>8.905032666071806</v>
      </c>
    </row>
    <row r="84">
      <c r="B84" t="s" s="108">
        <v>234</v>
      </c>
      <c r="C84" s="163"/>
      <c r="D84" s="164">
        <f>_xlfn.QUARTILE.INC((D53:D59,D64:D71,D76:D78),1)</f>
        <v>0.5906843891402715</v>
      </c>
      <c r="E84" s="165"/>
      <c r="F84" s="166"/>
      <c r="G84" s="166"/>
      <c r="H84" s="167">
        <f>_xlfn.QUARTILE.INC((H53:H59,H64:H71,H76:H78),1)</f>
        <v>4.96325793725009</v>
      </c>
      <c r="I84" s="167">
        <f>_xlfn.QUARTILE.INC((I53:I59,I64:I71,I76:I78),1)</f>
        <v>19.506087081274607</v>
      </c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V84" t="str">
        <f>V8</f>
        <v>CWAN – unaffected</v>
      </c>
      <c r="W84" s="15">
        <f>AS8</f>
        <v>6.304996847507921</v>
      </c>
    </row>
    <row r="85">
      <c r="B85" t="s" s="108">
        <v>233</v>
      </c>
      <c r="C85" s="163"/>
      <c r="D85" s="164">
        <f>_xlfn.QUARTILE.INC((D53:D59,D64:D71,D76:D78),3)</f>
        <v>0.8220855077235601</v>
      </c>
      <c r="E85" s="165"/>
      <c r="F85" s="166"/>
      <c r="G85" s="166"/>
      <c r="H85" s="167">
        <f>_xlfn.QUARTILE.INC((H53:H59,H64:H71,H76:H78),3)</f>
        <v>8.190616512346788</v>
      </c>
      <c r="I85" s="167">
        <f>_xlfn.QUARTILE.INC((I53:I59,I64:I71,I76:I78),3)</f>
        <v>26.305273429664233</v>
      </c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V85" t="str">
        <f>V12</f>
        <v>Guidewire Software</v>
      </c>
      <c r="W85" s="15">
        <f>AS12</f>
        <v>11.337392356931288</v>
      </c>
    </row>
    <row r="86">
      <c r="B86" t="s" s="111">
        <v>302</v>
      </c>
      <c r="C86" s="168"/>
      <c r="D86" s="169"/>
      <c r="E86" s="170"/>
      <c r="F86" s="171"/>
      <c r="G86" s="171"/>
      <c r="H86" s="172"/>
      <c r="I86" s="17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V86" t="str">
        <f>V13</f>
        <v>Intapp</v>
      </c>
      <c r="W86" s="15">
        <f>AS13</f>
        <v>5.73248735952381</v>
      </c>
    </row>
    <row r="87">
      <c r="B87" t="s" s="113">
        <v>496</v>
      </c>
      <c r="C87" s="173">
        <f>C42</f>
        <v>16.69</v>
      </c>
      <c r="D87" s="174">
        <f>D42</f>
        <v>0.5102415163558545</v>
      </c>
      <c r="E87" s="175"/>
      <c r="F87" s="176"/>
      <c r="G87" s="176">
        <f>E42</f>
        <v>5970.832014590001</v>
      </c>
      <c r="H87" s="177">
        <f>I42</f>
        <v>6.304996847507921</v>
      </c>
      <c r="I87" s="177">
        <f>J42</f>
        <v>17.930426470240242</v>
      </c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V87" t="str">
        <f>V14</f>
        <v>Q2 Holdings</v>
      </c>
      <c r="W87" s="15">
        <f>AS14</f>
        <v>5.55646913024055</v>
      </c>
    </row>
    <row r="88">
      <c r="B88" s="92"/>
      <c r="C88" s="178"/>
      <c r="D88" s="178"/>
      <c r="E88" s="178"/>
      <c r="F88" s="178"/>
      <c r="G88" s="178"/>
      <c r="H88" s="178"/>
      <c r="I88" s="178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V88" t="str">
        <f>V15</f>
        <v>CCC Intelligent Solutions</v>
      </c>
      <c r="W88" s="15">
        <f>AS15</f>
        <v>5.20947585574913</v>
      </c>
    </row>
    <row r="89">
      <c r="B89" t="s" s="111">
        <v>504</v>
      </c>
      <c r="C89" t="s" s="189">
        <v>329</v>
      </c>
      <c r="D89" s="189"/>
      <c r="E89" s="189"/>
      <c r="F89" s="179"/>
      <c r="G89" t="s" s="189">
        <v>330</v>
      </c>
      <c r="H89" s="189"/>
      <c r="I89" s="189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V89" t="str">
        <f>V16</f>
        <v>nCino</v>
      </c>
      <c r="W89" s="15">
        <f>AS16</f>
        <v>4.866967408575899</v>
      </c>
    </row>
    <row r="90">
      <c r="B90" s="92"/>
      <c r="C90" s="180">
        <f>DATE(2025,11,10)</f>
        <v>45971</v>
      </c>
      <c r="D90" s="180">
        <f>DATE(2025,12,19)</f>
        <v>46010</v>
      </c>
      <c r="E90" t="s" s="180">
        <v>515</v>
      </c>
      <c r="F90" s="180"/>
      <c r="G90" s="180">
        <f>DATE(2025,11,10)</f>
        <v>45971</v>
      </c>
      <c r="H90" s="180">
        <f>DATE(2025,12,19)</f>
        <v>46010</v>
      </c>
      <c r="I90" t="s" s="180">
        <v>515</v>
      </c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V90" t="str">
        <f>V17</f>
        <v>Alkami Technology</v>
      </c>
      <c r="W90" s="15">
        <f>AS17</f>
        <v>4.830083945509092</v>
      </c>
    </row>
    <row r="91">
      <c r="B91" t="s" s="92">
        <v>505</v>
      </c>
      <c r="C91" s="181">
        <f>H87</f>
        <v>6.304996847507921</v>
      </c>
      <c r="D91" s="181">
        <f>I42</f>
        <v>6.304996847507921</v>
      </c>
      <c r="E91" s="181"/>
      <c r="F91" s="178"/>
      <c r="G91" s="181">
        <f>I87</f>
        <v>17.930426470240242</v>
      </c>
      <c r="H91" s="181">
        <f>J42</f>
        <v>17.930426470240242</v>
      </c>
      <c r="I91" s="181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V91" t="str">
        <f>V18</f>
        <v>SS&amp;C Technologies</v>
      </c>
      <c r="W91" s="15">
        <f>AS18</f>
        <v>4.294037532193539</v>
      </c>
    </row>
    <row r="92">
      <c r="B92" t="s" s="92">
        <v>506</v>
      </c>
      <c r="C92" s="181">
        <f>H83</f>
        <v>7.046979674005328</v>
      </c>
      <c r="D92" s="181">
        <f>I38</f>
        <v>7.398220163236324</v>
      </c>
      <c r="E92" s="181">
        <f>D92-C92</f>
        <v>0.35124048923099593</v>
      </c>
      <c r="F92" s="178"/>
      <c r="G92" s="181">
        <f>I83</f>
        <v>22.78474173480822</v>
      </c>
      <c r="H92" s="181">
        <f>J38</f>
        <v>22.069452069390987</v>
      </c>
      <c r="I92" s="181">
        <f>H92-G92</f>
        <v>-0.7152896654172345</v>
      </c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V92" t="str">
        <f>V24</f>
        <v>Veeva Systems</v>
      </c>
      <c r="W92" s="15">
        <f>AS24</f>
        <v>8.785582640039785</v>
      </c>
    </row>
    <row r="93">
      <c r="B93" t="s" s="92">
        <v>507</v>
      </c>
      <c r="C93" s="181">
        <f>H60</f>
        <v>4.9576162091789815</v>
      </c>
      <c r="D93" s="181">
        <f>I15</f>
        <v>5.20947585574913</v>
      </c>
      <c r="E93" s="181">
        <f>D93-C93</f>
        <v>0.25185964657014814</v>
      </c>
      <c r="F93" s="178"/>
      <c r="G93" s="181">
        <f>I60</f>
        <v>21.261964871866592</v>
      </c>
      <c r="H93" s="181">
        <f>J15</f>
        <v>21.536702055195928</v>
      </c>
      <c r="I93" s="181">
        <f>H93-G93</f>
        <v>0.2747371833293357</v>
      </c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V93" t="str">
        <f>V25</f>
        <v>Nemetschek</v>
      </c>
      <c r="W93" s="15">
        <f>AS25</f>
        <v>8.153506742291079</v>
      </c>
    </row>
    <row r="94">
      <c r="B94" t="s" s="92">
        <v>508</v>
      </c>
      <c r="C94" s="181">
        <f>H72</f>
        <v>7.946002126956747</v>
      </c>
      <c r="D94" s="181">
        <f>I27</f>
        <v>7.7240302998610275</v>
      </c>
      <c r="E94" s="181">
        <f>D94-C94</f>
        <v>-0.22197182709571983</v>
      </c>
      <c r="F94" s="178"/>
      <c r="G94" s="181">
        <f>I72</f>
        <v>26.027929574235564</v>
      </c>
      <c r="H94" s="181">
        <f>J27</f>
        <v>25.84612306121945</v>
      </c>
      <c r="I94" s="181">
        <f>H94-G94</f>
        <v>-0.18180651301611306</v>
      </c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V94" t="str">
        <f>V26</f>
        <v>Bentley Systems</v>
      </c>
      <c r="W94" s="15">
        <f>AS26</f>
        <v>8.03366763421903</v>
      </c>
    </row>
    <row r="95">
      <c r="B95" t="s" s="92">
        <v>509</v>
      </c>
      <c r="C95" s="181">
        <f>H79</f>
        <v>8.223676653811925</v>
      </c>
      <c r="D95" s="181">
        <f>I34</f>
        <v>8.216063957282705</v>
      </c>
      <c r="E95" s="181">
        <f>D95-C95</f>
        <v>-0.007612696529220031</v>
      </c>
      <c r="F95" s="178"/>
      <c r="G95" s="181">
        <f>I79</f>
        <v>20.463567487392464</v>
      </c>
      <c r="H95" s="181">
        <f>J34</f>
        <v>20.61670300076181</v>
      </c>
      <c r="I95" s="181">
        <f>H95-G95</f>
        <v>0.15313551336934594</v>
      </c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V95" t="str">
        <f>V27</f>
        <v>Procore Technologies</v>
      </c>
      <c r="W95" s="15">
        <f>AS27</f>
        <v>7.394955471896316</v>
      </c>
    </row>
    <row r="96">
      <c r="B96" t="s" s="152">
        <v>510</v>
      </c>
      <c r="C96" s="182">
        <f>C91/C92-1</f>
        <v>-0.10529089919677359</v>
      </c>
      <c r="D96" s="182">
        <f>D91/D92-1</f>
        <v>-0.1477684215402123</v>
      </c>
      <c r="E96" s="182">
        <f>D96-C96</f>
        <v>-0.04247752234343871</v>
      </c>
      <c r="F96" s="182"/>
      <c r="G96" s="182">
        <f>G91/G92-1</f>
        <v>-0.21305114278087467</v>
      </c>
      <c r="H96" s="182">
        <f>H91/H92-1</f>
        <v>-0.18754546266653016</v>
      </c>
      <c r="I96" s="182">
        <f>H96-G96</f>
        <v>0.02550568011434451</v>
      </c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V96" t="str">
        <f>V28</f>
        <v>Cellebrite</v>
      </c>
      <c r="W96" s="15">
        <f>AS28</f>
        <v>7.755108409186271</v>
      </c>
    </row>
    <row r="97"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V97" t="str">
        <f>V29</f>
        <v>Tyler Technologies</v>
      </c>
      <c r="W97" s="15">
        <f>AS29</f>
        <v>7.692952190535784</v>
      </c>
    </row>
    <row r="98"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V98" t="str">
        <f>V30</f>
        <v>AppFolio</v>
      </c>
      <c r="W98" s="15">
        <f>AS30</f>
        <v>7.401484854576332</v>
      </c>
    </row>
    <row r="99"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V99" t="str">
        <f>V31</f>
        <v>Vertex</v>
      </c>
      <c r="W99" s="15">
        <f>AS31</f>
        <v>3.960909611719128</v>
      </c>
    </row>
    <row r="100"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V100" t="str">
        <f>V37</f>
        <v>Descartes Systems</v>
      </c>
      <c r="W100" s="15">
        <f>AS37</f>
        <v>9.561369507599679</v>
      </c>
    </row>
    <row r="101"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V101" t="str">
        <f>V38</f>
        <v>Autodesk</v>
      </c>
      <c r="W101" s="15">
        <f>AS38</f>
        <v>8.216063957282705</v>
      </c>
    </row>
    <row r="102"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V102" t="str">
        <f>V39</f>
        <v>Atlassian</v>
      </c>
      <c r="W102" s="15">
        <f>AS39</f>
        <v>5.848039269498065</v>
      </c>
    </row>
    <row r="103"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</row>
    <row r="104"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</row>
    <row r="105"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</row>
    <row r="106"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</row>
    <row r="107"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</row>
    <row r="108">
      <c r="B108" t="s" s="147">
        <v>511</v>
      </c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</row>
    <row r="109">
      <c r="B109" t="s" s="151">
        <v>1</v>
      </c>
      <c r="C109" t="s" s="150">
        <v>242</v>
      </c>
      <c r="D109" t="s" s="150">
        <v>514</v>
      </c>
      <c r="E109" t="s" s="150">
        <v>516</v>
      </c>
      <c r="F109" t="s" s="150">
        <v>517</v>
      </c>
      <c r="G109" t="s" s="150">
        <v>48</v>
      </c>
      <c r="H109" t="s" s="150">
        <v>47</v>
      </c>
      <c r="I109" t="s" s="150">
        <v>455</v>
      </c>
      <c r="J109" t="s" s="150">
        <v>49</v>
      </c>
      <c r="K109" t="s" s="150">
        <v>456</v>
      </c>
      <c r="L109" t="s" s="150">
        <v>519</v>
      </c>
      <c r="M109" t="s" s="150">
        <v>458</v>
      </c>
      <c r="N109" t="s" s="150">
        <v>56</v>
      </c>
      <c r="O109" t="s" s="150">
        <v>57</v>
      </c>
      <c r="P109" t="s" s="150">
        <v>58</v>
      </c>
      <c r="Q109" t="s" s="150">
        <v>53</v>
      </c>
      <c r="R109" t="s" s="150">
        <v>460</v>
      </c>
      <c r="S109" t="s" s="150">
        <v>520</v>
      </c>
      <c r="T109" t="s" s="150">
        <v>521</v>
      </c>
    </row>
    <row r="110">
      <c r="B110" t="s" s="92">
        <v>3</v>
      </c>
      <c r="C110" s="185">
        <v>217.77</v>
      </c>
      <c r="D110" s="183">
        <f>1</f>
        <v>1</v>
      </c>
      <c r="E110" s="185">
        <v>261.88</v>
      </c>
      <c r="F110" s="149">
        <f>DATE(2025,9,8)</f>
        <v>45908</v>
      </c>
      <c r="G110" s="186">
        <v>84530578</v>
      </c>
      <c r="H110" s="149">
        <f>DATE(2025,8,29)</f>
        <v>45898</v>
      </c>
      <c r="I110" s="187">
        <v>86267658</v>
      </c>
      <c r="J110" s="187">
        <v>84366889</v>
      </c>
      <c r="K110" s="184"/>
      <c r="L110" s="184"/>
      <c r="M110" s="184"/>
      <c r="N110" s="184"/>
      <c r="O110" s="187">
        <v>674568000</v>
      </c>
      <c r="P110" s="184"/>
      <c r="Q110" s="187">
        <v>697902000</v>
      </c>
      <c r="R110" s="187">
        <v>451541000</v>
      </c>
      <c r="S110" s="149">
        <f>DATE(2025,7,31)</f>
        <v>45869</v>
      </c>
      <c r="T110" s="183"/>
    </row>
    <row r="111">
      <c r="B111" t="s" s="92">
        <v>6</v>
      </c>
      <c r="C111" s="185">
        <v>40.19</v>
      </c>
      <c r="D111" s="183">
        <f>1</f>
        <v>1</v>
      </c>
      <c r="E111" s="185">
        <v>74.1</v>
      </c>
      <c r="F111" s="149">
        <f>DATE(2025,2,13)</f>
        <v>45701</v>
      </c>
      <c r="G111" s="186">
        <v>81926481</v>
      </c>
      <c r="H111" s="149">
        <f>DATE(2025,10,28)</f>
        <v>45958</v>
      </c>
      <c r="I111" s="187">
        <v>81878000</v>
      </c>
      <c r="J111" s="187">
        <v>81878000</v>
      </c>
      <c r="K111" s="184"/>
      <c r="L111" s="184"/>
      <c r="M111" s="184"/>
      <c r="N111" s="184"/>
      <c r="O111" s="184"/>
      <c r="P111" s="184"/>
      <c r="Q111" s="187">
        <v>273437000</v>
      </c>
      <c r="R111" s="184"/>
      <c r="S111" s="149">
        <f>DATE(2025,9,30)</f>
        <v>45930</v>
      </c>
      <c r="T111" s="183"/>
    </row>
    <row r="112">
      <c r="B112" t="s" s="92">
        <v>5</v>
      </c>
      <c r="C112" s="185">
        <v>73.19</v>
      </c>
      <c r="D112" s="183">
        <f>1</f>
        <v>1</v>
      </c>
      <c r="E112" s="185">
        <v>110.85</v>
      </c>
      <c r="F112" s="149">
        <f>DATE(2024,12,6)</f>
        <v>45632</v>
      </c>
      <c r="G112" s="186">
        <v>62530005</v>
      </c>
      <c r="H112" s="149">
        <f>DATE(2025,10,31)</f>
        <v>45961</v>
      </c>
      <c r="I112" s="187">
        <v>69858000</v>
      </c>
      <c r="J112" s="187">
        <v>62458000</v>
      </c>
      <c r="K112" s="184"/>
      <c r="L112" s="187">
        <v>4793000</v>
      </c>
      <c r="M112" s="187">
        <v>493933000</v>
      </c>
      <c r="N112" s="184"/>
      <c r="O112" s="184"/>
      <c r="P112" s="184"/>
      <c r="Q112" s="187">
        <v>472393000</v>
      </c>
      <c r="R112" s="184"/>
      <c r="S112" s="149">
        <f>DATE(2025,9,30)</f>
        <v>45930</v>
      </c>
      <c r="T112" s="183"/>
    </row>
    <row r="113">
      <c r="B113" t="s" s="92">
        <v>4</v>
      </c>
      <c r="C113" s="185">
        <v>7.49</v>
      </c>
      <c r="D113" s="183">
        <f>1</f>
        <v>1</v>
      </c>
      <c r="E113" s="185">
        <v>12.75</v>
      </c>
      <c r="F113" s="149">
        <f>DATE(2024,12,4)</f>
        <v>45630</v>
      </c>
      <c r="G113" s="186">
        <v>642019656</v>
      </c>
      <c r="H113" s="149">
        <f>DATE(2025,10,23)</f>
        <v>45953</v>
      </c>
      <c r="I113" s="187">
        <v>631440015</v>
      </c>
      <c r="J113" s="187">
        <v>631440015</v>
      </c>
      <c r="K113" s="184"/>
      <c r="L113" s="184"/>
      <c r="M113" s="187">
        <v>10010000</v>
      </c>
      <c r="N113" s="187">
        <v>24446000</v>
      </c>
      <c r="O113" s="187">
        <v>971208000</v>
      </c>
      <c r="P113" s="184"/>
      <c r="Q113" s="187">
        <v>97141000</v>
      </c>
      <c r="R113" s="184"/>
      <c r="S113" s="149">
        <f>DATE(2025,9,30)</f>
        <v>45930</v>
      </c>
      <c r="T113" s="183"/>
    </row>
    <row r="114">
      <c r="B114" t="s" s="92">
        <v>7</v>
      </c>
      <c r="C114" s="185">
        <v>26.21</v>
      </c>
      <c r="D114" s="183">
        <f>1</f>
        <v>1</v>
      </c>
      <c r="E114" s="185">
        <v>42.64</v>
      </c>
      <c r="F114" s="149">
        <f>DATE(2024,11,11)</f>
        <v>45607</v>
      </c>
      <c r="G114" s="186">
        <v>115814720</v>
      </c>
      <c r="H114" s="149">
        <f>DATE(2025,8,21)</f>
        <v>45890</v>
      </c>
      <c r="I114" s="187">
        <v>115256497</v>
      </c>
      <c r="J114" s="187">
        <v>115256497</v>
      </c>
      <c r="K114" s="184"/>
      <c r="L114" s="184"/>
      <c r="M114" s="184"/>
      <c r="N114" s="184"/>
      <c r="O114" s="187">
        <v>203500000</v>
      </c>
      <c r="P114" s="187">
        <v>10345000</v>
      </c>
      <c r="Q114" s="187">
        <v>122935000</v>
      </c>
      <c r="R114" s="184"/>
      <c r="S114" s="149">
        <f>DATE(2025,7,31)</f>
        <v>45869</v>
      </c>
      <c r="T114" s="183"/>
    </row>
    <row r="115">
      <c r="B115" t="s" s="92">
        <v>8</v>
      </c>
      <c r="C115" s="185">
        <v>19.69</v>
      </c>
      <c r="D115" s="183">
        <f>1</f>
        <v>1</v>
      </c>
      <c r="E115" s="185">
        <v>42.22</v>
      </c>
      <c r="F115" s="149">
        <f>DATE(2024,11,25)</f>
        <v>45621</v>
      </c>
      <c r="G115" s="186">
        <v>105004011</v>
      </c>
      <c r="H115" s="149">
        <f>DATE(2025,9,30)</f>
        <v>45930</v>
      </c>
      <c r="I115" s="187">
        <v>104345319</v>
      </c>
      <c r="J115" s="187">
        <v>104345319</v>
      </c>
      <c r="K115" s="184"/>
      <c r="L115" s="184"/>
      <c r="M115" s="184"/>
      <c r="N115" s="184"/>
      <c r="O115" s="187">
        <v>360717000</v>
      </c>
      <c r="P115" s="184"/>
      <c r="Q115" s="187">
        <v>57316000</v>
      </c>
      <c r="R115" s="187">
        <v>33596000</v>
      </c>
      <c r="S115" s="149">
        <f>DATE(2025,9,30)</f>
        <v>45930</v>
      </c>
      <c r="T115" s="183"/>
    </row>
    <row r="116">
      <c r="B116" t="s" s="92">
        <v>2</v>
      </c>
      <c r="C116" s="185">
        <v>84.89</v>
      </c>
      <c r="D116" s="183">
        <f>1</f>
        <v>1</v>
      </c>
      <c r="E116" s="185">
        <v>90.2</v>
      </c>
      <c r="F116" s="149">
        <f>DATE(2025,8,22)</f>
        <v>45891</v>
      </c>
      <c r="G116" s="186">
        <v>244027403</v>
      </c>
      <c r="H116" s="149">
        <f>DATE(2025,10,23)</f>
        <v>45953</v>
      </c>
      <c r="I116" s="187">
        <v>252600000</v>
      </c>
      <c r="J116" s="187">
        <v>243800000</v>
      </c>
      <c r="K116" s="184"/>
      <c r="L116" s="184"/>
      <c r="M116" s="187">
        <v>20000000</v>
      </c>
      <c r="N116" s="184"/>
      <c r="O116" s="187">
        <v>6573100000</v>
      </c>
      <c r="P116" s="187">
        <v>53300000</v>
      </c>
      <c r="Q116" s="187">
        <v>388300000</v>
      </c>
      <c r="R116" s="184"/>
      <c r="S116" s="149">
        <f>DATE(2025,9,30)</f>
        <v>45930</v>
      </c>
      <c r="T116" s="183"/>
    </row>
    <row r="117">
      <c r="B117" t="s" s="92">
        <v>9</v>
      </c>
      <c r="C117" s="185">
        <v>295.75</v>
      </c>
      <c r="D117" s="183">
        <f>1</f>
        <v>1</v>
      </c>
      <c r="E117" s="185">
        <v>306.22</v>
      </c>
      <c r="F117" s="149">
        <f>DATE(2025,10,7)</f>
        <v>45937</v>
      </c>
      <c r="G117" s="186">
        <v>163908013</v>
      </c>
      <c r="H117" s="149">
        <f>DATE(2025,8,28)</f>
        <v>45897</v>
      </c>
      <c r="I117" s="187">
        <v>167685000</v>
      </c>
      <c r="J117" s="187">
        <v>163496000</v>
      </c>
      <c r="K117" s="184"/>
      <c r="L117" s="184"/>
      <c r="M117" s="184"/>
      <c r="N117" s="184"/>
      <c r="O117" s="184"/>
      <c r="P117" s="184"/>
      <c r="Q117" s="187">
        <v>1930431000</v>
      </c>
      <c r="R117" s="187">
        <v>4473282000</v>
      </c>
      <c r="S117" s="149">
        <f>DATE(2025,7,31)</f>
        <v>45869</v>
      </c>
      <c r="T117" s="183"/>
    </row>
    <row r="118">
      <c r="B118" t="s" s="92">
        <v>14</v>
      </c>
      <c r="C118" s="185">
        <v>92.9</v>
      </c>
      <c r="D118" s="188">
        <v>1.1545</v>
      </c>
      <c r="E118" s="185">
        <v>137.7</v>
      </c>
      <c r="F118" s="149">
        <f>DATE(2025,8,8)</f>
        <v>45877</v>
      </c>
      <c r="G118" s="186">
        <v>115466141</v>
      </c>
      <c r="H118" s="149">
        <f>DATE(2025,6,30)</f>
        <v>45838</v>
      </c>
      <c r="I118" s="187">
        <v>115478620</v>
      </c>
      <c r="J118" s="187">
        <v>115478620</v>
      </c>
      <c r="K118" s="184"/>
      <c r="L118" s="184"/>
      <c r="M118" s="184"/>
      <c r="N118" s="184"/>
      <c r="O118" s="187">
        <v>449516000</v>
      </c>
      <c r="P118" s="187">
        <v>35734000</v>
      </c>
      <c r="Q118" s="187">
        <v>307498000</v>
      </c>
      <c r="R118" s="184"/>
      <c r="S118" s="149">
        <f>DATE(2025,9,30)</f>
        <v>45930</v>
      </c>
      <c r="T118" s="183"/>
    </row>
    <row r="119">
      <c r="B119" t="s" s="92">
        <v>13</v>
      </c>
      <c r="C119" s="185">
        <v>46.32</v>
      </c>
      <c r="D119" s="183">
        <f>1</f>
        <v>1</v>
      </c>
      <c r="E119" s="185">
        <v>58.72</v>
      </c>
      <c r="F119" s="149">
        <f>DATE(2025,7,28)</f>
        <v>45866</v>
      </c>
      <c r="G119" s="186">
        <v>303557068</v>
      </c>
      <c r="H119" s="149">
        <f>DATE(2025,10,29)</f>
        <v>45959</v>
      </c>
      <c r="I119" s="187">
        <v>333277478</v>
      </c>
      <c r="J119" s="187">
        <v>314626191</v>
      </c>
      <c r="K119" s="184"/>
      <c r="L119" s="187">
        <v>17477861</v>
      </c>
      <c r="M119" s="184"/>
      <c r="N119" s="184"/>
      <c r="O119" s="187">
        <v>1247378000</v>
      </c>
      <c r="P119" s="187">
        <v>47000</v>
      </c>
      <c r="Q119" s="187">
        <v>165411000</v>
      </c>
      <c r="R119" s="184"/>
      <c r="S119" s="149">
        <f>DATE(2025,9,30)</f>
        <v>45930</v>
      </c>
      <c r="T119" s="183"/>
    </row>
    <row r="120">
      <c r="B120" t="s" s="92">
        <v>11</v>
      </c>
      <c r="C120" s="185">
        <v>79.16</v>
      </c>
      <c r="D120" s="183">
        <f>1</f>
        <v>1</v>
      </c>
      <c r="E120" s="185">
        <v>88.33</v>
      </c>
      <c r="F120" s="149">
        <f>DATE(2025,2,18)</f>
        <v>45706</v>
      </c>
      <c r="G120" s="186">
        <v>155469860</v>
      </c>
      <c r="H120" s="149">
        <f>DATE(2025,10,31)</f>
        <v>45961</v>
      </c>
      <c r="I120" s="187">
        <v>150278399</v>
      </c>
      <c r="J120" s="187">
        <v>150278399</v>
      </c>
      <c r="K120" s="184"/>
      <c r="L120" s="184"/>
      <c r="M120" s="184"/>
      <c r="N120" s="184"/>
      <c r="O120" s="184"/>
      <c r="P120" s="184"/>
      <c r="Q120" s="187">
        <v>350496000</v>
      </c>
      <c r="R120" s="187">
        <v>333480000</v>
      </c>
      <c r="S120" s="149">
        <f>DATE(2025,9,30)</f>
        <v>45930</v>
      </c>
      <c r="T120" s="183"/>
    </row>
    <row r="121">
      <c r="B121" t="s" s="92">
        <v>16</v>
      </c>
      <c r="C121" s="185">
        <v>15.61</v>
      </c>
      <c r="D121" s="183">
        <f>1</f>
        <v>1</v>
      </c>
      <c r="E121" s="185">
        <v>26</v>
      </c>
      <c r="F121" s="149">
        <f>DATE(2025,2,5)</f>
        <v>45693</v>
      </c>
      <c r="G121" s="186">
        <v>244469106</v>
      </c>
      <c r="H121" s="149">
        <f>DATE(2025,6,30)</f>
        <v>45838</v>
      </c>
      <c r="I121" s="187">
        <v>248980462</v>
      </c>
      <c r="J121" s="187">
        <v>240358573</v>
      </c>
      <c r="K121" s="184"/>
      <c r="L121" s="184"/>
      <c r="M121" s="184"/>
      <c r="N121" s="184"/>
      <c r="O121" s="184"/>
      <c r="P121" s="184"/>
      <c r="Q121" s="187">
        <v>179223000</v>
      </c>
      <c r="R121" s="187">
        <v>292961000</v>
      </c>
      <c r="S121" s="149">
        <f>DATE(2025,6,30)</f>
        <v>45838</v>
      </c>
      <c r="T121" s="183"/>
    </row>
    <row r="122">
      <c r="B122" t="s" s="92">
        <v>10</v>
      </c>
      <c r="C122" s="185">
        <v>464.48</v>
      </c>
      <c r="D122" s="183">
        <f>1</f>
        <v>1</v>
      </c>
      <c r="E122" s="185">
        <v>646.74</v>
      </c>
      <c r="F122" s="149">
        <f>DATE(2025,2,13)</f>
        <v>45701</v>
      </c>
      <c r="G122" s="186">
        <v>43027728</v>
      </c>
      <c r="H122" s="149">
        <f>DATE(2025,10,27)</f>
        <v>45957</v>
      </c>
      <c r="I122" s="187">
        <v>43834000</v>
      </c>
      <c r="J122" s="187">
        <v>43135000</v>
      </c>
      <c r="K122" s="184"/>
      <c r="L122" s="184"/>
      <c r="M122" s="187">
        <v>599231000</v>
      </c>
      <c r="N122" s="184"/>
      <c r="O122" s="184"/>
      <c r="P122" s="184"/>
      <c r="Q122" s="187">
        <v>834101000</v>
      </c>
      <c r="R122" s="187">
        <v>116720000</v>
      </c>
      <c r="S122" s="149">
        <f>DATE(2025,9,30)</f>
        <v>45930</v>
      </c>
      <c r="T122" s="183"/>
    </row>
    <row r="123">
      <c r="B123" t="s" s="92">
        <v>15</v>
      </c>
      <c r="C123" s="185">
        <v>254.96</v>
      </c>
      <c r="D123" s="183">
        <f>1</f>
        <v>1</v>
      </c>
      <c r="E123" s="185">
        <v>321.25</v>
      </c>
      <c r="F123" s="149">
        <f>DATE(2025,8,4)</f>
        <v>45873</v>
      </c>
      <c r="G123" s="186">
        <v>35921370</v>
      </c>
      <c r="H123" s="149">
        <f>DATE(2025,10,23)</f>
        <v>45953</v>
      </c>
      <c r="I123" s="187">
        <v>36259000</v>
      </c>
      <c r="J123" s="187">
        <v>35889000</v>
      </c>
      <c r="K123" s="184"/>
      <c r="L123" s="184"/>
      <c r="M123" s="184"/>
      <c r="N123" s="184"/>
      <c r="O123" s="184"/>
      <c r="P123" s="184"/>
      <c r="Q123" s="187">
        <v>76093000</v>
      </c>
      <c r="R123" s="187">
        <v>124056000</v>
      </c>
      <c r="S123" s="149">
        <f>DATE(2025,9,30)</f>
        <v>45930</v>
      </c>
      <c r="T123" s="183"/>
    </row>
    <row r="124">
      <c r="B124" t="s" s="92">
        <v>12</v>
      </c>
      <c r="C124" s="185">
        <v>19.19</v>
      </c>
      <c r="D124" s="183">
        <f>1</f>
        <v>1</v>
      </c>
      <c r="E124" s="185">
        <v>58.95</v>
      </c>
      <c r="F124" s="149">
        <f>DATE(2025,1,28)</f>
        <v>45685</v>
      </c>
      <c r="G124" s="186">
        <v>159527964</v>
      </c>
      <c r="H124" s="149">
        <f>DATE(2025,10,30)</f>
        <v>45960</v>
      </c>
      <c r="I124" s="187">
        <v>81865000</v>
      </c>
      <c r="J124" s="187">
        <v>77361000</v>
      </c>
      <c r="K124" s="187">
        <v>2725000</v>
      </c>
      <c r="L124" s="184"/>
      <c r="M124" s="184"/>
      <c r="N124" s="184"/>
      <c r="O124" s="187">
        <v>336913000</v>
      </c>
      <c r="P124" s="184"/>
      <c r="Q124" s="187">
        <v>313506000</v>
      </c>
      <c r="R124" s="184"/>
      <c r="S124" s="149">
        <f>DATE(2025,9,30)</f>
        <v>45930</v>
      </c>
      <c r="T124" s="183"/>
    </row>
    <row r="125">
      <c r="B125" t="s" s="92">
        <v>19</v>
      </c>
      <c r="C125" s="185">
        <v>116.15</v>
      </c>
      <c r="D125" s="183">
        <f>1/T125</f>
        <v>0.712809180982251</v>
      </c>
      <c r="E125" s="185">
        <v>175.34</v>
      </c>
      <c r="F125" s="149">
        <f>DATE(2025,2,10)</f>
        <v>45698</v>
      </c>
      <c r="G125" s="186">
        <v>85935516</v>
      </c>
      <c r="H125" s="149">
        <f>DATE(2025,9,3)</f>
        <v>45903</v>
      </c>
      <c r="I125" s="187">
        <v>87590000</v>
      </c>
      <c r="J125" s="187">
        <v>85833000</v>
      </c>
      <c r="K125" s="184"/>
      <c r="L125" s="184"/>
      <c r="M125" s="184"/>
      <c r="N125" s="184"/>
      <c r="O125" s="184"/>
      <c r="P125" s="184"/>
      <c r="Q125" s="187">
        <v>240632000</v>
      </c>
      <c r="R125" s="184"/>
      <c r="S125" s="149">
        <f>DATE(2025,7,31)</f>
        <v>45869</v>
      </c>
      <c r="T125" s="188">
        <v>1.4029</v>
      </c>
    </row>
    <row r="126">
      <c r="B126" t="s" s="92">
        <v>17</v>
      </c>
      <c r="C126" s="185">
        <v>298.72</v>
      </c>
      <c r="D126" s="183">
        <f>1</f>
        <v>1</v>
      </c>
      <c r="E126" s="185">
        <v>326.79</v>
      </c>
      <c r="F126" s="149">
        <f>DATE(2025,9,8)</f>
        <v>45908</v>
      </c>
      <c r="G126" s="186">
        <v>213000000</v>
      </c>
      <c r="H126" s="149">
        <f>DATE(2025,8,26)</f>
        <v>45895</v>
      </c>
      <c r="I126" s="187">
        <v>215000000</v>
      </c>
      <c r="J126" s="187">
        <v>213000000</v>
      </c>
      <c r="K126" s="184"/>
      <c r="L126" s="184"/>
      <c r="M126" s="184"/>
      <c r="N126" s="184"/>
      <c r="O126" s="187">
        <v>2481000000</v>
      </c>
      <c r="P126" s="184"/>
      <c r="Q126" s="187">
        <v>2003000000</v>
      </c>
      <c r="R126" s="187">
        <v>233000000</v>
      </c>
      <c r="S126" s="149">
        <f>DATE(2025,7,31)</f>
        <v>45869</v>
      </c>
      <c r="T126" s="183"/>
    </row>
    <row r="127">
      <c r="B127" t="s" s="92">
        <v>18</v>
      </c>
      <c r="C127" s="185">
        <v>159.13</v>
      </c>
      <c r="D127" s="183">
        <f>1</f>
        <v>1</v>
      </c>
      <c r="E127" s="185">
        <v>322.94</v>
      </c>
      <c r="F127" s="149">
        <f>DATE(2025,2,10)</f>
        <v>45698</v>
      </c>
      <c r="G127" s="186">
        <v>263111098</v>
      </c>
      <c r="H127" s="149">
        <f>DATE(2025,10,24)</f>
        <v>45954</v>
      </c>
      <c r="I127" s="187">
        <v>262991000</v>
      </c>
      <c r="J127" s="187">
        <v>262991000</v>
      </c>
      <c r="K127" s="184"/>
      <c r="L127" s="184"/>
      <c r="M127" s="184"/>
      <c r="N127" s="184"/>
      <c r="O127" s="187">
        <v>988143000</v>
      </c>
      <c r="P127" s="184"/>
      <c r="Q127" s="187">
        <v>2322360000</v>
      </c>
      <c r="R127" s="187">
        <v>456040000</v>
      </c>
      <c r="S127" s="149">
        <f>DATE(2025,9,30)</f>
        <v>45930</v>
      </c>
      <c r="T127" s="183"/>
    </row>
  </sheetData>
  <printOptions horizontalCentered="1"/>
  <pageMargins left="0.7" right="0.7" top="0.75" bottom="0.75" header="0.3" footer="0.3"/>
  <pageSetup orientation="landscape" fitToWidth="1" fitToHeight="1"/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4"/>
  <sheetViews>
    <sheetView showGridLines="0" workbookViewId="0">
      <selection activeCell="A1" sqref="A1"/>
    </sheetView>
  </sheetViews>
  <cols>
    <col min="1" max="1" width="2.21875" customWidth="1"/>
    <col min="2" max="2" width="34" customWidth="1"/>
    <col min="3" max="3" width="14.7109375" customWidth="1"/>
    <col min="4" max="4" width="26.85546875" customWidth="1"/>
    <col min="5" max="6" width="8" customWidth="1"/>
    <col min="7" max="7" width="8.85546875" customWidth="1"/>
    <col min="8" max="8" width="17.85546875" customWidth="1"/>
    <col min="9" max="9" width="8" customWidth="1"/>
    <col min="10" max="10" width="10.140625" customWidth="1"/>
    <col min="11" max="11" width="17" customWidth="1"/>
    <col min="12" max="12" width="15.42578125" customWidth="1"/>
    <col min="13" max="13" width="16.28515625" customWidth="1"/>
    <col min="14" max="14" width="22.7109375" customWidth="1"/>
    <col min="15" max="15" width="20" customWidth="1"/>
    <col min="16" max="16" width="8" customWidth="1"/>
    <col min="17" max="17" width="19.7109375" customWidth="1"/>
    <col min="18" max="18" width="8" customWidth="1"/>
    <col min="19" max="19" width="13.5703125" customWidth="1"/>
    <col min="20" max="20" width="14.42578125" customWidth="1"/>
    <col min="21" max="21" width="24" customWidth="1"/>
  </cols>
  <sheetData>
    <row r="2">
      <c r="B2" t="s" s="2">
        <v>538</v>
      </c>
    </row>
    <row r="3">
      <c r="B3" t="s" s="27">
        <v>539</v>
      </c>
    </row>
    <row r="5">
      <c r="H5" t="s" s="10">
        <v>333</v>
      </c>
      <c r="I5" s="10"/>
      <c r="J5" s="10"/>
    </row>
    <row r="6">
      <c r="B6" t="s" s="5">
        <v>266</v>
      </c>
      <c r="C6" t="s" s="4">
        <v>276</v>
      </c>
      <c r="D6" t="s" s="4">
        <v>292</v>
      </c>
      <c r="E6" t="s" s="4">
        <v>540</v>
      </c>
      <c r="F6" t="s" s="4">
        <v>541</v>
      </c>
      <c r="G6" t="s" s="4">
        <v>480</v>
      </c>
      <c r="H6" t="s" s="4">
        <v>540</v>
      </c>
      <c r="I6" t="s" s="4">
        <v>541</v>
      </c>
      <c r="J6" t="s" s="4">
        <v>482</v>
      </c>
      <c r="K6" t="s" s="4">
        <v>483</v>
      </c>
      <c r="L6" t="s" s="4">
        <v>214</v>
      </c>
      <c r="M6" t="s" s="4">
        <v>484</v>
      </c>
      <c r="N6" t="s" s="63">
        <v>489</v>
      </c>
    </row>
    <row r="7">
      <c r="N7" s="59"/>
    </row>
    <row r="8">
      <c r="B8" s="8">
        <f>DATE(2025,8,21)</f>
        <v>45890</v>
      </c>
      <c r="C8" t="s">
        <v>291</v>
      </c>
      <c r="D8" t="s">
        <v>293</v>
      </c>
      <c r="E8" t="s" s="7">
        <v>311</v>
      </c>
      <c r="F8" t="s" s="7">
        <v>311</v>
      </c>
      <c r="G8" s="11">
        <v>12.1</v>
      </c>
      <c r="H8" s="14">
        <v>5.9</v>
      </c>
      <c r="I8" s="14">
        <v>5.8</v>
      </c>
      <c r="J8" s="15">
        <f>IF(ISNUMBER(H8),H8,I8)</f>
        <v>5.9</v>
      </c>
      <c r="K8" s="60">
        <v>18.4</v>
      </c>
      <c r="L8" s="106">
        <v>0.32</v>
      </c>
      <c r="M8" t="s">
        <v>485</v>
      </c>
      <c r="N8" t="str" s="59">
        <f>C8&amp;" ("&amp;TEXT(B8,"mmm-yy")&amp;")"</f>
        <v>Dayforce (Aug-25)</v>
      </c>
    </row>
    <row r="9">
      <c r="B9" s="8">
        <f>DATE(2025,8,13)</f>
        <v>45882</v>
      </c>
      <c r="C9" t="s">
        <v>290</v>
      </c>
      <c r="D9" t="s">
        <v>303</v>
      </c>
      <c r="E9" t="s" s="7">
        <v>311</v>
      </c>
      <c r="F9" t="s" s="7">
        <v>312</v>
      </c>
      <c r="G9" s="11">
        <v>2.3</v>
      </c>
      <c r="H9" s="14">
        <v>3.8</v>
      </c>
      <c r="I9" s="15"/>
      <c r="J9" s="15">
        <f>IF(ISNUMBER(H9),H9,I9)</f>
        <v>3.8</v>
      </c>
      <c r="K9" t="s" s="39">
        <v>452</v>
      </c>
      <c r="L9" s="106">
        <v>0.64</v>
      </c>
      <c r="M9" t="s">
        <v>486</v>
      </c>
      <c r="N9" t="str" s="59">
        <f>C9&amp;" ("&amp;TEXT(B9,"mmm-yy")&amp;")"</f>
        <v>Sapiens (Aug-25)</v>
      </c>
    </row>
    <row r="10">
      <c r="B10" s="8">
        <f>DATE(2025,1,13)</f>
        <v>45670</v>
      </c>
      <c r="C10" t="s">
        <v>289</v>
      </c>
      <c r="D10" t="s">
        <v>302</v>
      </c>
      <c r="E10" t="s" s="7">
        <v>311</v>
      </c>
      <c r="F10" t="s" s="7">
        <v>311</v>
      </c>
      <c r="G10" s="11">
        <v>1.4</v>
      </c>
      <c r="H10" s="14">
        <v>6.2</v>
      </c>
      <c r="I10" s="14">
        <v>6.1</v>
      </c>
      <c r="J10" s="15">
        <f>IF(ISNUMBER(H10),H10,I10)</f>
        <v>6.2</v>
      </c>
      <c r="K10" s="60">
        <v>26.1</v>
      </c>
      <c r="L10" s="106">
        <v>0.316</v>
      </c>
      <c r="M10" t="s">
        <v>486</v>
      </c>
      <c r="N10" t="str" s="59">
        <f>C10&amp;" ("&amp;TEXT(B10,"mmm-yy")&amp;")"</f>
        <v>Enfusion (Jan-25)</v>
      </c>
    </row>
    <row r="11">
      <c r="B11" s="8">
        <f>DATE(2024,9,24)</f>
        <v>45559</v>
      </c>
      <c r="C11" t="s">
        <v>288</v>
      </c>
      <c r="D11" t="s">
        <v>301</v>
      </c>
      <c r="E11" t="s" s="7">
        <v>312</v>
      </c>
      <c r="F11" t="s" s="7">
        <v>311</v>
      </c>
      <c r="G11" s="11">
        <v>7.6</v>
      </c>
      <c r="H11" s="15"/>
      <c r="I11" s="14">
        <v>6.2</v>
      </c>
      <c r="J11" s="15">
        <f>IF(ISNUMBER(H11),H11,I11)</f>
        <v>6.2</v>
      </c>
      <c r="K11" s="60">
        <v>30.2</v>
      </c>
      <c r="L11" s="106">
        <v>0.41</v>
      </c>
      <c r="M11" t="s">
        <v>205</v>
      </c>
      <c r="N11" t="str" s="59">
        <f>C11&amp;" ("&amp;TEXT(B11,"mmm-yy")&amp;")"</f>
        <v>Smartsheet (Sep-24)</v>
      </c>
    </row>
    <row r="12">
      <c r="B12" s="8">
        <f>DATE(2024,7,25)</f>
        <v>45498</v>
      </c>
      <c r="C12" t="s">
        <v>287</v>
      </c>
      <c r="D12" t="s">
        <v>300</v>
      </c>
      <c r="E12" t="s" s="7">
        <v>311</v>
      </c>
      <c r="F12" t="s" s="7">
        <v>312</v>
      </c>
      <c r="G12" s="11">
        <v>4.7</v>
      </c>
      <c r="H12" s="14">
        <v>6.9</v>
      </c>
      <c r="I12" s="15"/>
      <c r="J12" s="15">
        <f>IF(ISNUMBER(H12),H12,I12)</f>
        <v>6.9</v>
      </c>
      <c r="K12" t="s" s="39">
        <v>452</v>
      </c>
      <c r="L12" s="106">
        <v>0.16</v>
      </c>
      <c r="M12" t="s">
        <v>485</v>
      </c>
      <c r="N12" t="str" s="59">
        <f>C12&amp;" ("&amp;TEXT(B12,"mmm-yy")&amp;")"</f>
        <v>Instructure (Jul-24)</v>
      </c>
    </row>
    <row r="13">
      <c r="B13" s="8">
        <f>DATE(2024,7,11)</f>
        <v>45484</v>
      </c>
      <c r="C13" t="s">
        <v>286</v>
      </c>
      <c r="D13" t="s">
        <v>299</v>
      </c>
      <c r="E13" t="s" s="7">
        <v>311</v>
      </c>
      <c r="F13" t="s" s="7">
        <v>312</v>
      </c>
      <c r="G13" s="11">
        <v>4.5</v>
      </c>
      <c r="H13" s="14">
        <v>3.2</v>
      </c>
      <c r="I13" s="15"/>
      <c r="J13" s="15">
        <f>IF(ISNUMBER(H13),H13,I13)</f>
        <v>3.2</v>
      </c>
      <c r="K13" t="s" s="39">
        <v>452</v>
      </c>
      <c r="L13" t="s" s="107">
        <v>452</v>
      </c>
      <c r="M13" t="s">
        <v>487</v>
      </c>
      <c r="N13" t="str" s="59">
        <f>C13&amp;" ("&amp;TEXT(B13,"mmm-yy")&amp;")"</f>
        <v>Envestnet (Jul-24)</v>
      </c>
    </row>
    <row r="14">
      <c r="B14" s="8">
        <f>DATE(2024,6,7)</f>
        <v>45450</v>
      </c>
      <c r="C14" t="s">
        <v>285</v>
      </c>
      <c r="D14" t="s">
        <v>299</v>
      </c>
      <c r="E14" t="s" s="7">
        <v>311</v>
      </c>
      <c r="F14" t="s" s="7">
        <v>311</v>
      </c>
      <c r="G14" s="11">
        <v>5.8</v>
      </c>
      <c r="H14" s="14">
        <v>7.2</v>
      </c>
      <c r="I14" s="14">
        <v>7.1</v>
      </c>
      <c r="J14" s="15">
        <f>IF(ISNUMBER(H14),H14,I14)</f>
        <v>7.2</v>
      </c>
      <c r="K14" s="60">
        <v>20</v>
      </c>
      <c r="L14" s="106">
        <v>0.37</v>
      </c>
      <c r="M14" t="s">
        <v>485</v>
      </c>
      <c r="N14" t="str" s="59">
        <f>C14&amp;" ("&amp;TEXT(B14,"mmm-yy")&amp;")"</f>
        <v>PowerSchool (Jun-24)</v>
      </c>
    </row>
    <row r="15">
      <c r="B15" s="8">
        <f>DATE(2023,4,27)</f>
        <v>45043</v>
      </c>
      <c r="C15" t="s">
        <v>284</v>
      </c>
      <c r="D15" t="s">
        <v>298</v>
      </c>
      <c r="E15" t="s" s="7">
        <v>311</v>
      </c>
      <c r="F15" t="s" s="7">
        <v>311</v>
      </c>
      <c r="G15" s="11">
        <v>4.3</v>
      </c>
      <c r="H15" s="14">
        <v>6.5</v>
      </c>
      <c r="I15" s="14">
        <v>6.2</v>
      </c>
      <c r="J15" s="15">
        <f>IF(ISNUMBER(H15),H15,I15)</f>
        <v>6.5</v>
      </c>
      <c r="K15" s="60">
        <v>26.1</v>
      </c>
      <c r="L15" s="106">
        <v>0.389</v>
      </c>
      <c r="M15" t="s">
        <v>488</v>
      </c>
      <c r="N15" t="str" s="59">
        <f>C15&amp;" ("&amp;TEXT(B15,"mmm-yy")&amp;")"</f>
        <v>SimCorp (Apr-23)</v>
      </c>
    </row>
    <row r="16">
      <c r="B16" s="8">
        <f>DATE(2023,3,14)</f>
        <v>44999</v>
      </c>
      <c r="C16" t="s">
        <v>283</v>
      </c>
      <c r="D16" t="s">
        <v>297</v>
      </c>
      <c r="E16" t="s" s="7">
        <v>311</v>
      </c>
      <c r="F16" t="s" s="7">
        <v>312</v>
      </c>
      <c r="G16" s="11">
        <v>4.5</v>
      </c>
      <c r="H16" s="14">
        <v>6.4</v>
      </c>
      <c r="I16" s="15"/>
      <c r="J16" s="15">
        <f>IF(ISNUMBER(H16),H16,I16)</f>
        <v>6.4</v>
      </c>
      <c r="K16" t="s" s="39">
        <v>452</v>
      </c>
      <c r="L16" s="106">
        <v>0.52</v>
      </c>
      <c r="M16" t="s">
        <v>205</v>
      </c>
      <c r="N16" t="str" s="59">
        <f>C16&amp;" ("&amp;TEXT(B16,"mmm-yy")&amp;")"</f>
        <v>Cvent (Mar-23)</v>
      </c>
    </row>
    <row r="17">
      <c r="B17" s="8">
        <f>DATE(2023,3,1)</f>
        <v>44986</v>
      </c>
      <c r="C17" t="s">
        <v>282</v>
      </c>
      <c r="D17" t="s">
        <v>296</v>
      </c>
      <c r="E17" t="s" s="7">
        <v>312</v>
      </c>
      <c r="F17" t="s" s="7">
        <v>311</v>
      </c>
      <c r="G17" s="11">
        <v>11.7</v>
      </c>
      <c r="H17" s="15"/>
      <c r="I17" s="14">
        <v>6.9</v>
      </c>
      <c r="J17" s="15">
        <f>IF(ISNUMBER(H17),H17,I17)</f>
        <v>6.9</v>
      </c>
      <c r="K17" s="60">
        <v>41.6</v>
      </c>
      <c r="L17" s="106">
        <v>0.62</v>
      </c>
      <c r="M17" t="s">
        <v>485</v>
      </c>
      <c r="N17" t="str" s="59">
        <f>C17&amp;" ("&amp;TEXT(B17,"mmm-yy")&amp;")"</f>
        <v>Qualtrics (Mar-23)</v>
      </c>
    </row>
    <row r="18">
      <c r="B18" s="8">
        <f>DATE(2022,12,12)</f>
        <v>44907</v>
      </c>
      <c r="C18" t="s">
        <v>281</v>
      </c>
      <c r="D18" t="s">
        <v>293</v>
      </c>
      <c r="E18" t="s" s="7">
        <v>311</v>
      </c>
      <c r="F18" t="s" s="7">
        <v>311</v>
      </c>
      <c r="G18" s="11">
        <v>8.1</v>
      </c>
      <c r="H18" s="14">
        <v>8.7</v>
      </c>
      <c r="I18" s="14">
        <v>8.4</v>
      </c>
      <c r="J18" s="15">
        <f>IF(ISNUMBER(H18),H18,I18)</f>
        <v>8.7</v>
      </c>
      <c r="K18" s="60">
        <v>37.7</v>
      </c>
      <c r="L18" s="106">
        <v>0.77</v>
      </c>
      <c r="M18" t="s">
        <v>485</v>
      </c>
      <c r="N18" t="str" s="59">
        <f>C18&amp;" ("&amp;TEXT(B18,"mmm-yy")&amp;")"</f>
        <v>Coupa Software (Dec-22)</v>
      </c>
    </row>
    <row r="19">
      <c r="B19" s="8">
        <f>DATE(2022,5,4)</f>
        <v>44685</v>
      </c>
      <c r="C19" t="s">
        <v>280</v>
      </c>
      <c r="D19" t="s">
        <v>295</v>
      </c>
      <c r="E19" t="s" s="7">
        <v>311</v>
      </c>
      <c r="F19" t="s" s="7">
        <v>312</v>
      </c>
      <c r="G19" s="11">
        <v>14.3</v>
      </c>
      <c r="H19" s="14">
        <v>9</v>
      </c>
      <c r="I19" s="15"/>
      <c r="J19" s="15">
        <f>IF(ISNUMBER(H19),H19,I19)</f>
        <v>9</v>
      </c>
      <c r="K19" t="s" s="39">
        <v>452</v>
      </c>
      <c r="L19" s="106">
        <v>0.34</v>
      </c>
      <c r="M19" t="s">
        <v>488</v>
      </c>
      <c r="N19" t="str" s="59">
        <f>C19&amp;" ("&amp;TEXT(B19,"mmm-yy")&amp;")"</f>
        <v>Black Knight (May-22)</v>
      </c>
    </row>
    <row r="20">
      <c r="B20" s="8">
        <f>DATE(2021,8,19)</f>
        <v>44427</v>
      </c>
      <c r="C20" t="s">
        <v>279</v>
      </c>
      <c r="D20" t="s">
        <v>294</v>
      </c>
      <c r="E20" t="s" s="7">
        <v>311</v>
      </c>
      <c r="F20" t="s" s="7">
        <v>311</v>
      </c>
      <c r="G20" s="11">
        <v>7.2</v>
      </c>
      <c r="H20" s="14">
        <v>8.9</v>
      </c>
      <c r="I20" s="14">
        <v>8.5</v>
      </c>
      <c r="J20" s="15">
        <f>IF(ISNUMBER(H20),H20,I20)</f>
        <v>8.9</v>
      </c>
      <c r="K20" s="60">
        <v>24.5</v>
      </c>
      <c r="L20" s="106">
        <v>0.253</v>
      </c>
      <c r="M20" t="s">
        <v>485</v>
      </c>
      <c r="N20" t="str" s="59">
        <f>C20&amp;" ("&amp;TEXT(B20,"mmm-yy")&amp;")"</f>
        <v>Inovalon (Aug-21)</v>
      </c>
    </row>
    <row r="21">
      <c r="B21" s="8">
        <f>DATE(2021,4,26)</f>
        <v>44312</v>
      </c>
      <c r="C21" t="s">
        <v>278</v>
      </c>
      <c r="D21" t="s">
        <v>293</v>
      </c>
      <c r="E21" t="s" s="7">
        <v>312</v>
      </c>
      <c r="F21" t="s" s="7">
        <v>311</v>
      </c>
      <c r="G21" s="11">
        <v>10.2</v>
      </c>
      <c r="H21" s="15"/>
      <c r="I21" s="14">
        <v>8</v>
      </c>
      <c r="J21" s="15">
        <f>IF(ISNUMBER(H21),H21,I21)</f>
        <v>8</v>
      </c>
      <c r="K21" s="60">
        <v>51.3</v>
      </c>
      <c r="L21" s="106">
        <v>0.34</v>
      </c>
      <c r="M21" t="s">
        <v>488</v>
      </c>
      <c r="N21" t="str" s="59">
        <f>C21&amp;" ("&amp;TEXT(B21,"mmm-yy")&amp;")"</f>
        <v>Proofpoint (Apr-21)</v>
      </c>
    </row>
    <row r="22">
      <c r="B22" s="8">
        <f>DATE(2020,12,21)</f>
        <v>44186</v>
      </c>
      <c r="C22" t="s">
        <v>277</v>
      </c>
      <c r="D22" t="s">
        <v>293</v>
      </c>
      <c r="E22" t="s" s="7">
        <v>311</v>
      </c>
      <c r="F22" t="s" s="7">
        <v>311</v>
      </c>
      <c r="G22" s="11">
        <v>10.2</v>
      </c>
      <c r="H22" s="14">
        <v>8.2</v>
      </c>
      <c r="I22" s="14">
        <v>8</v>
      </c>
      <c r="J22" s="15">
        <f>IF(ISNUMBER(H22),H22,I22)</f>
        <v>8.2</v>
      </c>
      <c r="K22" s="60">
        <v>28.6</v>
      </c>
      <c r="L22" s="106">
        <v>0.308</v>
      </c>
      <c r="M22" t="s">
        <v>488</v>
      </c>
      <c r="N22" t="str" s="59">
        <f>C22&amp;" ("&amp;TEXT(B22,"mmm-yy")&amp;")"</f>
        <v>RealPage (Dec-20)</v>
      </c>
    </row>
    <row r="23">
      <c r="H23" s="15"/>
      <c r="I23" s="15"/>
      <c r="J23" s="15"/>
      <c r="K23" s="15"/>
      <c r="L23" s="16"/>
    </row>
    <row r="24">
      <c r="B24" t="s" s="9">
        <v>228</v>
      </c>
      <c r="C24" s="9"/>
      <c r="D24" s="9"/>
      <c r="E24" s="9"/>
      <c r="F24" s="9"/>
      <c r="G24" s="9"/>
      <c r="H24" s="61">
        <f>MEDIAN(H8:H22)</f>
        <v>6.7</v>
      </c>
      <c r="I24" s="61">
        <f>MEDIAN(I8:I22)</f>
        <v>7</v>
      </c>
      <c r="J24" s="61">
        <f>MEDIAN(J8:J22)</f>
        <v>6.9</v>
      </c>
      <c r="K24" s="61">
        <f>MEDIAN(K8:K22)</f>
        <v>27.35</v>
      </c>
      <c r="L24" s="83">
        <f>MEDIAN(L8:L22)</f>
        <v>0.355</v>
      </c>
      <c r="M24" s="9"/>
      <c r="N24" s="9"/>
    </row>
    <row r="25">
      <c r="B25" t="s">
        <v>234</v>
      </c>
      <c r="H25" s="15">
        <f>_xlfn.QUARTILE.INC(H8:H22,1)</f>
        <v>6.125</v>
      </c>
      <c r="I25" s="15">
        <f>_xlfn.QUARTILE.INC(I8:I22,1)</f>
        <v>6.2</v>
      </c>
      <c r="J25" s="15">
        <f>_xlfn.QUARTILE.INC(J8:J22,1)</f>
        <v>6.2</v>
      </c>
      <c r="K25" s="15">
        <f>_xlfn.QUARTILE.INC(K8:K22,1)</f>
        <v>24.9</v>
      </c>
      <c r="L25" s="16">
        <f>_xlfn.QUARTILE.INC(L8:L22,1)</f>
        <v>0.317</v>
      </c>
    </row>
    <row r="26">
      <c r="B26" t="s">
        <v>233</v>
      </c>
      <c r="H26" s="15">
        <f>_xlfn.QUARTILE.INC(H8:H22,3)</f>
        <v>8.325</v>
      </c>
      <c r="I26" s="15">
        <f>_xlfn.QUARTILE.INC(I8:I22,3)</f>
        <v>8</v>
      </c>
      <c r="J26" s="15">
        <f>_xlfn.QUARTILE.INC(J8:J22,3)</f>
        <v>8.1</v>
      </c>
      <c r="K26" s="15">
        <f>_xlfn.QUARTILE.INC(K8:K22,3)</f>
        <v>35.825</v>
      </c>
      <c r="L26" s="16">
        <f>_xlfn.QUARTILE.INC(L8:L22,3)</f>
        <v>0.4925</v>
      </c>
    </row>
    <row r="27">
      <c r="B27" t="s">
        <v>542</v>
      </c>
      <c r="H27" s="14">
        <v>6.7</v>
      </c>
      <c r="I27" s="14">
        <v>7</v>
      </c>
      <c r="J27" s="15"/>
      <c r="K27" s="15"/>
    </row>
    <row r="29">
      <c r="B29" t="s" s="18">
        <v>474</v>
      </c>
      <c r="C29" s="18"/>
      <c r="D29" t="s" s="19">
        <v>348</v>
      </c>
      <c r="E29" s="19"/>
      <c r="F29" t="s" s="19">
        <v>479</v>
      </c>
      <c r="G29" t="s" s="19">
        <v>228</v>
      </c>
      <c r="H29" t="s" s="19">
        <v>481</v>
      </c>
      <c r="I29" t="s" s="19">
        <v>437</v>
      </c>
      <c r="J29" t="s" s="19">
        <v>439</v>
      </c>
      <c r="K29" t="s" s="19">
        <v>441</v>
      </c>
      <c r="L29" t="s" s="19">
        <v>442</v>
      </c>
    </row>
    <row r="30">
      <c r="B30" t="s">
        <v>274</v>
      </c>
      <c r="D30" s="35">
        <f>'Trading Comps'!$X$77</f>
        <v>940</v>
      </c>
      <c r="F30" s="15">
        <f>J25</f>
        <v>6.2</v>
      </c>
      <c r="G30" s="15">
        <f>J24</f>
        <v>6.9</v>
      </c>
      <c r="H30" s="15">
        <f>J26</f>
        <v>8.1</v>
      </c>
      <c r="I30" s="23">
        <f>(F30*D30-'Trading Comps'!$X$67+'Trading Comps'!$X$68+'Trading Comps'!$X$69+'Trading Comps'!$X$64/10^6*'Trading Comps'!$X$65-'Trading Comps'!$X$66)/(('Trading Comps'!$X$60+'Trading Comps'!$X$61+'Trading Comps'!$X$62+'Trading Comps'!$X$63+'Trading Comps'!$X$64)/10^6)</f>
        <v>16.23404834346717</v>
      </c>
      <c r="J30" s="23">
        <f>(G30*D30-'Trading Comps'!$X$67+'Trading Comps'!$X$68+'Trading Comps'!$X$69+'Trading Comps'!$X$64/10^6*'Trading Comps'!$X$65-'Trading Comps'!$X$66)/(('Trading Comps'!$X$60+'Trading Comps'!$X$61+'Trading Comps'!$X$62+'Trading Comps'!$X$63+'Trading Comps'!$X$64)/10^6)</f>
        <v>18.334531143907963</v>
      </c>
      <c r="K30" s="23">
        <f>(H30*D30-'Trading Comps'!$X$67+'Trading Comps'!$X$68+'Trading Comps'!$X$69+'Trading Comps'!$X$64/10^6*'Trading Comps'!$X$65-'Trading Comps'!$X$66)/(('Trading Comps'!$X$60+'Trading Comps'!$X$61+'Trading Comps'!$X$62+'Trading Comps'!$X$63+'Trading Comps'!$X$64)/10^6)</f>
        <v>21.935358801806466</v>
      </c>
      <c r="L30" s="17">
        <f>'Trading Comps'!$X$58/J30-1</f>
        <v>0.33900342513843107</v>
      </c>
    </row>
    <row r="31">
      <c r="B31" t="s">
        <v>475</v>
      </c>
      <c r="D31" s="35">
        <f>'Trading Comps'!$X$78</f>
        <v>338</v>
      </c>
      <c r="F31" s="15">
        <f>K25</f>
        <v>24.9</v>
      </c>
      <c r="G31" s="15">
        <f>K24</f>
        <v>27.35</v>
      </c>
      <c r="H31" s="15">
        <f>K26</f>
        <v>35.825</v>
      </c>
      <c r="I31" s="23">
        <f>(F31*D31-'Trading Comps'!$X$67+'Trading Comps'!$X$68+'Trading Comps'!$X$69+'Trading Comps'!$X$64/10^6*'Trading Comps'!$X$65-'Trading Comps'!$X$66)/(('Trading Comps'!$X$60+'Trading Comps'!$X$61+'Trading Comps'!$X$62+'Trading Comps'!$X$63+'Trading Comps'!$X$64)/10^6)</f>
        <v>24.496160173407684</v>
      </c>
      <c r="J31" s="23">
        <f>(G31*D31-'Trading Comps'!$X$67+'Trading Comps'!$X$68+'Trading Comps'!$X$69+'Trading Comps'!$X$64/10^6*'Trading Comps'!$X$65-'Trading Comps'!$X$66)/(('Trading Comps'!$X$60+'Trading Comps'!$X$61+'Trading Comps'!$X$62+'Trading Comps'!$X$63+'Trading Comps'!$X$64)/10^6)</f>
        <v>27.139640123324135</v>
      </c>
      <c r="K31" s="23">
        <f>(H31*D31-'Trading Comps'!$X$67+'Trading Comps'!$X$68+'Trading Comps'!$X$69+'Trading Comps'!$X$64/10^6*'Trading Comps'!$X$65-'Trading Comps'!$X$66)/(('Trading Comps'!$X$60+'Trading Comps'!$X$61+'Trading Comps'!$X$62+'Trading Comps'!$X$63+'Trading Comps'!$X$64)/10^6)</f>
        <v>36.28392280721878</v>
      </c>
      <c r="L31" s="17">
        <f>'Trading Comps'!$X$58/J31-1</f>
        <v>-0.09541910325843139</v>
      </c>
    </row>
    <row r="32">
      <c r="B32" t="s">
        <v>476</v>
      </c>
      <c r="D32" s="22">
        <f>'Trading Comps'!$X$57</f>
        <v>16.69</v>
      </c>
      <c r="F32" s="16">
        <f>L25</f>
        <v>0.317</v>
      </c>
      <c r="G32" s="16">
        <f>L24</f>
        <v>0.355</v>
      </c>
      <c r="H32" s="16">
        <f>L26</f>
        <v>0.4925</v>
      </c>
      <c r="I32" s="23">
        <f>D32*(1+F32)</f>
        <v>21.98073</v>
      </c>
      <c r="J32" s="23">
        <f>D32*(1+G32)</f>
        <v>22.61495</v>
      </c>
      <c r="K32" s="23">
        <f>D32*(1+H32)</f>
        <v>24.909825</v>
      </c>
      <c r="L32" s="17">
        <f>'Trading Comps'!$X$58/J32-1</f>
        <v>0.08556507973707661</v>
      </c>
    </row>
    <row r="33">
      <c r="B33" t="s">
        <v>477</v>
      </c>
      <c r="J33" s="15">
        <f>'Trading Comps'!AH9/'Trading Comps'!X77</f>
        <v>8.971346739117022</v>
      </c>
    </row>
    <row r="34">
      <c r="B34" t="s">
        <v>478</v>
      </c>
      <c r="J34" s="16">
        <f>'Trading Comps'!X58/'Trading Comps'!X57-1</f>
        <v>0.4709406830437386</v>
      </c>
    </row>
  </sheetData>
  <pageMargins left="0.7" right="0.7" top="0.75" bottom="0.75" header="0.3" footer="0.3"/>
  <drawing r:id="rId1"/>
  <legacyDrawing r:id="rId3"/>
</worksheet>
</file>

<file path=ccalc/calcState.xml><?xml version="1.0" encoding="utf-8"?>
<calcState xmlns="urn:twentyai:ccalc:calc-state" version="1" digest="791b4e04d00e6e04ca2b95d95c776df4affa6d1fbc6865f5d1eef610986ad662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2026-10-20T21:35:10Z</dcterms:created>
  <dcterms:modified xsi:type="dcterms:W3CDTF">2026-10-20T21:35:11Z</dcterms:modified>
  <cp:category/>
  <cp:contentStatus/>
</cp:coreProperties>
</file>