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harts/chart1.xml" ContentType="application/vnd.openxmlformats-officedocument.drawingml.chart+xml"/>
  <Override PartName="/xl/charts/colors1.xml" ContentType="application/vnd.ms-office.chartcolorstyle+xml"/>
  <Override PartName="/xl/charts/style1.xml" ContentType="application/vnd.ms-office.chart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Annual KPIs" sheetId="1" r:id="rId1"/>
    <sheet name="Quarterly" sheetId="2" r:id="rId2"/>
    <sheet name="ARR Bridge" sheetId="3" r:id="rId3"/>
    <sheet name="Cohorts" sheetId="4" r:id="rId4"/>
    <sheet name="Price Read-across" sheetId="5" r:id="rId5"/>
    <sheet name="Definitions &amp; Flags" sheetId="6" r:id="rId6"/>
  </sheets>
  <calcPr/>
  <extLst>
    <ext xmlns:xccaches="urn:twentyai:ccalc:caches" uri="{3C5F2E7A-9B41-4D6E-A8C2-19409CCA1C01}">
      <xccaches:writer/>
    </ext>
  </extLst>
</workbook>
</file>

<file path=xl/comments1.xml><?xml version="1.0" encoding="utf-8"?>
<comments xmlns="http://schemas.openxmlformats.org/spreadsheetml/2006/main">
  <authors>
    <author>Compound</author>
  </authors>
  <commentList>
    <comment ref="D10" authorId="0">
      <text>
        <t xml:space="preserve">CWAN 10-K FY2021 (filed 2022-03-16).pdf (page 13)</t>
      </text>
    </comment>
    <comment ref="D11" authorId="0">
      <text>
        <t xml:space="preserve">CWAN 10-K FY2021 (filed 2022-03-16).pdf (page 47)</t>
      </text>
    </comment>
    <comment ref="D9" authorId="0">
      <text>
        <t xml:space="preserve">CWAN 10-K FY2021 (filed 2022-03-16).pdf (page 13)</t>
      </text>
    </comment>
    <comment ref="E10" authorId="0">
      <text>
        <t xml:space="preserve">CWAN 10-K FY2022 (filed 2023-03-03).pdf (page 14)</t>
      </text>
    </comment>
    <comment ref="E11" authorId="0">
      <text>
        <t xml:space="preserve">CWAN 10-K FY2022 (filed 2023-03-03).pdf (page 61)</t>
      </text>
    </comment>
    <comment ref="E9" authorId="0">
      <text>
        <t xml:space="preserve">CWAN 10-K FY2022 (filed 2023-03-03).pdf (page 14)</t>
      </text>
    </comment>
    <comment ref="F10" authorId="0">
      <text>
        <t xml:space="preserve">CWAN 10-K FY2023 (filed 2024-02-29).pdf (page 18)</t>
      </text>
    </comment>
    <comment ref="F11" authorId="0">
      <text>
        <t xml:space="preserve">CWAN 10-K FY2023 (filed 2024-02-29).pdf (page 78)</t>
      </text>
    </comment>
    <comment ref="F9" authorId="0">
      <text>
        <t xml:space="preserve">CWAN 10-K FY2023 (filed 2024-02-29).pdf (page 18)</t>
      </text>
    </comment>
    <comment ref="G10" authorId="0">
      <text>
        <t xml:space="preserve">CWAN 10-K FY2024 (filed 2025-02-26).pdf (page 19)</t>
      </text>
    </comment>
    <comment ref="G11" authorId="0">
      <text>
        <t xml:space="preserve">CWAN 10-K FY2024 (filed 2025-02-26).pdf (page 71)</t>
      </text>
    </comment>
    <comment ref="G9" authorId="0">
      <text>
        <t xml:space="preserve">CWAN 10-K FY2024 (filed 2025-02-26).pdf (page 19)</t>
      </text>
    </comment>
    <comment ref="H10" authorId="0">
      <text>
        <t xml:space="preserve">CWAN 10-K FY2025 (filed 2026-02-18).pdf (page 18)</t>
      </text>
    </comment>
    <comment ref="H11" authorId="0">
      <text>
        <t xml:space="preserve">CWAN 10-K FY2025 (filed 2026-02-18).pdf (page 68)</t>
      </text>
    </comment>
    <comment ref="H12" authorId="0">
      <text>
        <t xml:space="preserve">CWAN 10-Q FY2025 Q3 (filed 2025-11-05).pdf (page 43)</t>
      </text>
    </comment>
    <comment ref="H9" authorId="0">
      <text>
        <t xml:space="preserve">CWAN 10-K FY2025 (filed 2026-02-18).pdf (page 18)</t>
      </text>
    </comment>
  </commentList>
</comments>
</file>

<file path=xl/comments2.xml><?xml version="1.0" encoding="utf-8"?>
<comments xmlns="http://schemas.openxmlformats.org/spreadsheetml/2006/main">
  <authors>
    <author>Compound</author>
  </authors>
  <commentList>
    <comment ref="C47" authorId="0">
      <text>
        <t xml:space="preserve">CWAN Earnings Release FY2026 Q1 (issued 2026-05-07).pdf (page 3)</t>
      </text>
    </comment>
    <comment ref="C48" authorId="0">
      <text>
        <t xml:space="preserve">CWAN Earnings Release FY2026 Q1 (issued 2026-05-07).pdf (page 3)</t>
      </text>
    </comment>
    <comment ref="D32" authorId="0">
      <text>
        <t xml:space="preserve">CWAN Earnings Call FY2025 Q2 (held 2025-08-06).pdf (page 5)</t>
      </text>
    </comment>
    <comment ref="D35" authorId="0">
      <text>
        <t xml:space="preserve">CWAN Earnings Call FY2025 Q2 (held 2025-08-06).pdf (page 4)</t>
      </text>
    </comment>
    <comment ref="E35" authorId="0">
      <text>
        <t xml:space="preserve">CWAN Earnings Call FY2025 Q3 (held 2025-11-05).pdf (page 5)</t>
      </text>
    </comment>
    <comment ref="E39" authorId="0">
      <text>
        <t xml:space="preserve">Cited for C39:E41
CWAN 10-Q FY2025 Q3 (filed 2025-11-05).pdf (page 46)</t>
      </text>
    </comment>
    <comment ref="F10" authorId="0">
      <text>
        <t xml:space="preserve">Cited for C10:F10
CWAN 10-K FY2023 (filed 2024-02-29).pdf (page 83)</t>
      </text>
    </comment>
    <comment ref="F11" authorId="0">
      <text>
        <t xml:space="preserve">Cited for C11:F11
CWAN 10-K FY2024 (filed 2025-02-26).pdf (page 77)</t>
      </text>
    </comment>
    <comment ref="F12" authorId="0">
      <text>
        <t xml:space="preserve">Cited for C12:F12
CWAN 10-K FY2025 (filed 2026-02-18).pdf (page 71)</t>
      </text>
    </comment>
    <comment ref="F15" authorId="0">
      <text>
        <t xml:space="preserve">Cited for C15:F15
CWAN 10-K FY2021 (filed 2022-03-16).pdf (page 50)</t>
      </text>
    </comment>
    <comment ref="F16" authorId="0">
      <text>
        <t xml:space="preserve">Cited for C16:F16
CWAN 10-K FY2021 (filed 2022-03-16).pdf (page 50)</t>
      </text>
    </comment>
    <comment ref="F17" authorId="0">
      <text>
        <t xml:space="preserve">Cited for C17:F17
CWAN 10-K FY2022 (filed 2023-03-03).pdf (page 64)</t>
      </text>
    </comment>
    <comment ref="F18" authorId="0">
      <text>
        <t xml:space="preserve">Cited for C18:F18
CWAN 10-K FY2023 (filed 2024-02-29).pdf (page 83)</t>
      </text>
    </comment>
    <comment ref="F19" authorId="0">
      <text>
        <t xml:space="preserve">Cited for C19:F19
CWAN 10-K FY2024 (filed 2025-02-26).pdf (page 78)</t>
      </text>
    </comment>
    <comment ref="F20" authorId="0">
      <text>
        <t xml:space="preserve">Cited for C20:F20
CWAN 10-K FY2025 (filed 2026-02-18).pdf (page 72)</t>
      </text>
    </comment>
    <comment ref="F23" authorId="0">
      <text>
        <t xml:space="preserve">Cited for C23:F23
CWAN 10-K FY2021 (filed 2022-03-16).pdf (page 50)</t>
      </text>
    </comment>
    <comment ref="F24" authorId="0">
      <text>
        <t xml:space="preserve">Cited for C24:F24
CWAN 10-K FY2021 (filed 2022-03-16).pdf (page 50)</t>
      </text>
    </comment>
    <comment ref="F25" authorId="0">
      <text>
        <t xml:space="preserve">Cited for C25:F25
CWAN 10-K FY2022 (filed 2023-03-03).pdf (page 64)</t>
      </text>
    </comment>
    <comment ref="F26" authorId="0">
      <text>
        <t xml:space="preserve">Cited for C26:F26
CWAN 10-K FY2023 (filed 2024-02-29).pdf (page 83)</t>
      </text>
    </comment>
    <comment ref="F27" authorId="0">
      <text>
        <t xml:space="preserve">Cited for C27:F27
CWAN 10-K FY2024 (filed 2025-02-26).pdf (page 78)</t>
      </text>
    </comment>
    <comment ref="F28" authorId="0">
      <text>
        <t xml:space="preserve">Cited for C28:F28
CWAN 10-K FY2025 (filed 2026-02-18).pdf (page 72)</t>
      </text>
    </comment>
    <comment ref="F31" authorId="0">
      <text>
        <t xml:space="preserve">Cited for D31:F31
CWAN 10-K FY2025 (filed 2026-02-18).pdf (page 72)</t>
      </text>
    </comment>
    <comment ref="F33" authorId="0">
      <text>
        <t xml:space="preserve">Cited for D33:F33
CWAN 10-K FY2025 (filed 2026-02-18).pdf (page 71)</t>
      </text>
    </comment>
    <comment ref="F7" authorId="0">
      <text>
        <t xml:space="preserve">Cited for C7:F7
CWAN 10-K FY2021 (filed 2022-03-16).pdf (page 49)</t>
      </text>
    </comment>
    <comment ref="F8" authorId="0">
      <text>
        <t xml:space="preserve">Cited for C8:F8
CWAN 10-K FY2021 (filed 2022-03-16).pdf (page 49)</t>
      </text>
    </comment>
    <comment ref="F9" authorId="0">
      <text>
        <t xml:space="preserve">Cited for C9:F9
CWAN 10-K FY2022 (filed 2023-03-03).pdf (page 64)</t>
      </text>
    </comment>
  </commentList>
</comments>
</file>

<file path=xl/comments3.xml><?xml version="1.0" encoding="utf-8"?>
<comments xmlns="http://schemas.openxmlformats.org/spreadsheetml/2006/main">
  <authors>
    <author>Compound</author>
  </authors>
  <commentList>
    <comment ref="D38" authorId="0">
      <text>
        <t xml:space="preserve">CWAN Press Release - JUMP Technology (2022-09-29).pdf (page 1)</t>
      </text>
    </comment>
    <comment ref="F37" authorId="0">
      <text>
        <t xml:space="preserve">CWAN Press Release - Wilshire Indices (2024-04-02).pdf (page 2)</t>
      </text>
    </comment>
    <comment ref="G31" authorId="0">
      <text>
        <t xml:space="preserve">Cited for G31:G32
CWAN Investor Presentation - Enfusion Acquisition (2025-01-13).pdf (page 3)</t>
      </text>
    </comment>
    <comment ref="G33" authorId="0">
      <text>
        <t xml:space="preserve">CWAN Press Release - Beacon and Bistro (2025-03-12).pdf (page 4)</t>
      </text>
    </comment>
  </commentList>
</comments>
</file>

<file path=xl/comments5.xml><?xml version="1.0" encoding="utf-8"?>
<comments xmlns="http://schemas.openxmlformats.org/spreadsheetml/2006/main">
  <authors>
    <author>Compound</author>
  </authors>
  <commentList>
    <comment ref="C12" authorId="0">
      <text>
        <t xml:space="preserve">Cited for C12:C14
CWAN DEFM14A Definitive Merger Proxy (filed 2026-04-08).pdf (page 78)</t>
      </text>
    </comment>
    <comment ref="C34" authorId="0">
      <text>
        <t xml:space="preserve">CWAN Earnings Call FY2025 Q2 (held 2025-08-06).pdf (page 5)</t>
      </text>
    </comment>
    <comment ref="C6" authorId="0">
      <text>
        <t xml:space="preserve">CWAN DEFM14A Definitive Merger Proxy (filed 2026-04-08).pdf (page 16)</t>
      </text>
    </comment>
    <comment ref="C7" authorId="0">
      <text>
        <t xml:space="preserve">Cited for C7:C8
CWAN DEFM14A Definitive Merger Proxy (filed 2026-04-08).pdf (page 61)</t>
      </text>
    </comment>
    <comment ref="C9" authorId="0">
      <text>
        <t xml:space="preserve">CWAN Press Release - Merger Announcement (2025-12-22).pdf (page 1)</t>
      </text>
    </comment>
  </commentList>
</comments>
</file>

<file path=xl/comments6.xml><?xml version="1.0" encoding="utf-8"?>
<comments xmlns="http://schemas.openxmlformats.org/spreadsheetml/2006/main">
  <authors>
    <author>Compound</author>
  </authors>
  <commentList>
    <comment ref="E16" authorId="0">
      <text>
        <t xml:space="preserve">CWAN 10-K FY2024 (filed 2025-02-26).pdf (page 71)</t>
      </text>
    </comment>
    <comment ref="E17" authorId="0">
      <text>
        <t xml:space="preserve">CWAN 10-K FY2025 (filed 2026-02-18).pdf (page 68)</t>
      </text>
    </comment>
    <comment ref="E18" authorId="0">
      <text>
        <t xml:space="preserve">CWAN 10-K FY2023 (filed 2024-02-29).pdf (page 78)</t>
      </text>
    </comment>
    <comment ref="E19" authorId="0">
      <text>
        <t xml:space="preserve">CWAN 10-K FY2025 (filed 2026-02-18).pdf (page 18)</t>
      </text>
    </comment>
    <comment ref="E20" authorId="0">
      <text>
        <t xml:space="preserve">CWAN 10-K FY2025 (filed 2026-02-18).pdf (page 72)</t>
      </text>
    </comment>
    <comment ref="E21" authorId="0">
      <text>
        <t xml:space="preserve">CWAN 10-K FY2025 (filed 2026-02-18).pdf (page 71)</t>
      </text>
    </comment>
    <comment ref="E22" authorId="0">
      <text>
        <t xml:space="preserve">CWAN Earnings Call FY2025 Q3 (held 2025-11-05).pdf (page 5)</t>
      </text>
    </comment>
    <comment ref="E23" authorId="0">
      <text>
        <t xml:space="preserve">CWAN Press Release - Wilshire Indices (2024-04-02).pdf (page 2)</t>
      </text>
    </comment>
    <comment ref="E24" authorId="0">
      <text>
        <t xml:space="preserve">CWAN 10-K FY2024 (filed 2025-02-26).pdf (page 19)</t>
      </text>
    </comment>
    <comment ref="E25" authorId="0">
      <text>
        <t xml:space="preserve">CWAN 10-K FY2025 (filed 2026-02-18).pdf (page 72)</t>
      </text>
    </comment>
    <comment ref="E26" authorId="0">
      <text>
        <t xml:space="preserve">CWAN 10-Q FY2025 Q3 (filed 2025-11-05).pdf (page 46)</t>
      </text>
    </comment>
    <comment ref="E27" authorId="0">
      <text>
        <t xml:space="preserve">CWAN DEFM14A Definitive Merger Proxy (filed 2026-04-08).pdf (page 78)</t>
      </text>
    </comment>
    <comment ref="E28" authorId="0">
      <text>
        <t xml:space="preserve">CWAN Earnings Release FY2026 Q1 (issued 2026-05-07).pdf (page 3)</t>
      </text>
    </comment>
  </commentList>
</comments>
</file>

<file path=xl/sharedStrings.xml><?xml version="1.0" encoding="utf-8"?>
<sst xmlns="http://schemas.openxmlformats.org/spreadsheetml/2006/main" count="396" uniqueCount="396">
  <si>
    <t>Clearwater Analytics (CWAN): quarterly ARR and revenue retention as disclosed</t>
  </si>
  <si>
    <t>(ARR in $ thousands as disclosed unless stated; retention rates as disclosed, whole percentages)</t>
  </si>
  <si>
    <t>Fiscal year</t>
  </si>
  <si>
    <t>ANNUALIZED RECURRING REVENUE ($000), DISCLOSED</t>
  </si>
  <si>
    <t>GROSS REVENUE RETENTION RATE, DISCLOSED</t>
  </si>
  <si>
    <t>NET REVENUE RETENTION RATE, DISCLOSED</t>
  </si>
  <si>
    <t>FY2025 ACQUISITION DISCLOSURES</t>
  </si>
  <si>
    <t>NRR excluding acquired entities (FY2025)</t>
  </si>
  <si>
    <t>NRR of historical business, per earnings call</t>
  </si>
  <si>
    <t>ARR of acquired entities ($m)</t>
  </si>
  <si>
    <t>Organic ARR, derived: total less acquired ($m)</t>
  </si>
  <si>
    <t>Organic ARR, per earnings call ($m)</t>
  </si>
  <si>
    <t>Check: derived less call ($m; call figure rounded)</t>
  </si>
  <si>
    <t>CROSS-CHECK: Q3 2025 FORM 10-Q AGAINST FY2025 FORM 10-K</t>
  </si>
  <si>
    <t>ARR per Q3 2025 10-Q ($000)</t>
  </si>
  <si>
    <t>GRR per Q3 2025 10-Q</t>
  </si>
  <si>
    <t>NRR per Q3 2025 10-Q</t>
  </si>
  <si>
    <t>Check: ARR, 10-Q less 10-K ($000)</t>
  </si>
  <si>
    <t>Check: GRR, 10-Q less 10-K</t>
  </si>
  <si>
    <t>Check: NRR, 10-Q less 10-K</t>
  </si>
  <si>
    <t>POST-PERIOD: AFTER THE DECEMBER 2025 SIGNING</t>
  </si>
  <si>
    <t>GRR, Q1 2026</t>
  </si>
  <si>
    <t>NRR, Q1 2026</t>
  </si>
  <si>
    <t>Q1</t>
  </si>
  <si>
    <t>n.a.</t>
  </si>
  <si>
    <t>Q2</t>
  </si>
  <si>
    <t>Q3</t>
  </si>
  <si>
    <t>Q4</t>
  </si>
  <si>
    <t>Source (document, printed page)</t>
  </si>
  <si>
    <t>Form 10-K FY2021, p. 42</t>
  </si>
  <si>
    <t>Form 10-K FY2022, p. 45</t>
  </si>
  <si>
    <t>Form 10-K FY2023, p. 47</t>
  </si>
  <si>
    <t>Form 10-K FY2024, p. 45</t>
  </si>
  <si>
    <t>Form 10-K FY2025, p. 47</t>
  </si>
  <si>
    <t>Form 10-K FY2021, p. 43</t>
  </si>
  <si>
    <t>Form 10-K FY2024, p. 46</t>
  </si>
  <si>
    <t>Form 10-K FY2025, p. 48</t>
  </si>
  <si>
    <t>Q2 2025 earnings call transcript, p. 5</t>
  </si>
  <si>
    <t>Compound calculation</t>
  </si>
  <si>
    <t>Q2 2025 earnings call, p. 4; Q3 2025 earnings call, p. 5</t>
  </si>
  <si>
    <t>Form 10-Q Q3 2025, p. 33</t>
  </si>
  <si>
    <t>Q1 2026 earnings release, p. 3</t>
  </si>
  <si>
    <t>Clearwater Analytics (CWAN): ARR, clients and revenue retention by year</t>
  </si>
  <si>
    <t>($ in millions unless stated; fiscal years end December 31; client counts are the company's rounded 'over' figures)</t>
  </si>
  <si>
    <t>DISCLOSED</t>
  </si>
  <si>
    <t>ARR at year-end ($m)</t>
  </si>
  <si>
    <t>of which acquired entities: Enfusion, Beacon, Bistro ($m)</t>
  </si>
  <si>
    <t>Clients at year-end (over)</t>
  </si>
  <si>
    <t>Clients with ARR of at least $1m</t>
  </si>
  <si>
    <t>Clients added in year (over; 'new' FY21-22, 'net new' FY23+)</t>
  </si>
  <si>
    <t>of which added through Enfusion and Beacon (over)</t>
  </si>
  <si>
    <t>Gross revenue retention, Q4</t>
  </si>
  <si>
    <t>Net revenue retention, Q4</t>
  </si>
  <si>
    <t>Net revenue retention excl. acquired entities, Q4</t>
  </si>
  <si>
    <t>DERIVED (COMPOUND CALCULATIONS)</t>
  </si>
  <si>
    <t>ARR growth</t>
  </si>
  <si>
    <t>Organic ARR ($m)</t>
  </si>
  <si>
    <t>Organic ARR growth</t>
  </si>
  <si>
    <t>Average ARR per client ($000)</t>
  </si>
  <si>
    <t>Organic average ARR per client ($000)</t>
  </si>
  <si>
    <t>Clients with ARR of $1m+, % of clients</t>
  </si>
  <si>
    <t>NRR less GRR, Q4 (expansion spread)</t>
  </si>
  <si>
    <t>n.d.</t>
  </si>
  <si>
    <t>CAGR FY21-25</t>
  </si>
  <si>
    <t>Forms 10-K FY2021-FY2025 (see Quarterly)</t>
  </si>
  <si>
    <t>Forms 10-K: FY21 p. 6; FY22 p. 6; FY23 p. 7; FY24 p. 8; FY25 p. 9</t>
  </si>
  <si>
    <t>Forms 10-K: FY21 p. 40; FY22 p. 42; FY23 p. 44; FY24 p. 42; FY25 p. 44</t>
  </si>
  <si>
    <t>Form 10-Q Q3 2025, p. 30</t>
  </si>
  <si>
    <t>Upper bound: client counts are 'over' figures</t>
  </si>
  <si>
    <t>Excludes acquired ARR and the over-900 acquired clients</t>
  </si>
  <si>
    <t>ARR bridge FY2021-FY2025: churn, expansion, new logos and acquired ARR</t>
  </si>
  <si>
    <t>($ in millions; GRR and NRR are the disclosed Q4 rates; every bridge line except starting, acquired and ending ARR is derived)</t>
  </si>
  <si>
    <t>ARR BRIDGE ($m)</t>
  </si>
  <si>
    <t>Starting ARR (prior year-end, disclosed)</t>
  </si>
  <si>
    <t>GRR applied (Q4, disclosed)</t>
  </si>
  <si>
    <t>NRR applied (Q4, disclosed; FY2025 excl. acquired entities)</t>
  </si>
  <si>
    <t>(-) Churn implied by GRR</t>
  </si>
  <si>
    <t>(+) Net expansion implied by NRR less GRR</t>
  </si>
  <si>
    <t>Retained ARR from starting base</t>
  </si>
  <si>
    <t>(+) New logos (remainder)</t>
  </si>
  <si>
    <t>(+) Acquired: Enfusion (ARR at Dec-24, pre-close)</t>
  </si>
  <si>
    <t>(+) Acquired: Beacon (ARR at end-2024, pre-close)</t>
  </si>
  <si>
    <t>(+) Acquired: post-close growth and other, incl. Bistro</t>
  </si>
  <si>
    <t>Acquired ARR, total (disclosed at Q4)</t>
  </si>
  <si>
    <t>Ending ARR (disclosed)</t>
  </si>
  <si>
    <t>Check: bridge less ending ARR</t>
  </si>
  <si>
    <t>MEMO: DRIVERS (% OF STARTING ARR UNLESS STATED)</t>
  </si>
  <si>
    <t>Churn implied by GRR</t>
  </si>
  <si>
    <t>Net expansion implied by NRR less GRR</t>
  </si>
  <si>
    <t>New-logo ARR (derived)</t>
  </si>
  <si>
    <t>Share of organic ARR added that came from existing clients</t>
  </si>
  <si>
    <t>Acquired ARR, % of ending ARR</t>
  </si>
  <si>
    <t>New-logo ARR swing from NRR rounding (+/- $m)</t>
  </si>
  <si>
    <t>MEMO: ACQUIRED BOOK</t>
  </si>
  <si>
    <t>Enfusion ARR at Dec 31, 2024, low end of range ($m)</t>
  </si>
  <si>
    <t>Enfusion ARR at Dec 31, 2024, high end of range ($m)</t>
  </si>
  <si>
    <t>Beacon ARR at end-2024 ($m)</t>
  </si>
  <si>
    <t>NRR consolidated incl. acquired entities, Q4 (disclosed)</t>
  </si>
  <si>
    <t>Implied NRR of acquired book, Q4 (derived)</t>
  </si>
  <si>
    <t>NRR rounding band (+/- pp; disclosed rates are whole %)</t>
  </si>
  <si>
    <t>Wilshire indices: annualized revenue added, FY2024 ($m; inside new logos)</t>
  </si>
  <si>
    <t>JUMP Technology: 2021 revenue, acquired FY2022 (EUR m; inside new logos)</t>
  </si>
  <si>
    <t>FY21-25</t>
  </si>
  <si>
    <t>Basis</t>
  </si>
  <si>
    <t>Annual KPIs</t>
  </si>
  <si>
    <t>Quarterly (Form 10-K)</t>
  </si>
  <si>
    <t>FY2025: Form 10-K FY2025, p. 48</t>
  </si>
  <si>
    <t>(1 - GRR) x starting ARR; GRR counts terminations only</t>
  </si>
  <si>
    <t>(NRR - GRR) x starting ARR; includes downsell, price, AUM, upsell, cross-sell</t>
  </si>
  <si>
    <t>Ending - retained - acquired; includes JUMP (FY22) and Wilshire (FY24)</t>
  </si>
  <si>
    <t>Midpoint of $210-211m, Enfusion acquisition release (Jan 13, 2025), p. 3</t>
  </si>
  <si>
    <t>Beacon and Bistro press release (Mar 12, 2025), p. 4</t>
  </si>
  <si>
    <t>Acquired total less Enfusion and Beacon</t>
  </si>
  <si>
    <t>Form 10-K FY2025, p. 47; FY2022 and FY2024 deals not disclosed</t>
  </si>
  <si>
    <t>Enfusion acquisition release (Jan 13, 2025), p. 3</t>
  </si>
  <si>
    <t>Solves blended NRR = weighted core and acquired NRR on Dec-24 bases</t>
  </si>
  <si>
    <t>Compound assumption</t>
  </si>
  <si>
    <t>Wilshire indices press release (Apr 2, 2024), p. 2</t>
  </si>
  <si>
    <t>JUMP Technology press release (Sep 29, 2022), p. 1</t>
  </si>
  <si>
    <t>Implied NRR of acquired book: low (blended -0.5pp, core +0.5pp)</t>
  </si>
  <si>
    <t>Implied NRR of acquired book: high (blended +0.5pp, core -0.5pp)</t>
  </si>
  <si>
    <t>Rounding range on the derived figure</t>
  </si>
  <si>
    <t>Cohort view: each year's starting ARR base tracked forward at the disclosed NRR</t>
  </si>
  <si>
    <t>($ in millions; derived from disclosed year-end ARR and Q4 GRR/NRR; assumes every base retains and expands at the company-wide rate; FY2025 uses NRR excl. acquired entities)</t>
  </si>
  <si>
    <t>Starting base</t>
  </si>
  <si>
    <t>1. STARTING-BASE COHORTS AT DISCLOSED NRR ($m)</t>
  </si>
  <si>
    <t>FY2021 starting base (Dec-20 ARR)</t>
  </si>
  <si>
    <t>FY2022 starting base (Dec-21 ARR)</t>
  </si>
  <si>
    <t>FY2023 starting base (Dec-22 ARR)</t>
  </si>
  <si>
    <t>FY2024 starting base (Dec-23 ARR)</t>
  </si>
  <si>
    <t>FY2025 starting base (Dec-24 ARR)</t>
  </si>
  <si>
    <t>2. NET RETENTION CURVE: % OF ENTRY ARR BY YEARS SINCE ENTRY</t>
  </si>
  <si>
    <t>Average (simple)</t>
  </si>
  <si>
    <t>Weighted average (by entry ARR)</t>
  </si>
  <si>
    <t>3. GROSS RETENTION FLOOR: % OF ENTRY ARR KEPT BEFORE ANY EXPANSION (CUMULATIVE GRR)</t>
  </si>
  <si>
    <t>4. ARR BY VINTAGE: PRE-2021 BASE PLUS EACH YEAR'S DERIVED NEW LOGOS ($m)</t>
  </si>
  <si>
    <t>Vintage</t>
  </si>
  <si>
    <t>Clients on platform at Dec-20 (FY2020 year-end ARR)</t>
  </si>
  <si>
    <t>FY2021 new logos</t>
  </si>
  <si>
    <t>FY2022 new logos (incl. JUMP)</t>
  </si>
  <si>
    <t>FY2023 new logos</t>
  </si>
  <si>
    <t>FY2024 new logos (incl. Wilshire)</t>
  </si>
  <si>
    <t>FY2025 new logos</t>
  </si>
  <si>
    <t>Acquired book: Enfusion, Beacon, other</t>
  </si>
  <si>
    <t>Total ARR, derived</t>
  </si>
  <si>
    <t>ARR as disclosed</t>
  </si>
  <si>
    <t>Check: derived less disclosed</t>
  </si>
  <si>
    <t>Dec-20 clients, % of organic ARR</t>
  </si>
  <si>
    <t>FY2021-FY2025 new-logo vintages, % of organic ARR</t>
  </si>
  <si>
    <t>Entry ARR</t>
  </si>
  <si>
    <t>Retention read-across to the $24.55 take-private price</t>
  </si>
  <si>
    <t>($ in millions unless stated; implied growth = NRR - 1 + new-logo ARR as % of starting ARR, on the FY2025 organic bridge; assumes revenue grows with ARR)</t>
  </si>
  <si>
    <t>TRANSACTION AND MANAGEMENT PLAN (DISCLOSED)</t>
  </si>
  <si>
    <t>Merger consideration per share ($)</t>
  </si>
  <si>
    <t>Premium to unaffected price (Nov 10, 2025)</t>
  </si>
  <si>
    <t>Unaffected share price ($)</t>
  </si>
  <si>
    <t>Transaction value ($m)</t>
  </si>
  <si>
    <t>ARR at Dec 31, 2025 ($m)</t>
  </si>
  <si>
    <t>Transaction value / Dec-25 ARR (x, derived)</t>
  </si>
  <si>
    <t>Management plan revenue, FY2025 (approx., $m)</t>
  </si>
  <si>
    <t>Management plan revenue, FY2030 (approx., $m)</t>
  </si>
  <si>
    <t>Management plan revenue CAGR, FY2025-FY2030</t>
  </si>
  <si>
    <t>Years in plan (FY2025-FY2030)</t>
  </si>
  <si>
    <t>WHAT THE RETENTION RECORD IMPLIES (DERIVED)</t>
  </si>
  <si>
    <t>New-logo ARR, FY2025 (% of starting ARR)</t>
  </si>
  <si>
    <t>New-logo ARR, FY2022-FY2025 average (% of starting ARR)</t>
  </si>
  <si>
    <t>NRR needed for plan at FY2025 new-logo pace</t>
  </si>
  <si>
    <t>NRR needed for plan at FY2022-FY2025 average pace</t>
  </si>
  <si>
    <t>Quarters with NRR of 115% or more, FY2020-FY2025</t>
  </si>
  <si>
    <t>Quarters disclosed, FY2020-FY2025</t>
  </si>
  <si>
    <t>IMPLIED ORGANIC ARR GROWTH BY NRR AND NEW-LOGO PACE</t>
  </si>
  <si>
    <t>NRR case</t>
  </si>
  <si>
    <t>Q1 2026 consolidated (after signing)</t>
  </si>
  <si>
    <t>Q4 2025 consolidated</t>
  </si>
  <si>
    <t>Q4 2025 excl. acquired entities</t>
  </si>
  <si>
    <t>Company target</t>
  </si>
  <si>
    <t>Peak, Q4 2024</t>
  </si>
  <si>
    <t>IMPLIED FY2030 ARR AT FY2025 NEW-LOGO PACE ($m)</t>
  </si>
  <si>
    <t>Management plan revenue, FY2030</t>
  </si>
  <si>
    <t>NRR</t>
  </si>
  <si>
    <t>FY25 pace</t>
  </si>
  <si>
    <t>FY2030 ARR</t>
  </si>
  <si>
    <t>FY22-25 avg</t>
  </si>
  <si>
    <t>vs plan revenue</t>
  </si>
  <si>
    <t>Gap: FY25 pace</t>
  </si>
  <si>
    <t>Gap: avg pace</t>
  </si>
  <si>
    <t>Merger proxy (DEFM14A), p. 4</t>
  </si>
  <si>
    <t>Merger proxy (DEFM14A), p. 49</t>
  </si>
  <si>
    <t>Merger announcement press release (Dec 21, 2025), p. 1</t>
  </si>
  <si>
    <t>Merger proxy (DEFM14A), p. 66</t>
  </si>
  <si>
    <t>Plan-implied ARR CAGR: Dec-25 ARR to FY2030 plan revenue (derived)</t>
  </si>
  <si>
    <t>Quarters with consolidated NRR at or above the FY2025-pace need, FY2020-FY2025</t>
  </si>
  <si>
    <t>Lower bound: year-end ARR runs ahead of full-year revenue in a growing business</t>
  </si>
  <si>
    <t>How CWAN defines its retention metrics, and where the disclosure changed</t>
  </si>
  <si>
    <t>(definitions quoted from the filings; flags list every change or gap that affects the workbook)</t>
  </si>
  <si>
    <t>COMPANY DEFINITIONS</t>
  </si>
  <si>
    <t>Metric</t>
  </si>
  <si>
    <t>ARR</t>
  </si>
  <si>
    <t>Gross revenue retention (GRR)</t>
  </si>
  <si>
    <t>ACV</t>
  </si>
  <si>
    <t>Client attrition</t>
  </si>
  <si>
    <t>Net revenue retention (NRR)</t>
  </si>
  <si>
    <t>DISCLOSURE CHANGES, GAPS AND FLAGS</t>
  </si>
  <si>
    <t>Item</t>
  </si>
  <si>
    <t>Retention table labels</t>
  </si>
  <si>
    <t>GRR wording</t>
  </si>
  <si>
    <t>GRR exception</t>
  </si>
  <si>
    <t>Client additions basis</t>
  </si>
  <si>
    <t>Client counts rounded</t>
  </si>
  <si>
    <t>Acquired entities in retention</t>
  </si>
  <si>
    <t>Acquired ARR</t>
  </si>
  <si>
    <t>Organic ARR</t>
  </si>
  <si>
    <t>Earlier acquisitions</t>
  </si>
  <si>
    <t>NPS</t>
  </si>
  <si>
    <t>NRR range wording</t>
  </si>
  <si>
    <t>Q3 2025 10-Q format</t>
  </si>
  <si>
    <t>Merger proxy forecasts</t>
  </si>
  <si>
    <t>After signing</t>
  </si>
  <si>
    <t>Rounding</t>
  </si>
  <si>
    <t>Company definition</t>
  </si>
  <si>
    <t>Annualized recurring revenue is calculated at the end of a period by dividing the recurring revenue in the last month of such period by the number of days in the month and multiplying by 365.</t>
  </si>
  <si>
    <t>Gross revenue retention rate represents annual contract value (“ACV”) at the beginning of the 12-month period ended on the reporting date less client attrition over the prior 12-month period, divided by ACV at the beginning of the 12-month period, expressed as a percentage.</t>
  </si>
  <si>
    <t>ACV is comprised of annualized recurring revenue plus contracted-not-billed revenue (contracted revenue not yet recognized).</t>
  </si>
  <si>
    <t>Client attrition occurs when a client provides a contract termination notice; it is recorded in the month the final billing occurs.</t>
  </si>
  <si>
    <t>Net revenue retention rate is the percentage of recurring revenue retained from clients on the platform for 12 months and includes changes from the addition, removal or value of assets on our platform, contractual changes that have an impact to annualized recurring revenues and lost revenue from client attrition. It compares current ARR of clients on the platform 12 months earlier with their ARR 12 months earlier.</t>
  </si>
  <si>
    <t>What changed or is missing</t>
  </si>
  <si>
    <t>FY2021-FY2022 10-Ks label the rows 'Gross retention rate' and 'Net retention rate'; from the FY2023 10-K they read 'Gross/Net revenue retention rate'. Definitions unchanged.</t>
  </si>
  <si>
    <t>Approximately 98%' through the FY2023 10-K became 'at least 98%' from the FY2024 10-K, after 99% prints in Q1-Q3 2024.</t>
  </si>
  <si>
    <t>Q1 2023 GRR was 97%, the only print below 98% in FY2019-FY2025 ('27 of the past 28 quarters').</t>
  </si>
  <si>
    <t>Added over 100 new clients' (FY2021) and 'over 130 new clients' (FY2022) became 'net new clients' from FY2023 (over 80); FY2025's 'over 1,000 net new' includes acquisitions.</t>
  </si>
  <si>
    <t>Client totals are disclosed only as rounded 'over' figures (over 1,100 to over 2,500); no exact count or logo retention rate is given.</t>
  </si>
  <si>
    <t>From Q2 2025 GRR and NRR include the acquired entities; NRR excluding them is given only for Q2-Q4 2025 (114%, 112%, 113%); GRR excluding them is not given.</t>
  </si>
  <si>
    <t>ARR of acquired entities is disclosed in total for Q2-Q4 2025 ($270.7m, $273.1m, $282.0m), with no split between Enfusion, Beacon and Bistro.</t>
  </si>
  <si>
    <t>Organic ARR is given only on earnings calls ($513m at Q2 2025; $534.4m at Q3 2025), not in the filings.</t>
  </si>
  <si>
    <t>JUMP (FY2022; 70 customers, EUR 12.1m 2021 revenue) and Wilshire indices (FY2024; about $7m annualized revenue) are not separated in ARR or NRR.</t>
  </si>
  <si>
    <t>An NPS of 60+' (through the FY2024 10-K) became 'an industry-leading NPS' with no number in the FY2025 10-K.</t>
  </si>
  <si>
    <t>The FY2025 10-K gives the year's quarterly NRR as 'between 114% and 109%', but its own table shows a 108% low in Q3 2025.</t>
  </si>
  <si>
    <t>The Q3 2025 10-Q combines ARR, GRR and NRR in one table and shows only 2025 and 2024.</t>
  </si>
  <si>
    <t>The financial forecasts state revenue, margin and cash-flow assumptions but give no ARR, GRR or NRR assumption.</t>
  </si>
  <si>
    <t>Q1 2026 GRR fell to 97% and NRR to 108%, the first sub-98% GRR since Q1 2023.</t>
  </si>
  <si>
    <t>GRR and NRR are disclosed as whole percentages.</t>
  </si>
  <si>
    <t>Document, printed page</t>
  </si>
  <si>
    <t>Form 10-K FY2025, p. 47 (same wording FY2021-FY2025)</t>
  </si>
  <si>
    <t>Form 10-K FY2025, p. 47; Form 10-K FY2021, p. 42</t>
  </si>
  <si>
    <t>Form 10-K FY2023, p. 44; Form 10-K FY2024, p. 42</t>
  </si>
  <si>
    <t>Form 10-K FY2023, p. 47; Form 10-K FY2025, p. 44</t>
  </si>
  <si>
    <t>Form 10-K FY2021, p. 40; FY2022, p. 42; FY2023, p. 44; FY2025, p. 44</t>
  </si>
  <si>
    <t>Form 10-K FY2021, p. 6; Form 10-K FY2025, p. 9</t>
  </si>
  <si>
    <t>JUMP press release (Sep 29, 2022), p. 1; Wilshire press release (Apr 2, 2024), p. 2</t>
  </si>
  <si>
    <t>Form 10-K FY2024, p. 8; Form 10-K FY2025, p. 10</t>
  </si>
  <si>
    <t>Form 10-K FY2025, pp. 44 and 48</t>
  </si>
  <si>
    <t>Merger proxy (DEFM14A), pp. 66-67</t>
  </si>
  <si>
    <t>Forms 10-K FY2021-FY2025</t>
  </si>
  <si>
    <t>Figure</t>
  </si>
  <si>
    <t>What it means for this analysis</t>
  </si>
  <si>
    <t>Run-rate of the last month's recurring revenue; asset-based fees move it with clients' AUM.</t>
  </si>
  <si>
    <t>Measured on ACV, not ARR: the base includes contracted-not-billed revenue.</t>
  </si>
  <si>
    <t>Signed-not-live revenue sits in the GRR base but not in the NRR base.</t>
  </si>
  <si>
    <t>GRR counts terminations only. Partial downsell is not attrition, so it sits inside NRR.</t>
  </si>
  <si>
    <t>ARR basis; includes AUM moves, price, upsell, cross-sell, downsell and churn. From Q2 2025 it includes acquired entities.</t>
  </si>
  <si>
    <t>Effect on this analysis</t>
  </si>
  <si>
    <t>Label change only; series treated as continuous.</t>
  </si>
  <si>
    <t>Whole-percent GRR; implied churn is 2% of starting ARR every year.</t>
  </si>
  <si>
    <t>Q4 rates drive the annual bridge, so the Q1 2023 dip does not enter it.</t>
  </si>
  <si>
    <t>Gross and net adds are not comparable; logo churn cannot be derived.</t>
  </si>
  <si>
    <t>Average ARR per client is an upper bound; no logo cohort can be built.</t>
  </si>
  <si>
    <t>FY2025 bridge uses 113% on the legacy base; acquired book NRR is solved for.</t>
  </si>
  <si>
    <t>Split uses pre-close ARR from the deal releases; remainder shown as post-close growth and other.</t>
  </si>
  <si>
    <t>Ties to the derived total-less-acquired figure within $0.3m.</t>
  </si>
  <si>
    <t>Their ARR sits in derived new logos for FY2022 and FY2024, which flatters those years.</t>
  </si>
  <si>
    <t>Satisfaction metric no longer quantified after the acquisitions.</t>
  </si>
  <si>
    <t>Table value used; the narrative range understates the low by 1pp.</t>
  </si>
  <si>
    <t>Values tie to the FY2025 10-K (see Quarterly cross-check).</t>
  </si>
  <si>
    <t>Plan growth is tested against retention on Price Read-across.</t>
  </si>
  <si>
    <t>Outside FY2021-FY2025; shown as a post-period flag.</t>
  </si>
  <si>
    <t>+/-0.5pp of NRR moves FY2025 derived new-logo ARR by about $2.4m (ARR Bridge row 28).</t>
  </si>
  <si>
    <t>FY2021-FY2022 10-Ks label the rows "Gross retention rate" and "Net retention rate"; from the FY2023 10-K they read "Gross/Net revenue retention rate". Definitions unchanged.</t>
  </si>
  <si>
    <t>GRR described as "approximately 98%" through the FY2023 10-K and as "at least 98%" from the FY2024 10-K, after 99% prints in Q1-Q3 2024.</t>
  </si>
  <si>
    <t>Q1 2023 GRR was 97%, the only print below 98% in FY2019-FY2025 ("27 of the past 28 quarters").</t>
  </si>
  <si>
    <t>"Added over 100 new clients" (FY2021) and "over 130 new clients" (FY2022) became "net new clients" from FY2023 (over 80); FY2025's "over 1,000 net new" includes acquisitions.</t>
  </si>
  <si>
    <t>Client totals are disclosed only as rounded "over" figures (over 1,100 to over 2,500); no exact count or logo retention rate is given.</t>
  </si>
  <si>
    <t>"An NPS of 60+" (through the FY2024 10-K) became "an industry-leading NPS" with no number in the FY2025 10-K.</t>
  </si>
  <si>
    <t>The FY2025 10-K gives the year's quarterly NRR as "between 114% and 109%", but its own table shows a 108% low in Q3 2025.</t>
  </si>
  <si>
    <t>Table value used; the narrative range omits the 108% Q3 low.</t>
  </si>
  <si>
    <t>NRR case (rows) x new-logo pace (columns)</t>
  </si>
  <si>
    <t>Quarter</t>
  </si>
  <si>
    <t>Q1'21</t>
  </si>
  <si>
    <t>Q2'21</t>
  </si>
  <si>
    <t>Q3'21</t>
  </si>
  <si>
    <t>Q4'21</t>
  </si>
  <si>
    <t>Q1'22</t>
  </si>
  <si>
    <t>Q2'22</t>
  </si>
  <si>
    <t>Q3'22</t>
  </si>
  <si>
    <t>Q4'22</t>
  </si>
  <si>
    <t>Q1'23</t>
  </si>
  <si>
    <t>Q2'23</t>
  </si>
  <si>
    <t>Q3'23</t>
  </si>
  <si>
    <t>Q4'23</t>
  </si>
  <si>
    <t>Q1'24</t>
  </si>
  <si>
    <t>Q2'24</t>
  </si>
  <si>
    <t>Q3'24</t>
  </si>
  <si>
    <t>Q4'24</t>
  </si>
  <si>
    <t>Q1'25</t>
  </si>
  <si>
    <t>Q2'25</t>
  </si>
  <si>
    <t>Q3'25</t>
  </si>
  <si>
    <t>Q4'25</t>
  </si>
  <si>
    <t>NRR, consolidated</t>
  </si>
  <si>
    <t>GRR</t>
  </si>
  <si>
    <t>NRR excl. acquired</t>
  </si>
  <si>
    <t>Plan need at FY25 new-logo pace</t>
  </si>
  <si>
    <t>ARR bridge ($m)</t>
  </si>
  <si>
    <t>Starting ARR</t>
  </si>
  <si>
    <t>Net expansion (NRR less GRR)</t>
  </si>
  <si>
    <t>New logos (derived)</t>
  </si>
  <si>
    <t>Ending ARR</t>
  </si>
  <si>
    <t>NRR applied</t>
  </si>
  <si>
    <t>New logos, % of starting ARR</t>
  </si>
  <si>
    <t>Churn (GRR)</t>
  </si>
  <si>
    <t>Net expansion</t>
  </si>
  <si>
    <t>New logos</t>
  </si>
  <si>
    <t>Acquired</t>
  </si>
  <si>
    <t>New logos % start</t>
  </si>
  <si>
    <t>Quarterly revenue retention, Q1'21-Q4'25</t>
  </si>
  <si>
    <t>New-logo ARR, FY2025, est. ($m)</t>
  </si>
  <si>
    <t>Central: FY2025 new-logo ARR held flat, % of Dec-25 ARR</t>
  </si>
  <si>
    <t>NRR needed for plan, central case (FY2025 new-logo dollars held)</t>
  </si>
  <si>
    <t>Quarters with consolidated NRR at or above the central need, FY2020-FY2025</t>
  </si>
  <si>
    <t>Alternative A: FY2025 new-logo rate on pre-acquisition base (% of starting ARR)</t>
  </si>
  <si>
    <t>Alternative A: NRR needed (new logos scale with the larger base)</t>
  </si>
  <si>
    <t>Alternative B: FY2022-FY2025 average new-logo rate (% of starting ARR)</t>
  </si>
  <si>
    <t>Alternative B: NRR needed</t>
  </si>
  <si>
    <t>IMPLIED ORGANIC ARR GROWTH BY NRR CASE AND NEW-LOGO ASSUMPTION</t>
  </si>
  <si>
    <t>NRR case (rows) x new-logo assumption (columns)</t>
  </si>
  <si>
    <t>Gap: central</t>
  </si>
  <si>
    <t>Gap: alt. A</t>
  </si>
  <si>
    <t>Gap: alt. B</t>
  </si>
  <si>
    <t>$22.3m / $841.0m; holds 2025's dollar new-logo ARR on the post-acquisition base</t>
  </si>
  <si>
    <t>$22.3m / $474.9m; applied to $841.0m it implies about $39.5m of new logos</t>
  </si>
  <si>
    <t>Plan need (central)</t>
  </si>
  <si>
    <t>($ in millions; starting, acquired and ending ARR are disclosed; churn, expansion and new logos are estimates from the disclosed Q4 GRR and NRR)</t>
  </si>
  <si>
    <t>GRR applied (Q4, disclosed; ACV basis)</t>
  </si>
  <si>
    <t>NRR applied (Q4, disclosed; ARR basis; FY2025 excl. acquired entities)</t>
  </si>
  <si>
    <t>(-) Churn, est. from GRR</t>
  </si>
  <si>
    <t>(+) Expansion, est. from NRR less GRR</t>
  </si>
  <si>
    <t>Retained ARR from starting base, est.</t>
  </si>
  <si>
    <t>(+) New logos, est. (remainder)</t>
  </si>
  <si>
    <t>(+) Acquired: Enfusion, est. (ARR at Dec-24, pre-close)</t>
  </si>
  <si>
    <t>(+) Acquired: Beacon, est. (ARR at end-2024, pre-close)</t>
  </si>
  <si>
    <t>(+) Acquired: post-close growth and other, incl. Bistro, est.</t>
  </si>
  <si>
    <t>Acquired ARR, total (disclosed)</t>
  </si>
  <si>
    <t>Note: churn, expansion and new logos are estimates, not reported ARR movements. GRR is measured on ACV (ARR plus contracted-not-billed revenue), while NRR and ARR are on an ARR basis. FY2025 pairs consolidated GRR (98%, incl. acquired entities) with NRR excluding acquired entities (113%). Only starting, acquired and ending ARR are disclosed.</t>
  </si>
  <si>
    <t>Churn, est. from GRR</t>
  </si>
  <si>
    <t>Expansion, est. from NRR less GRR</t>
  </si>
  <si>
    <t>New-logo ARR, est.</t>
  </si>
  <si>
    <t>Share of organic ARR added from existing clients, est.</t>
  </si>
  <si>
    <t>New-logo ARR swing from NRR rounding, est. (+/- $m)</t>
  </si>
  <si>
    <t>Churn, est.</t>
  </si>
  <si>
    <t>Expansion, est.</t>
  </si>
  <si>
    <t>New logos, est.</t>
  </si>
  <si>
    <t>Estimate: (1 - GRR) x starting ARR; GRR is on ACV and counts terminations only</t>
  </si>
  <si>
    <t>Estimate: (NRR - GRR) x starting ARR; mixes ACV and ARR bases</t>
  </si>
  <si>
    <t>Bridge basis</t>
  </si>
  <si>
    <t>Plan-need basis</t>
  </si>
  <si>
    <t>GRR is measured on ACV, including contracted-not-billed revenue; NRR and ARR are on an ARR basis. FY2025 combines consolidated GRR with NRR excluding acquired entities.</t>
  </si>
  <si>
    <t>FY2025 new-logo ARR of about $22.3m is 4.7% of the pre-acquisition $474.9m base but 2.7% of the $841.0m Dec-25 base.</t>
  </si>
  <si>
    <t>Form 10-K FY2025, pp. 47-48</t>
  </si>
  <si>
    <t>Compound calculation (ARR Bridge G13; Price Read-across C20, C24)</t>
  </si>
  <si>
    <t>Churn, expansion and new-logo lines in the ARR bridge and cohorts are estimates; only starting, acquired and ending ARR are disclosed.</t>
  </si>
  <si>
    <t>Central case holds new-logo dollars flat (NRR need about 113.8%); the 4.7% rate case (111.7%) is shown as an alternative.</t>
  </si>
  <si>
    <t>FY2021 new logos, est.</t>
  </si>
  <si>
    <t>FY2022 new logos, est. (incl. JUMP)</t>
  </si>
  <si>
    <t>FY2023 new logos, est.</t>
  </si>
  <si>
    <t>FY2024 new logos, est. (incl. Wilshire)</t>
  </si>
  <si>
    <t>FY2025 new logos, est.</t>
  </si>
  <si>
    <t>FY2025 new-logo ARR, % of Dec-25 ARR (first year only)</t>
  </si>
  <si>
    <t>NRR needed for plan, central case (solved roll-forward, rows 38-52)</t>
  </si>
  <si>
    <t>CENTRAL CASE SOLVE: ARR(t+1) = ARR(t) x NRR + FY2025 NEW-LOGO ARR, FY2026-FY2030</t>
  </si>
  <si>
    <t>Target FY2030 ARR at plan-implied CAGR ($m)</t>
  </si>
  <si>
    <t>Newton iteration</t>
  </si>
  <si>
    <t>Iteration 0 (start: one-year approximation)</t>
  </si>
  <si>
    <t>Iteration 1</t>
  </si>
  <si>
    <t>Iteration 2</t>
  </si>
  <si>
    <t>Iteration 3</t>
  </si>
  <si>
    <t>Iteration 4</t>
  </si>
  <si>
    <t>Iteration 5</t>
  </si>
  <si>
    <t>Solved central NRR (iteration 5)</t>
  </si>
  <si>
    <t>ARR, central roll-forward ($m)</t>
  </si>
  <si>
    <t>of which new-logo ARR added ($m)</t>
  </si>
  <si>
    <t>Growth</t>
  </si>
  <si>
    <t>Check: FY2030 ARR less target ($m)</t>
  </si>
  <si>
    <t>FY2030 ARR less target ($m)</t>
  </si>
  <si>
    <t>Slope ($m per 1.00 NRR)</t>
  </si>
  <si>
    <t>$22.3m / $841.0m; a flat dollar amount is a falling share as ARR grows</t>
  </si>
  <si>
    <t>Solves ARR(t+1) = ARR(t) x NRR + FY2025 new-logo ARR over FY2026-FY2030</t>
  </si>
  <si>
    <t>Central column: five-year ARR CAGR with $22.3m of new logos a year; A and B: constant rates</t>
  </si>
  <si>
    <t>Central case holds $22.3m of new logos a year in a five-year roll-forward; the solved NRR need is about 114.4% (Price Read-across C46). The 4.7% rate case (111.7%) is an alternative.</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</si>
</sst>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quot;FY&quot;yyyy&quot;A&quot;"/>
    <numFmt numFmtId="165" formatCode="#,##0.0;(#,##0.0);&quot;–&quot;"/>
    <numFmt numFmtId="166" formatCode="#,##0;(#,##0);&quot;–&quot;"/>
    <numFmt numFmtId="167" formatCode="0%;(0%)"/>
    <numFmt numFmtId="168" formatCode="0.0%;(0.0%)"/>
    <numFmt numFmtId="169" formatCode="&quot;FY&quot;yyyy"/>
    <numFmt numFmtId="170" formatCode="#,##0.00;(#,##0.00);&quot;–&quot;"/>
    <numFmt numFmtId="171" formatCode="&quot;Year &quot;0"/>
    <numFmt numFmtId="172" formatCode="$#,##0.00"/>
    <numFmt numFmtId="173" formatCode="0.0&quot;x&quot;"/>
    <numFmt numFmtId="174" formatCode="&quot;FY25 pace &quot;0.0%"/>
    <numFmt numFmtId="175" formatCode="&quot;Avg pace &quot;0.0%"/>
    <numFmt numFmtId="176" formatCode="+0.0%;(0.0%)"/>
    <numFmt numFmtId="177" formatCode="#,##0.0"/>
    <numFmt numFmtId="178" formatCode="0.0%"/>
    <numFmt numFmtId="179" formatCode="&quot;FY&quot;yy&quot;A&quot;"/>
    <numFmt numFmtId="180" formatCode="&quot;Central &quot;0.0%"/>
    <numFmt numFmtId="181" formatCode="&quot;Alt. A &quot;0.0%"/>
    <numFmt numFmtId="182" formatCode="&quot;Alt. B &quot;0.0%"/>
    <numFmt numFmtId="183" formatCode="&quot;Central $&quot;0.0&quot;m&quot;"/>
    <numFmt numFmtId="184" formatCode="0.000%"/>
    <numFmt numFmtId="185" formatCode="&quot;FY&quot;yyyy&quot;E&quot;"/>
  </numFmts>
  <fonts count="18">
    <font>
      <sz val="10"/>
      <color rgb="FF000000"/>
      <name val="Arial"/>
      <family val="2"/>
    </font>
    <font>
      <sz val="10"/>
      <color rgb="FF1A1A1A"/>
      <name val="Arial"/>
      <family val="2"/>
    </font>
    <font>
      <b/>
      <sz val="10"/>
      <color rgb="FF1A1A1A"/>
      <name val="Arial"/>
      <family val="2"/>
    </font>
    <font>
      <b/>
      <sz val="12"/>
      <color rgb="FF1A1A1A"/>
      <name val="Arial"/>
      <family val="2"/>
    </font>
    <font>
      <i/>
      <sz val="10"/>
      <color rgb="FF1A1A1A"/>
      <name val="Arial"/>
      <family val="2"/>
    </font>
    <font>
      <i/>
      <sz val="10"/>
      <color rgb="FF646464"/>
      <name val="Arial"/>
      <family val="2"/>
    </font>
    <font>
      <sz val="10"/>
      <color rgb="FFFFFFFF"/>
      <name val="Arial"/>
      <family val="2"/>
    </font>
    <font>
      <b/>
      <sz val="10"/>
      <color rgb="FFFFFFFF"/>
      <name val="Arial"/>
      <family val="2"/>
    </font>
    <font>
      <b/>
      <u val="singleAccounting"/>
      <sz val="10"/>
      <color rgb="FF1A1A1A"/>
      <name val="Arial"/>
      <family val="2"/>
    </font>
    <font>
      <b/>
      <u val="singleAccounting"/>
      <sz val="10"/>
      <color rgb="FF000000"/>
      <name val="Arial"/>
      <family val="2"/>
    </font>
    <font>
      <b/>
      <sz val="10"/>
      <color rgb="FF000000"/>
      <name val="Arial"/>
      <family val="2"/>
    </font>
    <font>
      <sz val="10"/>
      <color rgb="FF008000"/>
      <name val="Arial"/>
      <family val="2"/>
    </font>
    <font>
      <sz val="10"/>
      <color rgb="FF0000FF"/>
      <name val="Arial"/>
      <family val="2"/>
    </font>
    <font>
      <b/>
      <sz val="10"/>
      <color rgb="FF008000"/>
      <name val="Arial"/>
      <family val="2"/>
    </font>
    <font>
      <i/>
      <sz val="10"/>
      <color rgb="FF000000"/>
      <name val="Arial"/>
      <family val="2"/>
    </font>
    <font>
      <sz val="10"/>
      <color rgb="FF646464"/>
      <name val="Arial"/>
      <family val="2"/>
    </font>
    <font>
      <i/>
      <sz val="10"/>
      <color rgb="FF008000"/>
      <name val="Arial"/>
      <family val="2"/>
    </font>
    <font>
      <b/>
      <u val="singleAccounting"/>
      <sz val="10"/>
      <color rgb="FF008000"/>
      <name val="Arial"/>
      <family val="2"/>
    </font>
  </fonts>
  <fills count="7">
    <fill>
      <patternFill patternType="none"/>
    </fill>
    <fill>
      <patternFill patternType="gray125"/>
    </fill>
    <fill>
      <patternFill patternType="solid">
        <fgColor rgb="FF002060"/>
        <bgColor indexed="64"/>
      </patternFill>
    </fill>
    <fill>
      <patternFill patternType="solid">
        <fgColor rgb="FFFFFFE0"/>
        <bgColor indexed="64"/>
      </patternFill>
    </fill>
    <fill>
      <patternFill patternType="solid">
        <fgColor rgb="FFFFF2CC"/>
        <bgColor indexed="64"/>
      </patternFill>
    </fill>
    <fill>
      <patternFill patternType="solid">
        <fgColor rgb="FFD9EAD3"/>
        <bgColor indexed="64"/>
      </patternFill>
    </fill>
    <fill>
      <patternFill patternType="solid">
        <fgColor rgb="FFF4CCCC"/>
        <bgColor indexed="64"/>
      </patternFill>
    </fill>
  </fills>
  <borders count="4">
    <border>
      <left/>
      <right/>
      <top/>
      <bottom/>
      <diagonal/>
    </border>
    <border>
      <left/>
      <right/>
      <top style="thin"/>
      <bottom/>
      <diagonal/>
    </border>
    <border>
      <left/>
      <right/>
      <top style="thin">
        <color rgb="FF000000"/>
      </top>
      <bottom/>
      <diagonal/>
    </border>
    <border>
      <left/>
      <right/>
      <top/>
      <bottom/>
      <diagonal/>
    </border>
  </borders>
  <cellStyleXfs count="1">
    <xf borderId="0" fillId="0" fontId="0" numFmtId="0" applyAlignment="1" applyFont="1" applyFill="1"/>
  </cellStyleXfs>
  <cellXfs count="106">
    <xf xfId="0" borderId="0" fillId="0" fontId="0" numFmtId="0"/>
    <xf xfId="0" borderId="0" fillId="0" fontId="1" numFmtId="0" applyFont="1"/>
    <xf xfId="0" borderId="0" fillId="0" fontId="2" numFmtId="0" applyFont="1"/>
    <xf xfId="0" borderId="0" fillId="0" fontId="3" numFmtId="0" applyFont="1"/>
    <xf xfId="0" borderId="0" fillId="0" fontId="4" numFmtId="0" applyFont="1"/>
    <xf xfId="0" borderId="0" fillId="0" fontId="5" numFmtId="0" applyFont="1"/>
    <xf xfId="0" borderId="0" fillId="2" fontId="7" numFmtId="0" applyFont="1" applyFill="1"/>
    <xf xfId="0" borderId="0" fillId="0" fontId="8" numFmtId="0" applyAlignment="1" applyFont="1">
      <alignment horizontal="center"/>
    </xf>
    <xf xfId="0" borderId="0" fillId="0" fontId="8" numFmtId="0" applyAlignment="1" applyFont="1">
      <alignment horizontal="left"/>
    </xf>
    <xf xfId="0" borderId="0" fillId="0" fontId="1" numFmtId="165" applyAlignment="1" applyFont="1">
      <alignment horizontal="right"/>
    </xf>
    <xf xfId="0" borderId="0" fillId="0" fontId="1" numFmtId="0" applyAlignment="1" applyFont="1">
      <alignment horizontal="right"/>
    </xf>
    <xf xfId="0" borderId="0" fillId="0" fontId="1" numFmtId="168" applyAlignment="1" applyFont="1">
      <alignment horizontal="right"/>
    </xf>
    <xf xfId="0" borderId="0" fillId="0" fontId="1" numFmtId="166" applyAlignment="1" applyFont="1">
      <alignment horizontal="right"/>
    </xf>
    <xf xfId="0" borderId="0" fillId="0" fontId="1" numFmtId="167" applyAlignment="1" applyFont="1">
      <alignment horizontal="right"/>
    </xf>
    <xf xfId="0" borderId="0" fillId="2" fontId="7" numFmtId="0" applyAlignment="1" applyFont="1" applyFill="1">
      <alignment horizontal="right"/>
    </xf>
    <xf xfId="0" borderId="0" fillId="2" fontId="7" numFmtId="168" applyAlignment="1" applyFont="1" applyFill="1">
      <alignment horizontal="right"/>
    </xf>
    <xf xfId="0" borderId="0" fillId="0" fontId="2" numFmtId="165" applyAlignment="1" applyFont="1">
      <alignment horizontal="right"/>
    </xf>
    <xf xfId="0" borderId="0" fillId="0" fontId="2" numFmtId="0" applyAlignment="1" applyFont="1">
      <alignment horizontal="right"/>
    </xf>
    <xf xfId="0" borderId="0" fillId="0" fontId="1" numFmtId="0" applyAlignment="1" applyFont="1">
      <alignment indent="1"/>
    </xf>
    <xf xfId="0" borderId="0" fillId="0" fontId="9" numFmtId="164" applyAlignment="1" applyFont="1">
      <alignment horizontal="center"/>
    </xf>
    <xf xfId="0" borderId="0" fillId="0" fontId="10" numFmtId="165" applyAlignment="1" applyFont="1">
      <alignment horizontal="right"/>
    </xf>
    <xf xfId="0" borderId="0" fillId="0" fontId="10" numFmtId="168" applyAlignment="1" applyFont="1">
      <alignment horizontal="right"/>
    </xf>
    <xf xfId="0" borderId="0" fillId="0" fontId="11" numFmtId="165" applyAlignment="1" applyFont="1">
      <alignment horizontal="right"/>
    </xf>
    <xf xfId="0" borderId="0" fillId="0" fontId="12" numFmtId="166" applyAlignment="1" applyFont="1">
      <alignment horizontal="right"/>
    </xf>
    <xf xfId="0" borderId="0" fillId="0" fontId="0" numFmtId="168" applyAlignment="1">
      <alignment horizontal="right"/>
    </xf>
    <xf xfId="0" borderId="0" fillId="0" fontId="11" numFmtId="167" applyAlignment="1" applyFont="1">
      <alignment horizontal="right"/>
    </xf>
    <xf xfId="0" borderId="0" fillId="0" fontId="0" numFmtId="166" applyAlignment="1">
      <alignment horizontal="right"/>
    </xf>
    <xf xfId="0" borderId="0" fillId="0" fontId="0" numFmtId="167" applyAlignment="1">
      <alignment horizontal="right"/>
    </xf>
    <xf xfId="0" borderId="0" fillId="0" fontId="1" numFmtId="169" applyAlignment="1" applyFont="1">
      <alignment horizontal="left"/>
    </xf>
    <xf xfId="0" borderId="0" fillId="2" fontId="7" numFmtId="169" applyAlignment="1" applyFont="1" applyFill="1">
      <alignment horizontal="left"/>
    </xf>
    <xf xfId="0" borderId="0" fillId="0" fontId="0" numFmtId="169" applyAlignment="1">
      <alignment horizontal="left"/>
    </xf>
    <xf xfId="0" borderId="0" fillId="0" fontId="12" numFmtId="167" applyAlignment="1" applyFont="1">
      <alignment horizontal="right"/>
    </xf>
    <xf xfId="0" borderId="0" fillId="0" fontId="12" numFmtId="165" applyAlignment="1" applyFont="1">
      <alignment horizontal="right"/>
    </xf>
    <xf xfId="0" borderId="0" fillId="0" fontId="0" numFmtId="165" applyAlignment="1">
      <alignment horizontal="right"/>
    </xf>
    <xf xfId="0" borderId="0" fillId="0" fontId="0" numFmtId="170" applyAlignment="1">
      <alignment horizontal="right"/>
    </xf>
    <xf xfId="0" borderId="2" fillId="0" fontId="2" numFmtId="0" applyFont="1"/>
    <xf xfId="0" borderId="2" fillId="0" fontId="2" numFmtId="165" applyAlignment="1" applyFont="1">
      <alignment horizontal="right"/>
    </xf>
    <xf xfId="0" borderId="0" fillId="0" fontId="4" numFmtId="165" applyAlignment="1" applyFont="1">
      <alignment horizontal="right"/>
    </xf>
    <xf xfId="0" borderId="0" fillId="0" fontId="13" numFmtId="165" applyAlignment="1" applyFont="1">
      <alignment horizontal="right"/>
    </xf>
    <xf xfId="0" borderId="2" fillId="0" fontId="10" numFmtId="165" applyAlignment="1" applyFont="1">
      <alignment horizontal="right"/>
    </xf>
    <xf xfId="0" borderId="2" fillId="0" fontId="13" numFmtId="165" applyAlignment="1" applyFont="1">
      <alignment horizontal="right"/>
    </xf>
    <xf xfId="0" borderId="0" fillId="0" fontId="14" numFmtId="165" applyAlignment="1" applyFont="1">
      <alignment horizontal="right"/>
    </xf>
    <xf xfId="0" borderId="0" fillId="3" fontId="12" numFmtId="168" applyAlignment="1" applyFont="1" applyFill="1">
      <alignment horizontal="right"/>
    </xf>
    <xf xfId="0" borderId="0" fillId="0" fontId="9" numFmtId="171" applyAlignment="1" applyFont="1">
      <alignment horizontal="right"/>
    </xf>
    <xf xfId="0" borderId="0" fillId="0" fontId="14" numFmtId="167" applyAlignment="1" applyFont="1">
      <alignment horizontal="right"/>
    </xf>
    <xf xfId="0" borderId="0" fillId="0" fontId="11" numFmtId="168" applyAlignment="1" applyFont="1">
      <alignment horizontal="right"/>
    </xf>
    <xf xfId="0" borderId="0" fillId="0" fontId="9" numFmtId="164" applyAlignment="1" applyFont="1">
      <alignment horizontal="right"/>
    </xf>
    <xf xfId="0" borderId="0" fillId="0" fontId="12" numFmtId="172" applyAlignment="1" applyFont="1">
      <alignment horizontal="right"/>
    </xf>
    <xf xfId="0" borderId="0" fillId="0" fontId="12" numFmtId="168" applyAlignment="1" applyFont="1">
      <alignment horizontal="right"/>
    </xf>
    <xf xfId="0" borderId="0" fillId="0" fontId="12" numFmtId="3" applyAlignment="1" applyFont="1">
      <alignment horizontal="right"/>
    </xf>
    <xf xfId="0" borderId="0" fillId="0" fontId="10" numFmtId="173" applyAlignment="1" applyFont="1">
      <alignment horizontal="right"/>
    </xf>
    <xf xfId="0" borderId="0" fillId="0" fontId="0" numFmtId="1" applyAlignment="1">
      <alignment horizontal="right"/>
    </xf>
    <xf xfId="0" borderId="0" fillId="0" fontId="0" numFmtId="176" applyAlignment="1">
      <alignment horizontal="right"/>
    </xf>
    <xf xfId="0" borderId="0" fillId="0" fontId="8" numFmtId="0" applyFont="1"/>
    <xf xfId="0" borderId="0" fillId="0" fontId="1" numFmtId="0" applyAlignment="1" applyFont="1">
      <alignment wrapText="1" vertical="top"/>
    </xf>
    <xf xfId="0" borderId="0" fillId="2" fontId="7" numFmtId="0" applyAlignment="1" applyFont="1" applyFill="1">
      <alignment wrapText="1" vertical="top"/>
    </xf>
    <xf xfId="0" borderId="0" fillId="0" fontId="8" numFmtId="0" applyAlignment="1" applyFont="1">
      <alignment wrapText="1" vertical="top"/>
    </xf>
    <xf xfId="0" borderId="0" fillId="0" fontId="1" numFmtId="0" quotePrefix="1" applyAlignment="1" applyFont="1">
      <alignment wrapText="1" vertical="top"/>
    </xf>
    <xf xfId="0" borderId="0" fillId="0" fontId="2" numFmtId="0" applyAlignment="1" applyFont="1">
      <alignment wrapText="1" vertical="top"/>
    </xf>
    <xf xfId="0" borderId="0" fillId="0" fontId="1" numFmtId="0" applyAlignment="1" applyFont="1">
      <alignment wrapText="1" horizontal="right" vertical="top"/>
    </xf>
    <xf xfId="0" borderId="0" fillId="0" fontId="12" numFmtId="167" applyAlignment="1" applyFont="1">
      <alignment wrapText="1" horizontal="right" vertical="top"/>
    </xf>
    <xf xfId="0" borderId="0" fillId="0" fontId="12" numFmtId="1" applyAlignment="1" applyFont="1">
      <alignment wrapText="1" horizontal="right" vertical="top"/>
    </xf>
    <xf xfId="0" borderId="0" fillId="0" fontId="12" numFmtId="3" applyAlignment="1" applyFont="1">
      <alignment wrapText="1" horizontal="right" vertical="top"/>
    </xf>
    <xf xfId="0" borderId="0" fillId="0" fontId="12" numFmtId="177" applyAlignment="1" applyFont="1">
      <alignment wrapText="1" horizontal="right" vertical="top"/>
    </xf>
    <xf xfId="0" borderId="0" fillId="0" fontId="11" numFmtId="177" applyAlignment="1" applyFont="1">
      <alignment wrapText="1" horizontal="right" vertical="top"/>
    </xf>
    <xf xfId="0" borderId="0" fillId="0" fontId="11" numFmtId="1" applyAlignment="1" applyFont="1">
      <alignment horizontal="right"/>
    </xf>
    <xf xfId="0" borderId="0" fillId="0" fontId="10" numFmtId="0" applyFont="1"/>
    <xf xfId="0" borderId="0" fillId="0" fontId="10" numFmtId="0" applyAlignment="1" applyFont="1">
      <alignment wrapText="1"/>
    </xf>
    <xf xfId="0" borderId="0" fillId="0" fontId="0" numFmtId="9"/>
    <xf xfId="0" borderId="0" fillId="0" fontId="11" numFmtId="178" applyFont="1"/>
    <xf xfId="0" borderId="0" fillId="2" fontId="7" numFmtId="179" applyAlignment="1" applyFont="1" applyFill="1">
      <alignment horizontal="right"/>
    </xf>
    <xf xfId="0" borderId="0" fillId="0" fontId="0" numFmtId="178" applyAlignment="1">
      <alignment horizontal="right"/>
    </xf>
    <xf xfId="0" borderId="1" fillId="0" fontId="10" numFmtId="0" applyFont="1"/>
    <xf xfId="0" borderId="2" fillId="0" fontId="10" numFmtId="0" applyFont="1"/>
    <xf xfId="0" borderId="2" fillId="0" fontId="10" numFmtId="166" applyAlignment="1" applyFont="1">
      <alignment horizontal="right"/>
    </xf>
    <xf xfId="0" borderId="0" fillId="4" fontId="0" numFmtId="9" applyAlignment="1" applyFill="1">
      <alignment horizontal="right"/>
    </xf>
    <xf xfId="0" borderId="0" fillId="5" fontId="0" numFmtId="178" applyAlignment="1" applyFill="1">
      <alignment horizontal="right"/>
    </xf>
    <xf xfId="0" borderId="0" fillId="6" fontId="0" numFmtId="9" applyAlignment="1" applyFill="1">
      <alignment horizontal="right"/>
    </xf>
    <xf xfId="0" borderId="0" fillId="4" fontId="0" numFmtId="178" applyAlignment="1" applyFill="1">
      <alignment horizontal="right"/>
    </xf>
    <xf xfId="0" borderId="0" fillId="5" fontId="0" numFmtId="9" applyAlignment="1" applyFill="1">
      <alignment horizontal="right"/>
    </xf>
    <xf xfId="0" borderId="0" fillId="6" fontId="0" numFmtId="178" applyAlignment="1" applyFill="1">
      <alignment horizontal="right"/>
    </xf>
    <xf xfId="0" borderId="0" fillId="0" fontId="14" numFmtId="0" applyFont="1"/>
    <xf xfId="0" borderId="0" fillId="0" fontId="0" numFmtId="0" applyAlignment="1">
      <alignment horizontal="right"/>
    </xf>
    <xf xfId="0" borderId="3" fillId="0" fontId="0" numFmtId="0"/>
    <xf xfId="0" borderId="3" fillId="2" fontId="7" numFmtId="0" applyFont="1" applyFill="1"/>
    <xf xfId="0" borderId="3" fillId="2" fontId="7" numFmtId="0" applyAlignment="1" applyFont="1" applyFill="1">
      <alignment horizontal="right"/>
    </xf>
    <xf xfId="0" borderId="0" fillId="0" fontId="0" numFmtId="177" applyAlignment="1">
      <alignment horizontal="right"/>
    </xf>
    <xf xfId="0" borderId="0" fillId="0" fontId="9" numFmtId="0" applyAlignment="1" applyFont="1">
      <alignment horizontal="right"/>
    </xf>
    <xf xfId="0" borderId="0" fillId="0" fontId="9" numFmtId="181" applyAlignment="1" applyFont="1">
      <alignment horizontal="right"/>
    </xf>
    <xf xfId="0" borderId="0" fillId="0" fontId="9" numFmtId="182" applyAlignment="1" applyFont="1">
      <alignment horizontal="right"/>
    </xf>
    <xf xfId="0" borderId="0" fillId="0" fontId="10" numFmtId="178" applyAlignment="1" applyFont="1">
      <alignment horizontal="right"/>
    </xf>
    <xf xfId="0" borderId="0" fillId="0" fontId="10" numFmtId="176" applyAlignment="1" applyFont="1">
      <alignment horizontal="right"/>
    </xf>
    <xf xfId="0" borderId="0" fillId="0" fontId="14" numFmtId="178" applyAlignment="1" applyFont="1">
      <alignment horizontal="right"/>
    </xf>
    <xf xfId="0" borderId="0" fillId="0" fontId="11" numFmtId="177" applyAlignment="1" applyFont="1">
      <alignment horizontal="right"/>
    </xf>
    <xf xfId="0" borderId="0" fillId="0" fontId="16" numFmtId="178" applyAlignment="1" applyFont="1">
      <alignment horizontal="right"/>
    </xf>
    <xf xfId="0" borderId="0" fillId="0" fontId="11" numFmtId="9" applyAlignment="1" applyFont="1">
      <alignment horizontal="right"/>
    </xf>
    <xf xfId="0" borderId="0" fillId="0" fontId="12" numFmtId="9" applyAlignment="1" applyFont="1">
      <alignment horizontal="right"/>
    </xf>
    <xf xfId="0" borderId="0" fillId="0" fontId="0" numFmtId="0" applyAlignment="1">
      <alignment wrapText="1" vertical="top"/>
    </xf>
    <xf xfId="0" borderId="0" fillId="0" fontId="10" numFmtId="0" applyAlignment="1" applyFont="1">
      <alignment wrapText="1" vertical="top"/>
    </xf>
    <xf xfId="0" borderId="0" fillId="0" fontId="9" numFmtId="183" applyAlignment="1" applyFont="1">
      <alignment horizontal="right"/>
    </xf>
    <xf xfId="0" borderId="0" fillId="0" fontId="9" numFmtId="185" applyAlignment="1" applyFont="1">
      <alignment horizontal="right"/>
    </xf>
    <xf xfId="0" borderId="0" fillId="0" fontId="9" numFmtId="0" applyAlignment="1" applyFont="1">
      <alignment wrapText="1" horizontal="right"/>
    </xf>
    <xf xfId="0" borderId="0" fillId="0" fontId="0" numFmtId="184" applyAlignment="1">
      <alignment horizontal="right"/>
    </xf>
    <xf xfId="0" borderId="1" fillId="0" fontId="10" numFmtId="184" applyAlignment="1" applyFont="1">
      <alignment horizontal="right"/>
    </xf>
    <xf xfId="0" borderId="0" fillId="0" fontId="14" numFmtId="0" applyAlignment="1" applyFont="1">
      <alignment horizontal="right"/>
    </xf>
    <xf xfId="0" borderId="0" fillId="0" fontId="14" numFmtId="17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microsoft.com/office/2011/relationships/chartStyle" Target="style1.xml"/><Relationship Id="rId2" Type="http://schemas.microsoft.com/office/2011/relationships/chartColorStyle" Target="colors1.xml"/></Relationships>
</file>

<file path=xl/charts/chart1.xml><?xml version="1.0" encoding="utf-8"?>
<c:chartSpace xmlns:c="http://schemas.openxmlformats.org/drawingml/2006/chart" xmlns:a="http://schemas.openxmlformats.org/drawingml/2006/main" xmlns:r="http://schemas.openxmlformats.org/officeDocument/2006/relationships">
  <c:chart>
    <c:autoTitleDeleted val="1"/>
    <c:plotArea>
      <c:lineChart>
        <c:grouping val="standard"/>
        <c:varyColors val="0"/>
        <c:ser>
          <c:idx val="0"/>
          <c:order val="0"/>
          <c:tx>
            <c:strRef>
              <c:f>Quarterly!$K$5</c:f>
              <c:strCache>
                <c:ptCount val="1"/>
                <c:pt idx="0">
                  <c:v>NRR, consolidated</c:v>
                </c:pt>
              </c:strCache>
            </c:strRef>
          </c:tx>
          <c:spPr>
            <a:ln w="25400">
              <a:solidFill>
                <a:srgbClr val="002060"/>
              </a:solidFill>
            </a:ln>
          </c:spPr>
          <c:marker>
            <c:symbol val="none"/>
            <c:size val="5"/>
          </c:marker>
          <c:dLbls>
            <c:dLbl>
              <c:idx val="15"/>
              <c:numFmt formatCode="0%"/>
              <c:txPr>
                <a:bodyPr/>
                <a:lstStyle/>
                <a:p>
                  <a:pPr>
                    <a:defRPr sz="900"/>
                  </a:pPr>
                  <a:endParaRPr lang="en-US"/>
                </a:p>
              </c:txPr>
              <c:dLblPos val="t"/>
              <c:showLegendKey val="0"/>
              <c:showVal val="1"/>
              <c:showCatName val="0"/>
              <c:showSerName val="0"/>
              <c:showPercent val="0"/>
              <c:showBubbleSize val="0"/>
            </c:dLbl>
            <c:dLbl>
              <c:idx val="19"/>
              <c:numFmt formatCode="0%"/>
              <c:txPr>
                <a:bodyPr/>
                <a:lstStyle/>
                <a:p>
                  <a:pPr>
                    <a:defRPr sz="900"/>
                  </a:pPr>
                  <a:endParaRPr lang="en-US"/>
                </a:p>
              </c:txPr>
              <c:dLblPos val="r"/>
              <c:showLegendKey val="0"/>
              <c:showVal val="1"/>
              <c:showCatName val="0"/>
              <c:showSerName val="0"/>
              <c:showPercent val="0"/>
              <c:showBubbleSize val="0"/>
            </c:dLbl>
            <c:showLegendKey val="0"/>
            <c:showVal val="0"/>
            <c:showCatName val="0"/>
            <c:showSerName val="0"/>
            <c:showPercent val="0"/>
            <c:showBubbleSize val="0"/>
          </c:dLbls>
          <c:cat>
            <c:strRef>
              <c:f>Quarterly!$J$6:$J$25</c:f>
              <c:strCache>
                <c:ptCount val="20"/>
                <c:pt idx="0">
                  <c:v>Q1'21</c:v>
                </c:pt>
                <c:pt idx="1">
                  <c:v>Q2'21</c:v>
                </c:pt>
                <c:pt idx="2">
                  <c:v>Q3'21</c:v>
                </c:pt>
                <c:pt idx="3">
                  <c:v>Q4'21</c:v>
                </c:pt>
                <c:pt idx="4">
                  <c:v>Q1'22</c:v>
                </c:pt>
                <c:pt idx="5">
                  <c:v>Q2'22</c:v>
                </c:pt>
                <c:pt idx="6">
                  <c:v>Q3'22</c:v>
                </c:pt>
                <c:pt idx="7">
                  <c:v>Q4'22</c:v>
                </c:pt>
                <c:pt idx="8">
                  <c:v>Q1'23</c:v>
                </c:pt>
                <c:pt idx="9">
                  <c:v>Q2'23</c:v>
                </c:pt>
                <c:pt idx="10">
                  <c:v>Q3'23</c:v>
                </c:pt>
                <c:pt idx="11">
                  <c:v>Q4'23</c:v>
                </c:pt>
                <c:pt idx="12">
                  <c:v>Q1'24</c:v>
                </c:pt>
                <c:pt idx="13">
                  <c:v>Q2'24</c:v>
                </c:pt>
                <c:pt idx="14">
                  <c:v>Q3'24</c:v>
                </c:pt>
                <c:pt idx="15">
                  <c:v>Q4'24</c:v>
                </c:pt>
                <c:pt idx="16">
                  <c:v>Q1'25</c:v>
                </c:pt>
                <c:pt idx="17">
                  <c:v>Q2'25</c:v>
                </c:pt>
                <c:pt idx="18">
                  <c:v>Q3'25</c:v>
                </c:pt>
                <c:pt idx="19">
                  <c:v>Q4'25</c:v>
                </c:pt>
              </c:strCache>
            </c:strRef>
          </c:cat>
          <c:val>
            <c:numRef>
              <c:f>Quarterly!$K$6:$K$25</c:f>
              <c:numCache>
                <c:formatCode>0%</c:formatCode>
                <c:ptCount val="20"/>
                <c:pt idx="0">
                  <c:v>1.1</c:v>
                </c:pt>
                <c:pt idx="1">
                  <c:v>1.09</c:v>
                </c:pt>
                <c:pt idx="2">
                  <c:v>1.11</c:v>
                </c:pt>
                <c:pt idx="3">
                  <c:v>1.11</c:v>
                </c:pt>
                <c:pt idx="4">
                  <c:v>1.07</c:v>
                </c:pt>
                <c:pt idx="5">
                  <c:v>1.04</c:v>
                </c:pt>
                <c:pt idx="6">
                  <c:v>1.03</c:v>
                </c:pt>
                <c:pt idx="7">
                  <c:v>1.06</c:v>
                </c:pt>
                <c:pt idx="8">
                  <c:v>1.06</c:v>
                </c:pt>
                <c:pt idx="9">
                  <c:v>1.09</c:v>
                </c:pt>
                <c:pt idx="10">
                  <c:v>1.08</c:v>
                </c:pt>
                <c:pt idx="11">
                  <c:v>1.07</c:v>
                </c:pt>
                <c:pt idx="12">
                  <c:v>1.1</c:v>
                </c:pt>
                <c:pt idx="13">
                  <c:v>1.1</c:v>
                </c:pt>
                <c:pt idx="14">
                  <c:v>1.14</c:v>
                </c:pt>
                <c:pt idx="15">
                  <c:v>1.16</c:v>
                </c:pt>
                <c:pt idx="16">
                  <c:v>1.14</c:v>
                </c:pt>
                <c:pt idx="17">
                  <c:v>1.1</c:v>
                </c:pt>
                <c:pt idx="18">
                  <c:v>1.08</c:v>
                </c:pt>
                <c:pt idx="19">
                  <c:v>1.09</c:v>
                </c:pt>
              </c:numCache>
            </c:numRef>
          </c:val>
          <c:smooth val="0"/>
        </c:ser>
        <c:ser>
          <c:idx val="1"/>
          <c:order val="1"/>
          <c:tx>
            <c:strRef>
              <c:f>Quarterly!$L$5</c:f>
              <c:strCache>
                <c:ptCount val="1"/>
                <c:pt idx="0">
                  <c:v>GRR</c:v>
                </c:pt>
              </c:strCache>
            </c:strRef>
          </c:tx>
          <c:spPr>
            <a:ln w="25400">
              <a:solidFill>
                <a:srgbClr val="7F7F7F"/>
              </a:solidFill>
            </a:ln>
          </c:spPr>
          <c:marker>
            <c:symbol val="none"/>
            <c:size val="5"/>
          </c:marker>
          <c:dLbls>
            <c:dLbl>
              <c:idx val="19"/>
              <c:numFmt formatCode="0%"/>
              <c:txPr>
                <a:bodyPr/>
                <a:lstStyle/>
                <a:p>
                  <a:pPr>
                    <a:defRPr sz="900"/>
                  </a:pPr>
                  <a:endParaRPr lang="en-US"/>
                </a:p>
              </c:txPr>
              <c:dLblPos val="r"/>
              <c:showLegendKey val="0"/>
              <c:showVal val="1"/>
              <c:showCatName val="0"/>
              <c:showSerName val="0"/>
              <c:showPercent val="0"/>
              <c:showBubbleSize val="0"/>
            </c:dLbl>
            <c:showLegendKey val="0"/>
            <c:showVal val="0"/>
            <c:showCatName val="0"/>
            <c:showSerName val="0"/>
            <c:showPercent val="0"/>
            <c:showBubbleSize val="0"/>
          </c:dLbls>
          <c:cat>
            <c:strRef>
              <c:f>Quarterly!$J$6:$J$25</c:f>
              <c:strCache>
                <c:ptCount val="20"/>
                <c:pt idx="0">
                  <c:v>Q1'21</c:v>
                </c:pt>
                <c:pt idx="1">
                  <c:v>Q2'21</c:v>
                </c:pt>
                <c:pt idx="2">
                  <c:v>Q3'21</c:v>
                </c:pt>
                <c:pt idx="3">
                  <c:v>Q4'21</c:v>
                </c:pt>
                <c:pt idx="4">
                  <c:v>Q1'22</c:v>
                </c:pt>
                <c:pt idx="5">
                  <c:v>Q2'22</c:v>
                </c:pt>
                <c:pt idx="6">
                  <c:v>Q3'22</c:v>
                </c:pt>
                <c:pt idx="7">
                  <c:v>Q4'22</c:v>
                </c:pt>
                <c:pt idx="8">
                  <c:v>Q1'23</c:v>
                </c:pt>
                <c:pt idx="9">
                  <c:v>Q2'23</c:v>
                </c:pt>
                <c:pt idx="10">
                  <c:v>Q3'23</c:v>
                </c:pt>
                <c:pt idx="11">
                  <c:v>Q4'23</c:v>
                </c:pt>
                <c:pt idx="12">
                  <c:v>Q1'24</c:v>
                </c:pt>
                <c:pt idx="13">
                  <c:v>Q2'24</c:v>
                </c:pt>
                <c:pt idx="14">
                  <c:v>Q3'24</c:v>
                </c:pt>
                <c:pt idx="15">
                  <c:v>Q4'24</c:v>
                </c:pt>
                <c:pt idx="16">
                  <c:v>Q1'25</c:v>
                </c:pt>
                <c:pt idx="17">
                  <c:v>Q2'25</c:v>
                </c:pt>
                <c:pt idx="18">
                  <c:v>Q3'25</c:v>
                </c:pt>
                <c:pt idx="19">
                  <c:v>Q4'25</c:v>
                </c:pt>
              </c:strCache>
            </c:strRef>
          </c:cat>
          <c:val>
            <c:numRef>
              <c:f>Quarterly!$L$6:$L$25</c:f>
              <c:numCache>
                <c:formatCode>0%</c:formatCode>
                <c:ptCount val="20"/>
                <c:pt idx="0">
                  <c:v>0.98</c:v>
                </c:pt>
                <c:pt idx="1">
                  <c:v>0.98</c:v>
                </c:pt>
                <c:pt idx="2">
                  <c:v>0.98</c:v>
                </c:pt>
                <c:pt idx="3">
                  <c:v>0.98</c:v>
                </c:pt>
                <c:pt idx="4">
                  <c:v>0.98</c:v>
                </c:pt>
                <c:pt idx="5">
                  <c:v>0.98</c:v>
                </c:pt>
                <c:pt idx="6">
                  <c:v>0.98</c:v>
                </c:pt>
                <c:pt idx="7">
                  <c:v>0.98</c:v>
                </c:pt>
                <c:pt idx="8">
                  <c:v>0.97</c:v>
                </c:pt>
                <c:pt idx="9">
                  <c:v>0.98</c:v>
                </c:pt>
                <c:pt idx="10">
                  <c:v>0.98</c:v>
                </c:pt>
                <c:pt idx="11">
                  <c:v>0.98</c:v>
                </c:pt>
                <c:pt idx="12">
                  <c:v>0.99</c:v>
                </c:pt>
                <c:pt idx="13">
                  <c:v>0.99</c:v>
                </c:pt>
                <c:pt idx="14">
                  <c:v>0.99</c:v>
                </c:pt>
                <c:pt idx="15">
                  <c:v>0.98</c:v>
                </c:pt>
                <c:pt idx="16">
                  <c:v>0.98</c:v>
                </c:pt>
                <c:pt idx="17">
                  <c:v>0.98</c:v>
                </c:pt>
                <c:pt idx="18">
                  <c:v>0.98</c:v>
                </c:pt>
                <c:pt idx="19">
                  <c:v>0.98</c:v>
                </c:pt>
              </c:numCache>
            </c:numRef>
          </c:val>
          <c:smooth val="0"/>
        </c:ser>
        <c:ser>
          <c:idx val="2"/>
          <c:order val="2"/>
          <c:tx>
            <c:strRef>
              <c:f>Quarterly!$M$5</c:f>
              <c:strCache>
                <c:ptCount val="1"/>
                <c:pt idx="0">
                  <c:v>NRR excl. acquired</c:v>
                </c:pt>
              </c:strCache>
            </c:strRef>
          </c:tx>
          <c:spPr>
            <a:ln w="25400">
              <a:solidFill>
                <a:srgbClr val="ED7D31"/>
              </a:solidFill>
            </a:ln>
          </c:spPr>
          <c:marker>
            <c:symbol val="circle"/>
            <c:size val="6"/>
            <c:spPr>
              <a:solidFill>
                <a:srgbClr val="ED7D31"/>
              </a:solidFill>
              <a:ln>
                <a:solidFill>
                  <a:srgbClr val="ED7D31"/>
                </a:solidFill>
              </a:ln>
            </c:spPr>
          </c:marker>
          <c:dLbls>
            <c:dLbl>
              <c:idx val="19"/>
              <c:numFmt formatCode="0%"/>
              <c:txPr>
                <a:bodyPr/>
                <a:lstStyle/>
                <a:p>
                  <a:pPr>
                    <a:defRPr sz="900"/>
                  </a:pPr>
                  <a:endParaRPr lang="en-US"/>
                </a:p>
              </c:txPr>
              <c:dLblPos val="r"/>
              <c:showLegendKey val="0"/>
              <c:showVal val="1"/>
              <c:showCatName val="0"/>
              <c:showSerName val="0"/>
              <c:showPercent val="0"/>
              <c:showBubbleSize val="0"/>
            </c:dLbl>
            <c:showLegendKey val="0"/>
            <c:showVal val="0"/>
            <c:showCatName val="0"/>
            <c:showSerName val="0"/>
            <c:showPercent val="0"/>
            <c:showBubbleSize val="0"/>
          </c:dLbls>
          <c:cat>
            <c:strRef>
              <c:f>Quarterly!$J$6:$J$25</c:f>
              <c:strCache>
                <c:ptCount val="20"/>
                <c:pt idx="0">
                  <c:v>Q1'21</c:v>
                </c:pt>
                <c:pt idx="1">
                  <c:v>Q2'21</c:v>
                </c:pt>
                <c:pt idx="2">
                  <c:v>Q3'21</c:v>
                </c:pt>
                <c:pt idx="3">
                  <c:v>Q4'21</c:v>
                </c:pt>
                <c:pt idx="4">
                  <c:v>Q1'22</c:v>
                </c:pt>
                <c:pt idx="5">
                  <c:v>Q2'22</c:v>
                </c:pt>
                <c:pt idx="6">
                  <c:v>Q3'22</c:v>
                </c:pt>
                <c:pt idx="7">
                  <c:v>Q4'22</c:v>
                </c:pt>
                <c:pt idx="8">
                  <c:v>Q1'23</c:v>
                </c:pt>
                <c:pt idx="9">
                  <c:v>Q2'23</c:v>
                </c:pt>
                <c:pt idx="10">
                  <c:v>Q3'23</c:v>
                </c:pt>
                <c:pt idx="11">
                  <c:v>Q4'23</c:v>
                </c:pt>
                <c:pt idx="12">
                  <c:v>Q1'24</c:v>
                </c:pt>
                <c:pt idx="13">
                  <c:v>Q2'24</c:v>
                </c:pt>
                <c:pt idx="14">
                  <c:v>Q3'24</c:v>
                </c:pt>
                <c:pt idx="15">
                  <c:v>Q4'24</c:v>
                </c:pt>
                <c:pt idx="16">
                  <c:v>Q1'25</c:v>
                </c:pt>
                <c:pt idx="17">
                  <c:v>Q2'25</c:v>
                </c:pt>
                <c:pt idx="18">
                  <c:v>Q3'25</c:v>
                </c:pt>
                <c:pt idx="19">
                  <c:v>Q4'25</c:v>
                </c:pt>
              </c:strCache>
            </c:strRef>
          </c:cat>
          <c:val>
            <c:numRef>
              <c:f>Quarterly!$M$6:$M$25</c:f>
              <c:numCache>
                <c:formatCode>0%</c:formatCode>
                <c:ptCount val="20"/>
                <c:pt idx="17">
                  <c:v>1.14</c:v>
                </c:pt>
                <c:pt idx="18">
                  <c:v>1.12</c:v>
                </c:pt>
                <c:pt idx="19">
                  <c:v>1.13</c:v>
                </c:pt>
              </c:numCache>
            </c:numRef>
          </c:val>
          <c:smooth val="0"/>
        </c:ser>
        <c:ser>
          <c:idx val="3"/>
          <c:order val="3"/>
          <c:tx>
            <c:strRef>
              <c:f>Quarterly!$N$5</c:f>
              <c:strCache>
                <c:ptCount val="1"/>
                <c:pt idx="0">
                  <c:v>Plan need (central)</c:v>
                </c:pt>
              </c:strCache>
            </c:strRef>
          </c:tx>
          <c:spPr>
            <a:ln w="15875">
              <a:solidFill>
                <a:srgbClr val="C0392B"/>
              </a:solidFill>
              <a:prstDash val="dash"/>
            </a:ln>
          </c:spPr>
          <c:marker>
            <c:symbol val="none"/>
            <c:size val="5"/>
          </c:marker>
          <c:cat>
            <c:strRef>
              <c:f>Quarterly!$J$6:$J$25</c:f>
              <c:strCache>
                <c:ptCount val="20"/>
                <c:pt idx="0">
                  <c:v>Q1'21</c:v>
                </c:pt>
                <c:pt idx="1">
                  <c:v>Q2'21</c:v>
                </c:pt>
                <c:pt idx="2">
                  <c:v>Q3'21</c:v>
                </c:pt>
                <c:pt idx="3">
                  <c:v>Q4'21</c:v>
                </c:pt>
                <c:pt idx="4">
                  <c:v>Q1'22</c:v>
                </c:pt>
                <c:pt idx="5">
                  <c:v>Q2'22</c:v>
                </c:pt>
                <c:pt idx="6">
                  <c:v>Q3'22</c:v>
                </c:pt>
                <c:pt idx="7">
                  <c:v>Q4'22</c:v>
                </c:pt>
                <c:pt idx="8">
                  <c:v>Q1'23</c:v>
                </c:pt>
                <c:pt idx="9">
                  <c:v>Q2'23</c:v>
                </c:pt>
                <c:pt idx="10">
                  <c:v>Q3'23</c:v>
                </c:pt>
                <c:pt idx="11">
                  <c:v>Q4'23</c:v>
                </c:pt>
                <c:pt idx="12">
                  <c:v>Q1'24</c:v>
                </c:pt>
                <c:pt idx="13">
                  <c:v>Q2'24</c:v>
                </c:pt>
                <c:pt idx="14">
                  <c:v>Q3'24</c:v>
                </c:pt>
                <c:pt idx="15">
                  <c:v>Q4'24</c:v>
                </c:pt>
                <c:pt idx="16">
                  <c:v>Q1'25</c:v>
                </c:pt>
                <c:pt idx="17">
                  <c:v>Q2'25</c:v>
                </c:pt>
                <c:pt idx="18">
                  <c:v>Q3'25</c:v>
                </c:pt>
                <c:pt idx="19">
                  <c:v>Q4'25</c:v>
                </c:pt>
              </c:strCache>
            </c:strRef>
          </c:cat>
          <c:val>
            <c:numRef>
              <c:f>Quarterly!$N$6:$N$25</c:f>
              <c:numCache>
                <c:formatCode>0.0%</c:formatCode>
                <c:ptCount val="20"/>
                <c:pt idx="0">
                  <c:v>1.1444835535900837</c:v>
                </c:pt>
                <c:pt idx="1">
                  <c:v>1.1444835535900837</c:v>
                </c:pt>
                <c:pt idx="2">
                  <c:v>1.1444835535900837</c:v>
                </c:pt>
                <c:pt idx="3">
                  <c:v>1.1444835535900837</c:v>
                </c:pt>
                <c:pt idx="4">
                  <c:v>1.1444835535900837</c:v>
                </c:pt>
                <c:pt idx="5">
                  <c:v>1.1444835535900837</c:v>
                </c:pt>
                <c:pt idx="6">
                  <c:v>1.1444835535900837</c:v>
                </c:pt>
                <c:pt idx="7">
                  <c:v>1.1444835535900837</c:v>
                </c:pt>
                <c:pt idx="8">
                  <c:v>1.1444835535900837</c:v>
                </c:pt>
                <c:pt idx="9">
                  <c:v>1.1444835535900837</c:v>
                </c:pt>
                <c:pt idx="10">
                  <c:v>1.1444835535900837</c:v>
                </c:pt>
                <c:pt idx="11">
                  <c:v>1.1444835535900837</c:v>
                </c:pt>
                <c:pt idx="12">
                  <c:v>1.1444835535900837</c:v>
                </c:pt>
                <c:pt idx="13">
                  <c:v>1.1444835535900837</c:v>
                </c:pt>
                <c:pt idx="14">
                  <c:v>1.1444835535900837</c:v>
                </c:pt>
                <c:pt idx="15">
                  <c:v>1.1444835535900837</c:v>
                </c:pt>
                <c:pt idx="16">
                  <c:v>1.1444835535900837</c:v>
                </c:pt>
                <c:pt idx="17">
                  <c:v>1.1444835535900837</c:v>
                </c:pt>
                <c:pt idx="18">
                  <c:v>1.1444835535900837</c:v>
                </c:pt>
                <c:pt idx="19">
                  <c:v>1.1444835535900837</c:v>
                </c:pt>
              </c:numCache>
            </c:numRef>
          </c:val>
          <c:smooth val="0"/>
        </c:ser>
        <c:axId val="111111111"/>
        <c:axId val="222222222"/>
      </c:lineChart>
      <c:catAx>
        <c:axId val="111111111"/>
        <c:scaling>
          <c:orientation val="minMax"/>
        </c:scaling>
        <c:delete val="0"/>
        <c:axPos val="b"/>
        <c:txPr>
          <a:bodyPr/>
          <a:lstStyle/>
          <a:p>
            <a:pPr>
              <a:defRPr sz="900"/>
            </a:pPr>
            <a:endParaRPr lang="en-US"/>
          </a:p>
        </c:txPr>
        <c:crossAx val="222222222"/>
        <c:crosses val="autoZero"/>
        <c:tickLblSkip val="4"/>
      </c:catAx>
      <c:valAx>
        <c:axId val="222222222"/>
        <c:scaling>
          <c:orientation val="minMax"/>
          <c:max val="1.18"/>
          <c:min val="0.94"/>
        </c:scaling>
        <c:delete val="0"/>
        <c:axPos val="l"/>
        <c:majorGridlines>
          <c:spPr>
            <a:ln>
              <a:solidFill>
                <a:srgbClr val="E7E6E6"/>
              </a:solidFill>
            </a:ln>
          </c:spPr>
        </c:majorGridlines>
        <c:numFmt formatCode="0%" sourceLinked="0"/>
        <c:txPr>
          <a:bodyPr/>
          <a:lstStyle/>
          <a:p>
            <a:pPr>
              <a:defRPr sz="900"/>
            </a:pPr>
            <a:endParaRPr lang="en-US"/>
          </a:p>
        </c:txPr>
        <c:crossAx val="111111111"/>
        <c:crosses val="autoZero"/>
        <c:majorUnit val="0.04"/>
      </c:valAx>
    </c:plotArea>
    <c:legend>
      <c:legendPos val="b"/>
      <c:overlay val="0"/>
      <c:txPr>
        <a:bodyPr/>
        <a:lstStyle/>
        <a:p>
          <a:pPr>
            <a:defRPr sz="900"/>
          </a:pPr>
          <a:endParaRPr lang="en-US"/>
        </a:p>
      </c:txPr>
    </c:legend>
    <c:dispBlanksAs val="gap"/>
  </c:char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15</xdr:col>
      <xdr:colOff>0</xdr:colOff>
      <xdr:row>4</xdr:row>
      <xdr:rowOff>0</xdr:rowOff>
    </xdr:from>
    <xdr:to>
      <xdr:col>24</xdr:col>
      <xdr:colOff>0</xdr:colOff>
      <xdr:row>24</xdr:row>
      <xdr:rowOff>0</xdr:rowOff>
    </xdr:to>
    <xdr:graphicFrame macro="">
      <xdr:nvGraphicFramePr>
        <xdr:cNvPr id="1" name="Retention chart">
          <a:extLst>
            <a:ext uri="{FF2B5EF4-FFF2-40B4-BE49-F238E27FC236}">
              <a16:creationId xmlns:a16="http://schemas.microsoft.com/office/drawing/2014/main" id="{00000000-874F-4C1D-8CA1-000000000001}"/>
            </a:ext>
          </a:extLst>
        </xdr:cNvPr>
        <xdr:cNvGraphicFramePr/>
      </xdr:nvGraphicFramePr>
      <xdr:xfrm>
        <a:off x="0" y="0"/>
        <a:ext cx="5486400" cy="3810000"/>
      </xdr:xfrm>
      <a:graphic>
        <a:graphicData uri="http://schemas.openxmlformats.org/drawingml/2006/chart">
          <c:chart xmlns:c="http://schemas.openxmlformats.org/drawingml/2006/chart"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comments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comments" Target="../comments2.xml"/><Relationship Id="rId3"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comments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4"/>
  <sheetViews>
    <sheetView showGridLines="0" tabSelected="1" workbookViewId="0">
      <pane ySplit="5" topLeftCell="A6" activePane="bottomLeft" state="frozen"/>
      <selection pane="bottomLeft" activeCell="A1" sqref="A1"/>
    </sheetView>
  </sheetViews>
  <cols>
    <col min="1" max="1" width="2.21875" customWidth="1"/>
    <col min="2" max="2" width="62.7890625" customWidth="1"/>
    <col min="3" max="8" width="11.7890625" customWidth="1"/>
    <col min="9" max="9" width="2.21875" customWidth="1"/>
    <col min="10" max="10" width="14.7890625" customWidth="1"/>
    <col min="11" max="11" width="2.21875" customWidth="1"/>
  </cols>
  <sheetData>
    <row r="2">
      <c r="B2" t="s" s="3">
        <v>42</v>
      </c>
      <c r="C2" s="1"/>
      <c r="D2" s="1"/>
      <c r="E2" s="1"/>
      <c r="F2" s="1"/>
      <c r="G2" s="1"/>
      <c r="H2" s="1"/>
      <c r="I2" s="1"/>
      <c r="J2" s="1"/>
      <c r="K2" s="1"/>
      <c r="L2" s="1"/>
    </row>
    <row r="3">
      <c r="B3" t="s" s="5">
        <v>43</v>
      </c>
      <c r="C3" s="1"/>
      <c r="D3" s="1"/>
      <c r="E3" s="1"/>
      <c r="F3" s="1"/>
      <c r="G3" s="1"/>
      <c r="H3" s="1"/>
      <c r="I3" s="1"/>
      <c r="J3" s="1"/>
      <c r="K3" s="1"/>
      <c r="L3" s="1"/>
    </row>
    <row r="4">
      <c r="B4" s="1"/>
      <c r="C4" s="1"/>
      <c r="D4" s="1"/>
      <c r="E4" s="1"/>
      <c r="F4" s="1"/>
      <c r="G4" s="1"/>
      <c r="H4" s="1"/>
      <c r="I4" s="1"/>
      <c r="J4" s="1"/>
      <c r="K4" s="1"/>
      <c r="L4" s="1"/>
    </row>
    <row r="5">
      <c r="B5" t="s" s="2">
        <v>2</v>
      </c>
      <c r="C5" s="19">
        <f>DATE(2020,12,31)</f>
        <v>44196</v>
      </c>
      <c r="D5" s="19">
        <f>DATE(2021,12,31)</f>
        <v>44561</v>
      </c>
      <c r="E5" s="19">
        <f>DATE(2022,12,31)</f>
        <v>44926</v>
      </c>
      <c r="F5" s="19">
        <f>DATE(2023,12,31)</f>
        <v>45291</v>
      </c>
      <c r="G5" s="19">
        <f>DATE(2024,12,31)</f>
        <v>45657</v>
      </c>
      <c r="H5" s="19">
        <f>DATE(2025,12,31)</f>
        <v>46022</v>
      </c>
      <c r="I5" s="1"/>
      <c r="J5" t="s" s="7">
        <v>63</v>
      </c>
      <c r="K5" s="1"/>
      <c r="L5" t="s" s="8">
        <v>28</v>
      </c>
    </row>
    <row r="6">
      <c r="B6" t="s" s="6">
        <v>44</v>
      </c>
      <c r="C6" s="6"/>
      <c r="D6" s="6"/>
      <c r="E6" s="6"/>
      <c r="F6" s="6"/>
      <c r="G6" s="6"/>
      <c r="H6" s="6"/>
      <c r="I6" s="6"/>
      <c r="J6" s="6"/>
      <c r="K6" s="1"/>
      <c r="L6" s="1"/>
    </row>
    <row r="7">
      <c r="B7" t="s" s="2">
        <v>45</v>
      </c>
      <c r="C7" s="38">
        <f>Quarterly!F7/1000</f>
        <v>219.901</v>
      </c>
      <c r="D7" s="38">
        <f>Quarterly!F8/1000</f>
        <v>277.78</v>
      </c>
      <c r="E7" s="38">
        <f>Quarterly!F9/1000</f>
        <v>323.461</v>
      </c>
      <c r="F7" s="38">
        <f>Quarterly!F10/1000</f>
        <v>379.096</v>
      </c>
      <c r="G7" s="38">
        <f>Quarterly!F11/1000</f>
        <v>474.924</v>
      </c>
      <c r="H7" s="38">
        <f>Quarterly!F12/1000</f>
        <v>840.962</v>
      </c>
      <c r="I7" s="17"/>
      <c r="J7" s="21">
        <f>(H7/D7)^(1/(YEAR($H$5)-YEAR($D$5)))-1</f>
        <v>0.31907305688885623</v>
      </c>
      <c r="K7" s="1"/>
      <c r="L7" t="s" s="5">
        <v>64</v>
      </c>
    </row>
    <row r="8">
      <c r="B8" t="s" s="18">
        <v>46</v>
      </c>
      <c r="C8" t="s" s="9">
        <v>62</v>
      </c>
      <c r="D8" t="s" s="9">
        <v>62</v>
      </c>
      <c r="E8" t="s" s="9">
        <v>62</v>
      </c>
      <c r="F8" t="s" s="9">
        <v>62</v>
      </c>
      <c r="G8" t="s" s="9">
        <v>62</v>
      </c>
      <c r="H8" s="22">
        <f>Quarterly!F33</f>
        <v>282</v>
      </c>
      <c r="I8" s="10"/>
      <c r="J8" s="11"/>
      <c r="K8" s="1"/>
      <c r="L8" t="s" s="5">
        <v>33</v>
      </c>
    </row>
    <row r="9">
      <c r="B9" t="s" s="1">
        <v>47</v>
      </c>
      <c r="C9" t="s" s="12">
        <v>62</v>
      </c>
      <c r="D9" s="23">
        <v>1100</v>
      </c>
      <c r="E9" s="23">
        <v>1200</v>
      </c>
      <c r="F9" s="23">
        <v>1300</v>
      </c>
      <c r="G9" s="23">
        <v>1400</v>
      </c>
      <c r="H9" s="23">
        <v>2500</v>
      </c>
      <c r="I9" s="10"/>
      <c r="J9" s="24">
        <f>(H9/D9)^(1/(YEAR($H$5)-YEAR($D$5)))-1</f>
        <v>0.22782601490961185</v>
      </c>
      <c r="K9" s="1"/>
      <c r="L9" t="s" s="5">
        <v>65</v>
      </c>
    </row>
    <row r="10">
      <c r="B10" t="s" s="1">
        <v>48</v>
      </c>
      <c r="C10" t="s" s="12">
        <v>62</v>
      </c>
      <c r="D10" s="23">
        <v>59</v>
      </c>
      <c r="E10" s="23">
        <v>67</v>
      </c>
      <c r="F10" s="23">
        <v>86</v>
      </c>
      <c r="G10" s="23">
        <v>100</v>
      </c>
      <c r="H10" s="23">
        <v>152</v>
      </c>
      <c r="I10" s="10"/>
      <c r="J10" s="24">
        <f>(H10/D10)^(1/(YEAR($H$5)-YEAR($D$5)))-1</f>
        <v>0.26691621339492855</v>
      </c>
      <c r="K10" s="1"/>
      <c r="L10" t="s" s="5">
        <v>65</v>
      </c>
    </row>
    <row r="11">
      <c r="B11" t="s" s="1">
        <v>49</v>
      </c>
      <c r="C11" t="s" s="12">
        <v>62</v>
      </c>
      <c r="D11" s="23">
        <v>100</v>
      </c>
      <c r="E11" s="23">
        <v>130</v>
      </c>
      <c r="F11" s="23">
        <v>80</v>
      </c>
      <c r="G11" s="23">
        <v>100</v>
      </c>
      <c r="H11" s="23">
        <v>1000</v>
      </c>
      <c r="I11" s="10"/>
      <c r="J11" s="11"/>
      <c r="K11" s="1"/>
      <c r="L11" t="s" s="5">
        <v>66</v>
      </c>
    </row>
    <row r="12">
      <c r="B12" t="s" s="18">
        <v>50</v>
      </c>
      <c r="C12" t="s" s="12">
        <v>24</v>
      </c>
      <c r="D12" t="s" s="12">
        <v>24</v>
      </c>
      <c r="E12" t="s" s="12">
        <v>24</v>
      </c>
      <c r="F12" t="s" s="12">
        <v>24</v>
      </c>
      <c r="G12" t="s" s="12">
        <v>24</v>
      </c>
      <c r="H12" s="23">
        <v>900</v>
      </c>
      <c r="I12" s="10"/>
      <c r="J12" s="11"/>
      <c r="K12" s="1"/>
      <c r="L12" t="s" s="5">
        <v>67</v>
      </c>
    </row>
    <row r="13">
      <c r="B13" t="s" s="1">
        <v>51</v>
      </c>
      <c r="C13" s="25">
        <f>Quarterly!F15</f>
        <v>0.98</v>
      </c>
      <c r="D13" s="25">
        <f>Quarterly!F16</f>
        <v>0.98</v>
      </c>
      <c r="E13" s="25">
        <f>Quarterly!F17</f>
        <v>0.98</v>
      </c>
      <c r="F13" s="25">
        <f>Quarterly!F18</f>
        <v>0.98</v>
      </c>
      <c r="G13" s="25">
        <f>Quarterly!F19</f>
        <v>0.98</v>
      </c>
      <c r="H13" s="25">
        <f>Quarterly!F20</f>
        <v>0.98</v>
      </c>
      <c r="I13" s="10"/>
      <c r="J13" s="11"/>
      <c r="K13" s="1"/>
      <c r="L13" t="s" s="5">
        <v>64</v>
      </c>
    </row>
    <row r="14">
      <c r="B14" t="s" s="1">
        <v>52</v>
      </c>
      <c r="C14" s="25">
        <f>Quarterly!F23</f>
        <v>1.09</v>
      </c>
      <c r="D14" s="25">
        <f>Quarterly!F24</f>
        <v>1.11</v>
      </c>
      <c r="E14" s="25">
        <f>Quarterly!F25</f>
        <v>1.06</v>
      </c>
      <c r="F14" s="25">
        <f>Quarterly!F26</f>
        <v>1.07</v>
      </c>
      <c r="G14" s="25">
        <f>Quarterly!F27</f>
        <v>1.16</v>
      </c>
      <c r="H14" s="25">
        <f>Quarterly!F28</f>
        <v>1.09</v>
      </c>
      <c r="I14" s="10"/>
      <c r="J14" s="11"/>
      <c r="K14" s="1"/>
      <c r="L14" t="s" s="5">
        <v>64</v>
      </c>
    </row>
    <row r="15">
      <c r="B15" t="s" s="18">
        <v>53</v>
      </c>
      <c r="C15" t="s" s="13">
        <v>24</v>
      </c>
      <c r="D15" t="s" s="13">
        <v>24</v>
      </c>
      <c r="E15" t="s" s="13">
        <v>24</v>
      </c>
      <c r="F15" t="s" s="13">
        <v>24</v>
      </c>
      <c r="G15" t="s" s="13">
        <v>24</v>
      </c>
      <c r="H15" s="25">
        <f>Quarterly!F31</f>
        <v>1.13</v>
      </c>
      <c r="I15" s="10"/>
      <c r="J15" s="11"/>
      <c r="K15" s="1"/>
      <c r="L15" t="s" s="5">
        <v>36</v>
      </c>
    </row>
    <row r="16">
      <c r="B16" s="1"/>
      <c r="C16" s="10"/>
      <c r="D16" s="10"/>
      <c r="E16" s="10"/>
      <c r="F16" s="10"/>
      <c r="G16" s="10"/>
      <c r="H16" s="10"/>
      <c r="I16" s="10"/>
      <c r="J16" s="11"/>
      <c r="K16" s="1"/>
      <c r="L16" s="5"/>
    </row>
    <row r="17">
      <c r="B17" t="s" s="6">
        <v>54</v>
      </c>
      <c r="C17" s="14"/>
      <c r="D17" s="14"/>
      <c r="E17" s="14"/>
      <c r="F17" s="14"/>
      <c r="G17" s="14"/>
      <c r="H17" s="14"/>
      <c r="I17" s="14"/>
      <c r="J17" s="15"/>
      <c r="K17" s="1"/>
      <c r="L17" s="5"/>
    </row>
    <row r="18">
      <c r="B18" t="s" s="4">
        <v>55</v>
      </c>
      <c r="C18" s="11"/>
      <c r="D18" s="24">
        <f>D7/C7-1</f>
        <v>0.2632048057989731</v>
      </c>
      <c r="E18" s="24">
        <f>E7/D7-1</f>
        <v>0.1644502843977249</v>
      </c>
      <c r="F18" s="24">
        <f>F7/E7-1</f>
        <v>0.1719990972636578</v>
      </c>
      <c r="G18" s="24">
        <f>G7/F7-1</f>
        <v>0.25278029839407434</v>
      </c>
      <c r="H18" s="24">
        <f>H7/G7-1</f>
        <v>0.7707296325306787</v>
      </c>
      <c r="I18" s="10"/>
      <c r="J18" s="11"/>
      <c r="K18" s="1"/>
      <c r="L18" t="s" s="5">
        <v>38</v>
      </c>
    </row>
    <row r="19">
      <c r="B19" t="s" s="2">
        <v>56</v>
      </c>
      <c r="C19" s="20">
        <f>C7-N(C8)</f>
        <v>219.901</v>
      </c>
      <c r="D19" s="20">
        <f>D7-N(D8)</f>
        <v>277.78</v>
      </c>
      <c r="E19" s="20">
        <f>E7-N(E8)</f>
        <v>323.461</v>
      </c>
      <c r="F19" s="20">
        <f>F7-N(F8)</f>
        <v>379.096</v>
      </c>
      <c r="G19" s="20">
        <f>G7-N(G8)</f>
        <v>474.924</v>
      </c>
      <c r="H19" s="20">
        <f>H7-N(H8)</f>
        <v>558.962</v>
      </c>
      <c r="I19" s="17"/>
      <c r="J19" s="21">
        <f>(H19/D19)^(1/(YEAR($H$5)-YEAR($D$5)))-1</f>
        <v>0.19102349191187673</v>
      </c>
      <c r="K19" s="1"/>
      <c r="L19" t="s" s="5">
        <v>38</v>
      </c>
    </row>
    <row r="20">
      <c r="B20" t="s" s="4">
        <v>57</v>
      </c>
      <c r="C20" s="11"/>
      <c r="D20" s="24">
        <f>D19/C19-1</f>
        <v>0.2632048057989731</v>
      </c>
      <c r="E20" s="24">
        <f>E19/D19-1</f>
        <v>0.1644502843977249</v>
      </c>
      <c r="F20" s="24">
        <f>F19/E19-1</f>
        <v>0.1719990972636578</v>
      </c>
      <c r="G20" s="24">
        <f>G19/F19-1</f>
        <v>0.25278029839407434</v>
      </c>
      <c r="H20" s="24">
        <f>H19/G19-1</f>
        <v>0.17695041732993078</v>
      </c>
      <c r="I20" s="10"/>
      <c r="J20" s="11"/>
      <c r="K20" s="1"/>
      <c r="L20" t="s" s="5">
        <v>38</v>
      </c>
    </row>
    <row r="21">
      <c r="B21" t="s" s="1">
        <v>58</v>
      </c>
      <c r="C21" s="12"/>
      <c r="D21" s="26">
        <f>D7*1000/D9</f>
        <v>252.52727272727273</v>
      </c>
      <c r="E21" s="26">
        <f>E7*1000/E9</f>
        <v>269.55083333333334</v>
      </c>
      <c r="F21" s="26">
        <f>F7*1000/F9</f>
        <v>291.6123076923077</v>
      </c>
      <c r="G21" s="26">
        <f>G7*1000/G9</f>
        <v>339.2314285714286</v>
      </c>
      <c r="H21" s="26">
        <f>H7*1000/H9</f>
        <v>336.3848</v>
      </c>
      <c r="I21" s="10"/>
      <c r="J21" s="24">
        <f>(H21/D21)^(1/(YEAR($H$5)-YEAR($D$5)))-1</f>
        <v>0.074315937984065</v>
      </c>
      <c r="K21" s="1"/>
      <c r="L21" t="s" s="5">
        <v>68</v>
      </c>
    </row>
    <row r="22">
      <c r="B22" t="s" s="1">
        <v>59</v>
      </c>
      <c r="C22" s="12"/>
      <c r="D22" s="26">
        <f>D19*1000/(D9-N(D12))</f>
        <v>252.52727272727273</v>
      </c>
      <c r="E22" s="26">
        <f>E19*1000/(E9-N(E12))</f>
        <v>269.55083333333334</v>
      </c>
      <c r="F22" s="26">
        <f>F19*1000/(F9-N(F12))</f>
        <v>291.6123076923077</v>
      </c>
      <c r="G22" s="26">
        <f>G19*1000/(G9-N(G12))</f>
        <v>339.2314285714286</v>
      </c>
      <c r="H22" s="26">
        <f>H19*1000/(H9-N(H12))</f>
        <v>349.35125</v>
      </c>
      <c r="I22" s="10"/>
      <c r="J22" s="24">
        <f>(H22/D22)^(1/(YEAR($H$5)-YEAR($D$5)))-1</f>
        <v>0.08452234208043863</v>
      </c>
      <c r="K22" s="1"/>
      <c r="L22" t="s" s="5">
        <v>69</v>
      </c>
    </row>
    <row r="23">
      <c r="B23" t="s" s="4">
        <v>60</v>
      </c>
      <c r="C23" s="11"/>
      <c r="D23" s="24">
        <f>D10/D9</f>
        <v>0.053636363636363635</v>
      </c>
      <c r="E23" s="24">
        <f>E10/E9</f>
        <v>0.05583333333333333</v>
      </c>
      <c r="F23" s="24">
        <f>F10/F9</f>
        <v>0.06615384615384616</v>
      </c>
      <c r="G23" s="24">
        <f>G10/G9</f>
        <v>0.07142857142857142</v>
      </c>
      <c r="H23" s="24">
        <f>H10/H9</f>
        <v>0.0608</v>
      </c>
      <c r="I23" s="10"/>
      <c r="J23" s="11"/>
      <c r="K23" s="1"/>
      <c r="L23" t="s" s="5">
        <v>38</v>
      </c>
    </row>
    <row r="24">
      <c r="B24" t="s" s="4">
        <v>61</v>
      </c>
      <c r="C24" s="27">
        <f>C14-C13</f>
        <v>0.1100000000000001</v>
      </c>
      <c r="D24" s="27">
        <f>D14-D13</f>
        <v>0.13000000000000012</v>
      </c>
      <c r="E24" s="27">
        <f>E14-E13</f>
        <v>0.08000000000000007</v>
      </c>
      <c r="F24" s="27">
        <f>F14-F13</f>
        <v>0.09000000000000008</v>
      </c>
      <c r="G24" s="27">
        <f>G14-G13</f>
        <v>0.17999999999999994</v>
      </c>
      <c r="H24" s="27">
        <f>H14-H13</f>
        <v>0.1100000000000001</v>
      </c>
      <c r="I24" s="10"/>
      <c r="J24" s="11"/>
      <c r="K24" s="1"/>
      <c r="L24" t="s" s="5">
        <v>38</v>
      </c>
    </row>
  </sheetData>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48"/>
  <sheetViews>
    <sheetView showGridLines="0" workbookViewId="0">
      <pane ySplit="5" topLeftCell="A6" activePane="bottomLeft" state="frozen"/>
      <selection pane="bottomLeft" activeCell="A1" sqref="A1"/>
    </sheetView>
  </sheetViews>
  <cols>
    <col min="1" max="1" width="2.21875" customWidth="1"/>
    <col min="2" max="2" width="57.07421875" customWidth="1"/>
    <col min="3" max="6" width="12.50390625" customWidth="1"/>
    <col min="7" max="7" width="2.21875" customWidth="1"/>
    <col min="9" max="9" width="2.21875" customWidth="1"/>
    <col min="10" max="10" width="9.50390625" customWidth="1"/>
    <col min="11" max="14" width="14.7890625" customWidth="1"/>
  </cols>
  <sheetData>
    <row r="2">
      <c r="B2" t="s" s="3">
        <v>0</v>
      </c>
      <c r="C2" s="1"/>
      <c r="D2" s="1"/>
      <c r="E2" s="1"/>
      <c r="F2" s="1"/>
      <c r="G2" s="1"/>
      <c r="H2" s="1"/>
    </row>
    <row r="3">
      <c r="B3" t="s" s="5">
        <v>1</v>
      </c>
      <c r="C3" s="1"/>
      <c r="D3" s="1"/>
      <c r="E3" s="1"/>
      <c r="F3" s="1"/>
      <c r="G3" s="1"/>
      <c r="H3" s="1"/>
    </row>
    <row r="4">
      <c r="B4" s="1"/>
      <c r="C4" s="1"/>
      <c r="D4" s="1"/>
      <c r="E4" s="1"/>
      <c r="F4" s="1"/>
      <c r="G4" s="1"/>
      <c r="H4" s="1"/>
      <c r="P4" t="s" s="66">
        <v>322</v>
      </c>
    </row>
    <row r="5">
      <c r="B5" t="s" s="2">
        <v>2</v>
      </c>
      <c r="C5" t="s" s="7">
        <v>23</v>
      </c>
      <c r="D5" t="s" s="7">
        <v>25</v>
      </c>
      <c r="E5" t="s" s="7">
        <v>26</v>
      </c>
      <c r="F5" t="s" s="7">
        <v>27</v>
      </c>
      <c r="G5" s="1"/>
      <c r="H5" t="s" s="2">
        <v>28</v>
      </c>
      <c r="J5" t="s" s="67">
        <v>285</v>
      </c>
      <c r="K5" t="s" s="67">
        <v>306</v>
      </c>
      <c r="L5" t="s" s="67">
        <v>307</v>
      </c>
      <c r="M5" t="s" s="67">
        <v>308</v>
      </c>
      <c r="N5" t="s" s="67">
        <v>338</v>
      </c>
    </row>
    <row r="6">
      <c r="B6" t="s" s="6">
        <v>3</v>
      </c>
      <c r="C6" s="6"/>
      <c r="D6" s="6"/>
      <c r="E6" s="6"/>
      <c r="F6" s="6"/>
      <c r="G6" s="1"/>
      <c r="H6" s="1"/>
      <c r="J6" t="s">
        <v>286</v>
      </c>
      <c r="K6" s="68">
        <f>C24</f>
        <v>1.1</v>
      </c>
      <c r="L6" s="68">
        <f>C16</f>
        <v>0.98</v>
      </c>
      <c r="M6" s="68"/>
      <c r="N6" s="69">
        <f>'Price Read-across'!$C$21</f>
        <v>1.1444835535900837</v>
      </c>
    </row>
    <row r="7">
      <c r="B7" s="30">
        <f>DATE(2020,12,31)</f>
        <v>44196</v>
      </c>
      <c r="C7" s="23">
        <v>186251</v>
      </c>
      <c r="D7" s="23">
        <v>200492</v>
      </c>
      <c r="E7" s="23">
        <v>214877</v>
      </c>
      <c r="F7" s="23">
        <v>219901</v>
      </c>
      <c r="G7" s="1"/>
      <c r="H7" t="s" s="5">
        <v>29</v>
      </c>
      <c r="J7" t="s">
        <v>287</v>
      </c>
      <c r="K7" s="68">
        <f>D24</f>
        <v>1.09</v>
      </c>
      <c r="L7" s="68">
        <f>D16</f>
        <v>0.98</v>
      </c>
      <c r="M7" s="68"/>
      <c r="N7" s="69">
        <f>'Price Read-across'!$C$21</f>
        <v>1.1444835535900837</v>
      </c>
    </row>
    <row r="8">
      <c r="B8" s="30">
        <f>DATE(2021,12,31)</f>
        <v>44561</v>
      </c>
      <c r="C8" s="23">
        <v>232467</v>
      </c>
      <c r="D8" s="23">
        <v>245033</v>
      </c>
      <c r="E8" s="23">
        <v>257022</v>
      </c>
      <c r="F8" s="23">
        <v>277780</v>
      </c>
      <c r="G8" s="1"/>
      <c r="H8" t="s" s="5">
        <v>29</v>
      </c>
      <c r="J8" t="s">
        <v>288</v>
      </c>
      <c r="K8" s="68">
        <f>E24</f>
        <v>1.11</v>
      </c>
      <c r="L8" s="68">
        <f>E16</f>
        <v>0.98</v>
      </c>
      <c r="M8" s="68"/>
      <c r="N8" s="69">
        <f>'Price Read-across'!$C$21</f>
        <v>1.1444835535900837</v>
      </c>
    </row>
    <row r="9">
      <c r="B9" s="30">
        <f>DATE(2022,12,31)</f>
        <v>44926</v>
      </c>
      <c r="C9" s="23">
        <v>287137</v>
      </c>
      <c r="D9" s="23">
        <v>290354</v>
      </c>
      <c r="E9" s="23">
        <v>303560</v>
      </c>
      <c r="F9" s="23">
        <v>323461</v>
      </c>
      <c r="G9" s="1"/>
      <c r="H9" t="s" s="5">
        <v>30</v>
      </c>
      <c r="J9" t="s">
        <v>289</v>
      </c>
      <c r="K9" s="68">
        <f>F24</f>
        <v>1.11</v>
      </c>
      <c r="L9" s="68">
        <f>F16</f>
        <v>0.98</v>
      </c>
      <c r="M9" s="68"/>
      <c r="N9" s="69">
        <f>'Price Read-across'!$C$21</f>
        <v>1.1444835535900837</v>
      </c>
    </row>
    <row r="10">
      <c r="B10" s="30">
        <f>DATE(2023,12,31)</f>
        <v>45291</v>
      </c>
      <c r="C10" s="23">
        <v>337366</v>
      </c>
      <c r="D10" s="23">
        <v>349536</v>
      </c>
      <c r="E10" s="23">
        <v>362442</v>
      </c>
      <c r="F10" s="23">
        <v>379096</v>
      </c>
      <c r="G10" s="1"/>
      <c r="H10" t="s" s="5">
        <v>31</v>
      </c>
      <c r="J10" t="s">
        <v>290</v>
      </c>
      <c r="K10" s="68">
        <f>C25</f>
        <v>1.07</v>
      </c>
      <c r="L10" s="68">
        <f>C17</f>
        <v>0.98</v>
      </c>
      <c r="M10" s="68"/>
      <c r="N10" s="69">
        <f>'Price Read-across'!$C$21</f>
        <v>1.1444835535900837</v>
      </c>
    </row>
    <row r="11">
      <c r="B11" s="30">
        <f>DATE(2024,12,31)</f>
        <v>45657</v>
      </c>
      <c r="C11" s="23">
        <v>402326</v>
      </c>
      <c r="D11" s="23">
        <v>427189</v>
      </c>
      <c r="E11" s="23">
        <v>456941</v>
      </c>
      <c r="F11" s="23">
        <v>474924</v>
      </c>
      <c r="G11" s="1"/>
      <c r="H11" t="s" s="5">
        <v>32</v>
      </c>
      <c r="J11" t="s">
        <v>291</v>
      </c>
      <c r="K11" s="68">
        <f>D25</f>
        <v>1.04</v>
      </c>
      <c r="L11" s="68">
        <f>D17</f>
        <v>0.98</v>
      </c>
      <c r="M11" s="68"/>
      <c r="N11" s="69">
        <f>'Price Read-across'!$C$21</f>
        <v>1.1444835535900837</v>
      </c>
    </row>
    <row r="12">
      <c r="B12" s="30">
        <f>DATE(2025,12,31)</f>
        <v>46022</v>
      </c>
      <c r="C12" s="23">
        <v>493852</v>
      </c>
      <c r="D12" s="23">
        <v>783450</v>
      </c>
      <c r="E12" s="23">
        <v>807479</v>
      </c>
      <c r="F12" s="23">
        <v>840962</v>
      </c>
      <c r="G12" s="1"/>
      <c r="H12" t="s" s="5">
        <v>33</v>
      </c>
      <c r="J12" t="s">
        <v>292</v>
      </c>
      <c r="K12" s="68">
        <f>E25</f>
        <v>1.03</v>
      </c>
      <c r="L12" s="68">
        <f>E17</f>
        <v>0.98</v>
      </c>
      <c r="M12" s="68"/>
      <c r="N12" s="69">
        <f>'Price Read-across'!$C$21</f>
        <v>1.1444835535900837</v>
      </c>
    </row>
    <row r="13">
      <c r="B13" s="28"/>
      <c r="C13" s="10"/>
      <c r="D13" s="10"/>
      <c r="E13" s="10"/>
      <c r="F13" s="10"/>
      <c r="G13" s="1"/>
      <c r="H13" s="5"/>
      <c r="J13" t="s">
        <v>293</v>
      </c>
      <c r="K13" s="68">
        <f>F25</f>
        <v>1.06</v>
      </c>
      <c r="L13" s="68">
        <f>F17</f>
        <v>0.98</v>
      </c>
      <c r="M13" s="68"/>
      <c r="N13" s="69">
        <f>'Price Read-across'!$C$21</f>
        <v>1.1444835535900837</v>
      </c>
    </row>
    <row r="14">
      <c r="B14" t="s" s="29">
        <v>4</v>
      </c>
      <c r="C14" s="14"/>
      <c r="D14" s="14"/>
      <c r="E14" s="14"/>
      <c r="F14" s="14"/>
      <c r="G14" s="1"/>
      <c r="H14" s="5"/>
      <c r="J14" t="s">
        <v>294</v>
      </c>
      <c r="K14" s="68">
        <f>C26</f>
        <v>1.06</v>
      </c>
      <c r="L14" s="68">
        <f>C18</f>
        <v>0.97</v>
      </c>
      <c r="M14" s="68"/>
      <c r="N14" s="69">
        <f>'Price Read-across'!$C$21</f>
        <v>1.1444835535900837</v>
      </c>
    </row>
    <row r="15">
      <c r="B15" s="30">
        <f>DATE(2020,12,31)</f>
        <v>44196</v>
      </c>
      <c r="C15" s="31">
        <v>0.98</v>
      </c>
      <c r="D15" s="31">
        <v>0.98</v>
      </c>
      <c r="E15" s="31">
        <v>0.98</v>
      </c>
      <c r="F15" s="31">
        <v>0.98</v>
      </c>
      <c r="G15" s="1"/>
      <c r="H15" t="s" s="5">
        <v>34</v>
      </c>
      <c r="J15" t="s">
        <v>295</v>
      </c>
      <c r="K15" s="68">
        <f>D26</f>
        <v>1.09</v>
      </c>
      <c r="L15" s="68">
        <f>D18</f>
        <v>0.98</v>
      </c>
      <c r="M15" s="68"/>
      <c r="N15" s="69">
        <f>'Price Read-across'!$C$21</f>
        <v>1.1444835535900837</v>
      </c>
    </row>
    <row r="16">
      <c r="B16" s="30">
        <f>DATE(2021,12,31)</f>
        <v>44561</v>
      </c>
      <c r="C16" s="31">
        <v>0.98</v>
      </c>
      <c r="D16" s="31">
        <v>0.98</v>
      </c>
      <c r="E16" s="31">
        <v>0.98</v>
      </c>
      <c r="F16" s="31">
        <v>0.98</v>
      </c>
      <c r="G16" s="1"/>
      <c r="H16" t="s" s="5">
        <v>34</v>
      </c>
      <c r="J16" t="s">
        <v>296</v>
      </c>
      <c r="K16" s="68">
        <f>E26</f>
        <v>1.08</v>
      </c>
      <c r="L16" s="68">
        <f>E18</f>
        <v>0.98</v>
      </c>
      <c r="M16" s="68"/>
      <c r="N16" s="69">
        <f>'Price Read-across'!$C$21</f>
        <v>1.1444835535900837</v>
      </c>
    </row>
    <row r="17">
      <c r="B17" s="30">
        <f>DATE(2022,12,31)</f>
        <v>44926</v>
      </c>
      <c r="C17" s="31">
        <v>0.98</v>
      </c>
      <c r="D17" s="31">
        <v>0.98</v>
      </c>
      <c r="E17" s="31">
        <v>0.98</v>
      </c>
      <c r="F17" s="31">
        <v>0.98</v>
      </c>
      <c r="G17" s="1"/>
      <c r="H17" t="s" s="5">
        <v>30</v>
      </c>
      <c r="J17" t="s">
        <v>297</v>
      </c>
      <c r="K17" s="68">
        <f>F26</f>
        <v>1.07</v>
      </c>
      <c r="L17" s="68">
        <f>F18</f>
        <v>0.98</v>
      </c>
      <c r="M17" s="68"/>
      <c r="N17" s="69">
        <f>'Price Read-across'!$C$21</f>
        <v>1.1444835535900837</v>
      </c>
    </row>
    <row r="18">
      <c r="B18" s="30">
        <f>DATE(2023,12,31)</f>
        <v>45291</v>
      </c>
      <c r="C18" s="31">
        <v>0.97</v>
      </c>
      <c r="D18" s="31">
        <v>0.98</v>
      </c>
      <c r="E18" s="31">
        <v>0.98</v>
      </c>
      <c r="F18" s="31">
        <v>0.98</v>
      </c>
      <c r="G18" s="1"/>
      <c r="H18" t="s" s="5">
        <v>31</v>
      </c>
      <c r="J18" t="s">
        <v>298</v>
      </c>
      <c r="K18" s="68">
        <f>C27</f>
        <v>1.1</v>
      </c>
      <c r="L18" s="68">
        <f>C19</f>
        <v>0.99</v>
      </c>
      <c r="M18" s="68"/>
      <c r="N18" s="69">
        <f>'Price Read-across'!$C$21</f>
        <v>1.1444835535900837</v>
      </c>
    </row>
    <row r="19">
      <c r="B19" s="30">
        <f>DATE(2024,12,31)</f>
        <v>45657</v>
      </c>
      <c r="C19" s="31">
        <v>0.99</v>
      </c>
      <c r="D19" s="31">
        <v>0.99</v>
      </c>
      <c r="E19" s="31">
        <v>0.99</v>
      </c>
      <c r="F19" s="31">
        <v>0.98</v>
      </c>
      <c r="G19" s="1"/>
      <c r="H19" t="s" s="5">
        <v>35</v>
      </c>
      <c r="J19" t="s">
        <v>299</v>
      </c>
      <c r="K19" s="68">
        <f>D27</f>
        <v>1.1</v>
      </c>
      <c r="L19" s="68">
        <f>D19</f>
        <v>0.99</v>
      </c>
      <c r="M19" s="68"/>
      <c r="N19" s="69">
        <f>'Price Read-across'!$C$21</f>
        <v>1.1444835535900837</v>
      </c>
    </row>
    <row r="20">
      <c r="B20" s="30">
        <f>DATE(2025,12,31)</f>
        <v>46022</v>
      </c>
      <c r="C20" s="31">
        <v>0.98</v>
      </c>
      <c r="D20" s="31">
        <v>0.98</v>
      </c>
      <c r="E20" s="31">
        <v>0.98</v>
      </c>
      <c r="F20" s="31">
        <v>0.98</v>
      </c>
      <c r="G20" s="1"/>
      <c r="H20" t="s" s="5">
        <v>36</v>
      </c>
      <c r="J20" t="s">
        <v>300</v>
      </c>
      <c r="K20" s="68">
        <f>E27</f>
        <v>1.14</v>
      </c>
      <c r="L20" s="68">
        <f>E19</f>
        <v>0.99</v>
      </c>
      <c r="M20" s="68"/>
      <c r="N20" s="69">
        <f>'Price Read-across'!$C$21</f>
        <v>1.1444835535900837</v>
      </c>
    </row>
    <row r="21">
      <c r="B21" s="28"/>
      <c r="C21" s="10"/>
      <c r="D21" s="10"/>
      <c r="E21" s="10"/>
      <c r="F21" s="10"/>
      <c r="G21" s="1"/>
      <c r="H21" s="5"/>
      <c r="J21" t="s">
        <v>301</v>
      </c>
      <c r="K21" s="68">
        <f>F27</f>
        <v>1.16</v>
      </c>
      <c r="L21" s="68">
        <f>F19</f>
        <v>0.98</v>
      </c>
      <c r="M21" s="68"/>
      <c r="N21" s="69">
        <f>'Price Read-across'!$C$21</f>
        <v>1.1444835535900837</v>
      </c>
    </row>
    <row r="22">
      <c r="B22" t="s" s="29">
        <v>5</v>
      </c>
      <c r="C22" s="14"/>
      <c r="D22" s="14"/>
      <c r="E22" s="14"/>
      <c r="F22" s="14"/>
      <c r="G22" s="1"/>
      <c r="H22" s="5"/>
      <c r="J22" t="s">
        <v>302</v>
      </c>
      <c r="K22" s="68">
        <f>C28</f>
        <v>1.14</v>
      </c>
      <c r="L22" s="68">
        <f>C20</f>
        <v>0.98</v>
      </c>
      <c r="M22" s="68"/>
      <c r="N22" s="69">
        <f>'Price Read-across'!$C$21</f>
        <v>1.1444835535900837</v>
      </c>
    </row>
    <row r="23">
      <c r="B23" s="30">
        <f>DATE(2020,12,31)</f>
        <v>44196</v>
      </c>
      <c r="C23" s="31">
        <v>1.07</v>
      </c>
      <c r="D23" s="31">
        <v>1.08</v>
      </c>
      <c r="E23" s="31">
        <v>1.09</v>
      </c>
      <c r="F23" s="31">
        <v>1.09</v>
      </c>
      <c r="G23" s="1"/>
      <c r="H23" t="s" s="5">
        <v>34</v>
      </c>
      <c r="J23" t="s">
        <v>303</v>
      </c>
      <c r="K23" s="68">
        <f>D28</f>
        <v>1.1</v>
      </c>
      <c r="L23" s="68">
        <f>D20</f>
        <v>0.98</v>
      </c>
      <c r="M23" s="68">
        <f>D31</f>
        <v>1.14</v>
      </c>
      <c r="N23" s="69">
        <f>'Price Read-across'!$C$21</f>
        <v>1.1444835535900837</v>
      </c>
    </row>
    <row r="24">
      <c r="B24" s="30">
        <f>DATE(2021,12,31)</f>
        <v>44561</v>
      </c>
      <c r="C24" s="31">
        <v>1.1</v>
      </c>
      <c r="D24" s="31">
        <v>1.09</v>
      </c>
      <c r="E24" s="31">
        <v>1.11</v>
      </c>
      <c r="F24" s="31">
        <v>1.11</v>
      </c>
      <c r="G24" s="1"/>
      <c r="H24" t="s" s="5">
        <v>34</v>
      </c>
      <c r="J24" t="s">
        <v>304</v>
      </c>
      <c r="K24" s="68">
        <f>E28</f>
        <v>1.08</v>
      </c>
      <c r="L24" s="68">
        <f>E20</f>
        <v>0.98</v>
      </c>
      <c r="M24" s="68">
        <f>E31</f>
        <v>1.12</v>
      </c>
      <c r="N24" s="69">
        <f>'Price Read-across'!$C$21</f>
        <v>1.1444835535900837</v>
      </c>
    </row>
    <row r="25">
      <c r="B25" s="30">
        <f>DATE(2022,12,31)</f>
        <v>44926</v>
      </c>
      <c r="C25" s="31">
        <v>1.07</v>
      </c>
      <c r="D25" s="31">
        <v>1.04</v>
      </c>
      <c r="E25" s="31">
        <v>1.03</v>
      </c>
      <c r="F25" s="31">
        <v>1.06</v>
      </c>
      <c r="G25" s="1"/>
      <c r="H25" t="s" s="5">
        <v>30</v>
      </c>
      <c r="J25" t="s">
        <v>305</v>
      </c>
      <c r="K25" s="68">
        <f>F28</f>
        <v>1.09</v>
      </c>
      <c r="L25" s="68">
        <f>F20</f>
        <v>0.98</v>
      </c>
      <c r="M25" s="68">
        <f>F31</f>
        <v>1.13</v>
      </c>
      <c r="N25" s="69">
        <f>'Price Read-across'!$C$21</f>
        <v>1.1444835535900837</v>
      </c>
    </row>
    <row r="26">
      <c r="B26" s="30">
        <f>DATE(2023,12,31)</f>
        <v>45291</v>
      </c>
      <c r="C26" s="31">
        <v>1.06</v>
      </c>
      <c r="D26" s="31">
        <v>1.09</v>
      </c>
      <c r="E26" s="31">
        <v>1.08</v>
      </c>
      <c r="F26" s="31">
        <v>1.07</v>
      </c>
      <c r="G26" s="1"/>
      <c r="H26" t="s" s="5">
        <v>31</v>
      </c>
    </row>
    <row r="27">
      <c r="B27" s="30">
        <f>DATE(2024,12,31)</f>
        <v>45657</v>
      </c>
      <c r="C27" s="31">
        <v>1.1</v>
      </c>
      <c r="D27" s="31">
        <v>1.1</v>
      </c>
      <c r="E27" s="31">
        <v>1.14</v>
      </c>
      <c r="F27" s="31">
        <v>1.16</v>
      </c>
      <c r="G27" s="1"/>
      <c r="H27" t="s" s="5">
        <v>35</v>
      </c>
    </row>
    <row r="28">
      <c r="B28" s="30">
        <f>DATE(2025,12,31)</f>
        <v>46022</v>
      </c>
      <c r="C28" s="31">
        <v>1.14</v>
      </c>
      <c r="D28" s="31">
        <v>1.1</v>
      </c>
      <c r="E28" s="31">
        <v>1.08</v>
      </c>
      <c r="F28" s="31">
        <v>1.09</v>
      </c>
      <c r="G28" s="1"/>
      <c r="H28" t="s" s="5">
        <v>36</v>
      </c>
    </row>
    <row r="29">
      <c r="B29" s="1"/>
      <c r="C29" s="10"/>
      <c r="D29" s="10"/>
      <c r="E29" s="10"/>
      <c r="F29" s="10"/>
      <c r="G29" s="1"/>
      <c r="H29" s="5"/>
    </row>
    <row r="30">
      <c r="B30" t="s" s="6">
        <v>6</v>
      </c>
      <c r="C30" s="14"/>
      <c r="D30" s="14"/>
      <c r="E30" s="14"/>
      <c r="F30" s="14"/>
      <c r="G30" s="1"/>
      <c r="H30" s="5"/>
    </row>
    <row r="31">
      <c r="B31" t="s" s="1">
        <v>7</v>
      </c>
      <c r="C31" t="s" s="13">
        <v>24</v>
      </c>
      <c r="D31" s="31">
        <v>1.14</v>
      </c>
      <c r="E31" s="31">
        <v>1.12</v>
      </c>
      <c r="F31" s="31">
        <v>1.13</v>
      </c>
      <c r="G31" s="1"/>
      <c r="H31" t="s" s="5">
        <v>36</v>
      </c>
    </row>
    <row r="32">
      <c r="B32" t="s" s="1">
        <v>8</v>
      </c>
      <c r="C32" s="13"/>
      <c r="D32" s="31">
        <v>1.14</v>
      </c>
      <c r="E32" s="13"/>
      <c r="F32" s="13"/>
      <c r="G32" s="1"/>
      <c r="H32" t="s" s="5">
        <v>37</v>
      </c>
    </row>
    <row r="33">
      <c r="B33" t="s" s="1">
        <v>9</v>
      </c>
      <c r="C33" t="s" s="9">
        <v>24</v>
      </c>
      <c r="D33" s="32">
        <v>270.7</v>
      </c>
      <c r="E33" s="32">
        <v>273.1</v>
      </c>
      <c r="F33" s="32">
        <v>282</v>
      </c>
      <c r="G33" s="1"/>
      <c r="H33" t="s" s="5">
        <v>33</v>
      </c>
    </row>
    <row r="34">
      <c r="B34" t="s" s="1">
        <v>10</v>
      </c>
      <c r="C34" s="33">
        <f>C12/1000-N(C33)</f>
        <v>493.852</v>
      </c>
      <c r="D34" s="33">
        <f>D12/1000-D33</f>
        <v>512.75</v>
      </c>
      <c r="E34" s="33">
        <f>E12/1000-E33</f>
        <v>534.379</v>
      </c>
      <c r="F34" s="33">
        <f>F12/1000-F33</f>
        <v>558.962</v>
      </c>
      <c r="G34" s="1"/>
      <c r="H34" t="s" s="5">
        <v>38</v>
      </c>
    </row>
    <row r="35">
      <c r="B35" t="s" s="1">
        <v>11</v>
      </c>
      <c r="C35" s="9"/>
      <c r="D35" s="32">
        <v>513</v>
      </c>
      <c r="E35" s="32">
        <v>534.4</v>
      </c>
      <c r="F35" s="9"/>
      <c r="G35" s="1"/>
      <c r="H35" t="s" s="5">
        <v>39</v>
      </c>
    </row>
    <row r="36">
      <c r="B36" t="s" s="4">
        <v>12</v>
      </c>
      <c r="C36" s="9"/>
      <c r="D36" s="34">
        <f>D34-D35</f>
        <v>-0.25</v>
      </c>
      <c r="E36" s="34">
        <f>E34-E35</f>
        <v>-0.020999999999958163</v>
      </c>
      <c r="F36" s="9"/>
      <c r="G36" s="1"/>
      <c r="H36" s="5"/>
    </row>
    <row r="37">
      <c r="B37" s="1"/>
      <c r="C37" s="10"/>
      <c r="D37" s="10"/>
      <c r="E37" s="10"/>
      <c r="F37" s="10"/>
      <c r="G37" s="1"/>
      <c r="H37" s="5"/>
    </row>
    <row r="38">
      <c r="B38" t="s" s="6">
        <v>13</v>
      </c>
      <c r="C38" s="14"/>
      <c r="D38" s="14"/>
      <c r="E38" s="14"/>
      <c r="F38" s="14"/>
      <c r="G38" s="1"/>
      <c r="H38" s="5"/>
    </row>
    <row r="39">
      <c r="B39" t="s" s="1">
        <v>14</v>
      </c>
      <c r="C39" s="23">
        <v>493852</v>
      </c>
      <c r="D39" s="23">
        <v>783450</v>
      </c>
      <c r="E39" s="23">
        <v>807479</v>
      </c>
      <c r="F39" s="12"/>
      <c r="G39" s="1"/>
      <c r="H39" t="s" s="5">
        <v>40</v>
      </c>
    </row>
    <row r="40">
      <c r="B40" t="s" s="1">
        <v>15</v>
      </c>
      <c r="C40" s="31">
        <v>0.98</v>
      </c>
      <c r="D40" s="31">
        <v>0.98</v>
      </c>
      <c r="E40" s="31">
        <v>0.98</v>
      </c>
      <c r="F40" s="13"/>
      <c r="G40" s="1"/>
      <c r="H40" t="s" s="5">
        <v>40</v>
      </c>
    </row>
    <row r="41">
      <c r="B41" t="s" s="1">
        <v>16</v>
      </c>
      <c r="C41" s="31">
        <v>1.14</v>
      </c>
      <c r="D41" s="31">
        <v>1.1</v>
      </c>
      <c r="E41" s="31">
        <v>1.08</v>
      </c>
      <c r="F41" s="13"/>
      <c r="G41" s="1"/>
      <c r="H41" t="s" s="5">
        <v>40</v>
      </c>
    </row>
    <row r="42">
      <c r="B42" t="s" s="4">
        <v>17</v>
      </c>
      <c r="C42" s="26">
        <f>C39-C12</f>
        <v>0</v>
      </c>
      <c r="D42" s="26">
        <f>D39-D12</f>
        <v>0</v>
      </c>
      <c r="E42" s="26">
        <f>E39-E12</f>
        <v>0</v>
      </c>
      <c r="F42" s="12"/>
      <c r="G42" s="1"/>
      <c r="H42" s="5"/>
    </row>
    <row r="43">
      <c r="B43" t="s" s="4">
        <v>18</v>
      </c>
      <c r="C43" s="27">
        <f>C40-C20</f>
        <v>0</v>
      </c>
      <c r="D43" s="27">
        <f>D40-D20</f>
        <v>0</v>
      </c>
      <c r="E43" s="27">
        <f>E40-E20</f>
        <v>0</v>
      </c>
      <c r="F43" s="13"/>
      <c r="G43" s="1"/>
      <c r="H43" s="5"/>
    </row>
    <row r="44">
      <c r="B44" t="s" s="4">
        <v>19</v>
      </c>
      <c r="C44" s="27">
        <f>C41-C28</f>
        <v>0</v>
      </c>
      <c r="D44" s="27">
        <f>D41-D28</f>
        <v>0</v>
      </c>
      <c r="E44" s="27">
        <f>E41-E28</f>
        <v>0</v>
      </c>
      <c r="F44" s="13"/>
      <c r="G44" s="1"/>
      <c r="H44" s="5"/>
    </row>
    <row r="45">
      <c r="B45" s="1"/>
      <c r="C45" s="10"/>
      <c r="D45" s="10"/>
      <c r="E45" s="10"/>
      <c r="F45" s="10"/>
      <c r="G45" s="1"/>
      <c r="H45" s="5"/>
    </row>
    <row r="46">
      <c r="B46" t="s" s="6">
        <v>20</v>
      </c>
      <c r="C46" s="14"/>
      <c r="D46" s="14"/>
      <c r="E46" s="14"/>
      <c r="F46" s="14"/>
      <c r="G46" s="1"/>
      <c r="H46" s="5"/>
    </row>
    <row r="47">
      <c r="B47" t="s" s="1">
        <v>21</v>
      </c>
      <c r="C47" s="31">
        <v>0.97</v>
      </c>
      <c r="D47" s="13"/>
      <c r="E47" s="13"/>
      <c r="F47" s="13"/>
      <c r="G47" s="1"/>
      <c r="H47" t="s" s="5">
        <v>41</v>
      </c>
    </row>
    <row r="48">
      <c r="B48" t="s" s="1">
        <v>22</v>
      </c>
      <c r="C48" s="31">
        <v>1.08</v>
      </c>
      <c r="D48" s="13"/>
      <c r="E48" s="13"/>
      <c r="F48" s="13"/>
      <c r="G48" s="1"/>
      <c r="H48" t="s" s="5">
        <v>41</v>
      </c>
    </row>
  </sheetData>
  <pageMargins left="0.7" right="0.7" top="0.75" bottom="0.75" header="0.3" footer="0.3"/>
  <drawing r:id="rId1"/>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1"/>
  <sheetViews>
    <sheetView showGridLines="0" workbookViewId="0">
      <pane ySplit="5" topLeftCell="A6" activePane="bottomLeft" state="frozen"/>
      <selection pane="bottomLeft" activeCell="A1" sqref="A1"/>
    </sheetView>
  </sheetViews>
  <cols>
    <col min="1" max="1" width="2.21875" customWidth="1"/>
    <col min="2" max="2" width="68.50390625" customWidth="1"/>
    <col min="3" max="7" width="11.7890625" customWidth="1"/>
    <col min="8" max="8" width="2.21875" customWidth="1"/>
    <col min="9" max="9" width="12.50390625" customWidth="1"/>
    <col min="10" max="10" width="2.21875" customWidth="1"/>
  </cols>
  <sheetData>
    <row r="2">
      <c r="B2" t="s" s="3">
        <v>70</v>
      </c>
      <c r="C2" s="1"/>
      <c r="D2" s="1"/>
      <c r="E2" s="1"/>
      <c r="F2" s="1"/>
      <c r="G2" s="1"/>
      <c r="H2" s="1"/>
      <c r="I2" s="1"/>
      <c r="J2" s="1"/>
      <c r="K2" s="1"/>
    </row>
    <row r="3">
      <c r="B3" t="s" s="5">
        <v>339</v>
      </c>
      <c r="C3" s="1"/>
      <c r="D3" s="1"/>
      <c r="E3" s="1"/>
      <c r="F3" s="1"/>
      <c r="G3" s="1"/>
      <c r="H3" s="1"/>
      <c r="I3" s="1"/>
      <c r="J3" s="1"/>
      <c r="K3" s="1"/>
    </row>
    <row r="4">
      <c r="B4" s="1"/>
      <c r="C4" s="1"/>
      <c r="D4" s="1"/>
      <c r="E4" s="1"/>
      <c r="F4" s="1"/>
      <c r="G4" s="1"/>
      <c r="H4" s="1"/>
      <c r="I4" s="1"/>
      <c r="J4" s="1"/>
      <c r="K4" s="1"/>
    </row>
    <row r="5">
      <c r="B5" t="s" s="2">
        <v>2</v>
      </c>
      <c r="C5" s="19">
        <f>DATE(2021,12,31)</f>
        <v>44561</v>
      </c>
      <c r="D5" s="19">
        <f>DATE(2022,12,31)</f>
        <v>44926</v>
      </c>
      <c r="E5" s="19">
        <f>DATE(2023,12,31)</f>
        <v>45291</v>
      </c>
      <c r="F5" s="19">
        <f>DATE(2024,12,31)</f>
        <v>45657</v>
      </c>
      <c r="G5" s="19">
        <f>DATE(2025,12,31)</f>
        <v>46022</v>
      </c>
      <c r="H5" s="1"/>
      <c r="I5" t="s" s="7">
        <v>102</v>
      </c>
      <c r="J5" s="1"/>
      <c r="K5" t="s" s="2">
        <v>103</v>
      </c>
    </row>
    <row r="6">
      <c r="B6" t="s" s="6">
        <v>72</v>
      </c>
      <c r="C6" s="6"/>
      <c r="D6" s="6"/>
      <c r="E6" s="6"/>
      <c r="F6" s="6"/>
      <c r="G6" s="6"/>
      <c r="H6" s="6"/>
      <c r="I6" s="6"/>
      <c r="J6" s="1"/>
      <c r="K6" s="1"/>
    </row>
    <row r="7">
      <c r="B7" t="s" s="2">
        <v>73</v>
      </c>
      <c r="C7" s="38">
        <f>'Annual KPIs'!C7</f>
        <v>219.901</v>
      </c>
      <c r="D7" s="38">
        <f>'Annual KPIs'!D7</f>
        <v>277.78</v>
      </c>
      <c r="E7" s="38">
        <f>'Annual KPIs'!E7</f>
        <v>323.461</v>
      </c>
      <c r="F7" s="38">
        <f>'Annual KPIs'!F7</f>
        <v>379.096</v>
      </c>
      <c r="G7" s="38">
        <f>'Annual KPIs'!G7</f>
        <v>474.924</v>
      </c>
      <c r="H7" s="16"/>
      <c r="I7" s="16"/>
      <c r="J7" s="1"/>
      <c r="K7" t="s" s="5">
        <v>104</v>
      </c>
    </row>
    <row r="8">
      <c r="B8" t="s" s="18">
        <v>340</v>
      </c>
      <c r="C8" s="25">
        <f>'Annual KPIs'!D13</f>
        <v>0.98</v>
      </c>
      <c r="D8" s="25">
        <f>'Annual KPIs'!E13</f>
        <v>0.98</v>
      </c>
      <c r="E8" s="25">
        <f>'Annual KPIs'!F13</f>
        <v>0.98</v>
      </c>
      <c r="F8" s="25">
        <f>'Annual KPIs'!G13</f>
        <v>0.98</v>
      </c>
      <c r="G8" s="25">
        <f>'Annual KPIs'!H13</f>
        <v>0.98</v>
      </c>
      <c r="H8" s="13"/>
      <c r="I8" s="13"/>
      <c r="J8" s="1"/>
      <c r="K8" t="s" s="5">
        <v>105</v>
      </c>
    </row>
    <row r="9">
      <c r="B9" t="s" s="18">
        <v>341</v>
      </c>
      <c r="C9" s="25">
        <f>'Annual KPIs'!D14</f>
        <v>1.11</v>
      </c>
      <c r="D9" s="25">
        <f>'Annual KPIs'!E14</f>
        <v>1.06</v>
      </c>
      <c r="E9" s="25">
        <f>'Annual KPIs'!F14</f>
        <v>1.07</v>
      </c>
      <c r="F9" s="25">
        <f>'Annual KPIs'!G14</f>
        <v>1.16</v>
      </c>
      <c r="G9" s="25">
        <f>'Annual KPIs'!H15</f>
        <v>1.13</v>
      </c>
      <c r="H9" s="13"/>
      <c r="I9" s="13"/>
      <c r="J9" s="1"/>
      <c r="K9" t="s" s="5">
        <v>106</v>
      </c>
    </row>
    <row r="10">
      <c r="B10" t="s" s="1">
        <v>342</v>
      </c>
      <c r="C10" s="33">
        <f>-(1-C8)*C7</f>
        <v>-4.398020000000004</v>
      </c>
      <c r="D10" s="33">
        <f>-(1-D8)*D7</f>
        <v>-5.5556000000000045</v>
      </c>
      <c r="E10" s="33">
        <f>-(1-E8)*E7</f>
        <v>-6.469220000000006</v>
      </c>
      <c r="F10" s="33">
        <f>-(1-F8)*F7</f>
        <v>-7.581920000000006</v>
      </c>
      <c r="G10" s="33">
        <f>-(1-G8)*G7</f>
        <v>-9.498480000000008</v>
      </c>
      <c r="H10" s="9"/>
      <c r="I10" s="33">
        <f>SUM(C10:G10)</f>
        <v>-33.503240000000034</v>
      </c>
      <c r="J10" s="1"/>
      <c r="K10" t="s" s="5">
        <v>359</v>
      </c>
    </row>
    <row r="11">
      <c r="B11" t="s" s="1">
        <v>343</v>
      </c>
      <c r="C11" s="33">
        <f>(C9-C8)*C7</f>
        <v>28.587130000000027</v>
      </c>
      <c r="D11" s="33">
        <f>(D9-D8)*D7</f>
        <v>22.222400000000018</v>
      </c>
      <c r="E11" s="33">
        <f>(E9-E8)*E7</f>
        <v>29.11149000000003</v>
      </c>
      <c r="F11" s="33">
        <f>(F9-F8)*F7</f>
        <v>68.23727999999998</v>
      </c>
      <c r="G11" s="33">
        <f>(G9-G8)*G7</f>
        <v>71.23859999999995</v>
      </c>
      <c r="H11" s="9"/>
      <c r="I11" s="33">
        <f>SUM(C11:G11)</f>
        <v>219.39690000000002</v>
      </c>
      <c r="J11" s="1"/>
      <c r="K11" t="s" s="5">
        <v>360</v>
      </c>
    </row>
    <row r="12">
      <c r="B12" t="s" s="35">
        <v>344</v>
      </c>
      <c r="C12" s="39">
        <f>SUM(C7,C10:C11)</f>
        <v>244.09011000000004</v>
      </c>
      <c r="D12" s="39">
        <f>SUM(D7,D10:D11)</f>
        <v>294.44679999999994</v>
      </c>
      <c r="E12" s="39">
        <f>SUM(E7,E10:E11)</f>
        <v>346.10327</v>
      </c>
      <c r="F12" s="39">
        <f>SUM(F7,F10:F11)</f>
        <v>439.75136</v>
      </c>
      <c r="G12" s="39">
        <f>SUM(G7,G10:G11)</f>
        <v>536.6641199999999</v>
      </c>
      <c r="H12" s="36"/>
      <c r="I12" s="36"/>
      <c r="J12" s="1"/>
      <c r="K12" s="5"/>
    </row>
    <row r="13">
      <c r="B13" t="s" s="1">
        <v>345</v>
      </c>
      <c r="C13" s="33">
        <f>C18-C12-C17</f>
        <v>33.689889999999934</v>
      </c>
      <c r="D13" s="33">
        <f>D18-D12-D17</f>
        <v>29.014200000000073</v>
      </c>
      <c r="E13" s="33">
        <f>E18-E12-E17</f>
        <v>32.992729999999995</v>
      </c>
      <c r="F13" s="33">
        <f>F18-F12-F17</f>
        <v>35.17264</v>
      </c>
      <c r="G13" s="33">
        <f>G18-G12-G17</f>
        <v>22.297880000000077</v>
      </c>
      <c r="H13" s="9"/>
      <c r="I13" s="33">
        <f>SUM(C13:G13)</f>
        <v>153.16734000000008</v>
      </c>
      <c r="J13" s="1"/>
      <c r="K13" t="s" s="5">
        <v>109</v>
      </c>
    </row>
    <row r="14">
      <c r="B14" t="s" s="18">
        <v>346</v>
      </c>
      <c r="C14" s="9"/>
      <c r="D14" s="9"/>
      <c r="E14" s="9"/>
      <c r="F14" s="9"/>
      <c r="G14" s="33">
        <f>AVERAGE(G31:G32)</f>
        <v>210.5</v>
      </c>
      <c r="H14" s="9"/>
      <c r="I14" s="33">
        <f>SUM(C14:G14)</f>
        <v>210.5</v>
      </c>
      <c r="J14" s="1"/>
      <c r="K14" t="s" s="5">
        <v>110</v>
      </c>
    </row>
    <row r="15">
      <c r="B15" t="s" s="18">
        <v>347</v>
      </c>
      <c r="C15" s="9"/>
      <c r="D15" s="9"/>
      <c r="E15" s="9"/>
      <c r="F15" s="9"/>
      <c r="G15" s="33">
        <f>G33</f>
        <v>44</v>
      </c>
      <c r="H15" s="9"/>
      <c r="I15" s="33">
        <f>SUM(C15:G15)</f>
        <v>44</v>
      </c>
      <c r="J15" s="1"/>
      <c r="K15" t="s" s="5">
        <v>111</v>
      </c>
    </row>
    <row r="16">
      <c r="B16" t="s" s="18">
        <v>348</v>
      </c>
      <c r="C16" s="9"/>
      <c r="D16" s="9"/>
      <c r="E16" s="9"/>
      <c r="F16" s="9"/>
      <c r="G16" s="33">
        <f>G17-G14-G15</f>
        <v>27.5</v>
      </c>
      <c r="H16" s="9"/>
      <c r="I16" s="33">
        <f>SUM(C16:G16)</f>
        <v>27.5</v>
      </c>
      <c r="J16" s="1"/>
      <c r="K16" t="s" s="5">
        <v>112</v>
      </c>
    </row>
    <row r="17">
      <c r="B17" t="s" s="1">
        <v>349</v>
      </c>
      <c r="C17" s="22">
        <f>N('Annual KPIs'!D8)</f>
        <v>0</v>
      </c>
      <c r="D17" s="22">
        <f>N('Annual KPIs'!E8)</f>
        <v>0</v>
      </c>
      <c r="E17" s="22">
        <f>N('Annual KPIs'!F8)</f>
        <v>0</v>
      </c>
      <c r="F17" s="22">
        <f>N('Annual KPIs'!G8)</f>
        <v>0</v>
      </c>
      <c r="G17" s="22">
        <f>N('Annual KPIs'!H8)</f>
        <v>282</v>
      </c>
      <c r="H17" s="9"/>
      <c r="I17" s="33">
        <f>SUM(C17:G17)</f>
        <v>282</v>
      </c>
      <c r="J17" s="1"/>
      <c r="K17" t="s" s="5">
        <v>113</v>
      </c>
    </row>
    <row r="18">
      <c r="B18" t="s" s="35">
        <v>84</v>
      </c>
      <c r="C18" s="40">
        <f>'Annual KPIs'!D7</f>
        <v>277.78</v>
      </c>
      <c r="D18" s="40">
        <f>'Annual KPIs'!E7</f>
        <v>323.461</v>
      </c>
      <c r="E18" s="40">
        <f>'Annual KPIs'!F7</f>
        <v>379.096</v>
      </c>
      <c r="F18" s="40">
        <f>'Annual KPIs'!G7</f>
        <v>474.924</v>
      </c>
      <c r="G18" s="40">
        <f>'Annual KPIs'!H7</f>
        <v>840.962</v>
      </c>
      <c r="H18" s="36"/>
      <c r="I18" s="36"/>
      <c r="J18" s="1"/>
      <c r="K18" t="s" s="5">
        <v>104</v>
      </c>
    </row>
    <row r="19">
      <c r="B19" t="s" s="4">
        <v>85</v>
      </c>
      <c r="C19" s="41">
        <f>C12+C13+C17-C18</f>
        <v>0</v>
      </c>
      <c r="D19" s="41">
        <f>D12+D13+D17-D18</f>
        <v>0</v>
      </c>
      <c r="E19" s="41">
        <f>E12+E13+E17-E18</f>
        <v>0</v>
      </c>
      <c r="F19" s="41">
        <f>F12+F13+F17-F18</f>
        <v>0</v>
      </c>
      <c r="G19" s="41">
        <f>G12+G13+G17-G18</f>
        <v>0</v>
      </c>
      <c r="H19" s="37"/>
      <c r="I19" s="37"/>
      <c r="J19" s="1"/>
      <c r="K19" s="5"/>
    </row>
    <row r="20">
      <c r="B20" t="s" s="5">
        <v>350</v>
      </c>
      <c r="C20" s="10"/>
      <c r="D20" s="10"/>
      <c r="E20" s="10"/>
      <c r="F20" s="10"/>
      <c r="G20" s="10"/>
      <c r="H20" s="10"/>
      <c r="I20" s="10"/>
      <c r="J20" s="1"/>
      <c r="K20" s="5"/>
    </row>
    <row r="21">
      <c r="B21" t="s" s="6">
        <v>86</v>
      </c>
      <c r="C21" s="14"/>
      <c r="D21" s="14"/>
      <c r="E21" s="14"/>
      <c r="F21" s="14"/>
      <c r="G21" s="14"/>
      <c r="H21" s="14"/>
      <c r="I21" s="14"/>
      <c r="J21" s="1"/>
      <c r="K21" s="5"/>
    </row>
    <row r="22">
      <c r="B22" t="s" s="1">
        <v>351</v>
      </c>
      <c r="C22" s="24">
        <f>-C10/C7</f>
        <v>0.020000000000000018</v>
      </c>
      <c r="D22" s="24">
        <f>-D10/D7</f>
        <v>0.020000000000000018</v>
      </c>
      <c r="E22" s="24">
        <f>-E10/E7</f>
        <v>0.020000000000000018</v>
      </c>
      <c r="F22" s="24">
        <f>-F10/F7</f>
        <v>0.020000000000000018</v>
      </c>
      <c r="G22" s="24">
        <f>-G10/G7</f>
        <v>0.020000000000000018</v>
      </c>
      <c r="H22" s="11"/>
      <c r="I22" s="11"/>
      <c r="J22" s="1"/>
      <c r="K22" s="5"/>
    </row>
    <row r="23">
      <c r="B23" t="s" s="1">
        <v>352</v>
      </c>
      <c r="C23" s="24">
        <f>C11/C7</f>
        <v>0.13000000000000012</v>
      </c>
      <c r="D23" s="24">
        <f>D11/D7</f>
        <v>0.08000000000000007</v>
      </c>
      <c r="E23" s="24">
        <f>E11/E7</f>
        <v>0.09000000000000008</v>
      </c>
      <c r="F23" s="24">
        <f>F11/F7</f>
        <v>0.17999999999999997</v>
      </c>
      <c r="G23" s="24">
        <f>G11/G7</f>
        <v>0.1499999999999999</v>
      </c>
      <c r="H23" s="11"/>
      <c r="I23" s="11"/>
      <c r="J23" s="1"/>
      <c r="K23" s="5"/>
    </row>
    <row r="24">
      <c r="B24" t="s" s="1">
        <v>353</v>
      </c>
      <c r="C24" s="24">
        <f>C13/C7</f>
        <v>0.15320480579897286</v>
      </c>
      <c r="D24" s="24">
        <f>D13/D7</f>
        <v>0.1044502843977251</v>
      </c>
      <c r="E24" s="24">
        <f>E13/E7</f>
        <v>0.10199909726365773</v>
      </c>
      <c r="F24" s="24">
        <f>F13/F7</f>
        <v>0.09278029839407433</v>
      </c>
      <c r="G24" s="24">
        <f>G13/G7</f>
        <v>0.04695041732993085</v>
      </c>
      <c r="H24" s="11"/>
      <c r="I24" s="11"/>
      <c r="J24" s="1"/>
      <c r="K24" s="5"/>
    </row>
    <row r="25">
      <c r="B25" t="s" s="1">
        <v>57</v>
      </c>
      <c r="C25" s="24">
        <f>(C18-C17)/C7-1</f>
        <v>0.2632048057989731</v>
      </c>
      <c r="D25" s="24">
        <f>(D18-D17)/D7-1</f>
        <v>0.1644502843977249</v>
      </c>
      <c r="E25" s="24">
        <f>(E18-E17)/E7-1</f>
        <v>0.1719990972636578</v>
      </c>
      <c r="F25" s="24">
        <f>(F18-F17)/F7-1</f>
        <v>0.25278029839407434</v>
      </c>
      <c r="G25" s="24">
        <f>(G18-G17)/G7-1</f>
        <v>0.17695041732993078</v>
      </c>
      <c r="H25" s="11"/>
      <c r="I25" s="11"/>
      <c r="J25" s="1"/>
      <c r="K25" s="5"/>
    </row>
    <row r="26">
      <c r="B26" t="s" s="1">
        <v>354</v>
      </c>
      <c r="C26" s="24">
        <f>(C12-C7)/(C18-C17-C7)</f>
        <v>0.4179254997494781</v>
      </c>
      <c r="D26" s="24">
        <f>(D12-D7)/(D18-D17-D7)</f>
        <v>0.3648519077953625</v>
      </c>
      <c r="E26" s="24">
        <f>(E12-E7)/(E18-E17-E7)</f>
        <v>0.4069788802013121</v>
      </c>
      <c r="F26" s="24">
        <f>(F12-F7)/(F18-F17-F7)</f>
        <v>0.6329607212923153</v>
      </c>
      <c r="G26" s="24">
        <f>(G12-G7)/(G18-G17-G7)</f>
        <v>0.7346690782741132</v>
      </c>
      <c r="H26" s="11"/>
      <c r="I26" s="11"/>
      <c r="J26" s="1"/>
      <c r="K26" s="5"/>
    </row>
    <row r="27">
      <c r="B27" t="s" s="1">
        <v>91</v>
      </c>
      <c r="C27" s="24">
        <f>C17/C18</f>
        <v>0</v>
      </c>
      <c r="D27" s="24">
        <f>D17/D18</f>
        <v>0</v>
      </c>
      <c r="E27" s="24">
        <f>E17/E18</f>
        <v>0</v>
      </c>
      <c r="F27" s="24">
        <f>F17/F18</f>
        <v>0</v>
      </c>
      <c r="G27" s="24">
        <f>G17/G18</f>
        <v>0.3353302527343685</v>
      </c>
      <c r="H27" s="11"/>
      <c r="I27" s="11"/>
      <c r="J27" s="1"/>
      <c r="K27" s="5"/>
    </row>
    <row r="28">
      <c r="B28" t="s" s="1">
        <v>355</v>
      </c>
      <c r="C28" s="33">
        <f>$G$36*C7</f>
        <v>1.0995050000000002</v>
      </c>
      <c r="D28" s="33">
        <f>$G$36*D7</f>
        <v>1.3888999999999998</v>
      </c>
      <c r="E28" s="33">
        <f>$G$36*E7</f>
        <v>1.617305</v>
      </c>
      <c r="F28" s="33">
        <f>$G$36*F7</f>
        <v>1.89548</v>
      </c>
      <c r="G28" s="33">
        <f>$G$36*G7</f>
        <v>2.3746199999999997</v>
      </c>
      <c r="H28" s="9"/>
      <c r="I28" s="9"/>
      <c r="J28" s="1"/>
      <c r="K28" s="5"/>
    </row>
    <row r="29">
      <c r="B29" s="1"/>
      <c r="C29" s="10"/>
      <c r="D29" s="10"/>
      <c r="E29" s="10"/>
      <c r="F29" s="10"/>
      <c r="G29" s="10"/>
      <c r="H29" s="10"/>
      <c r="I29" s="10"/>
      <c r="J29" s="1"/>
      <c r="K29" s="5"/>
    </row>
    <row r="30">
      <c r="B30" t="s" s="6">
        <v>93</v>
      </c>
      <c r="C30" s="14"/>
      <c r="D30" s="14"/>
      <c r="E30" s="14"/>
      <c r="F30" s="14"/>
      <c r="G30" s="14"/>
      <c r="H30" s="14"/>
      <c r="I30" s="14"/>
      <c r="J30" s="1"/>
      <c r="K30" s="5"/>
    </row>
    <row r="31">
      <c r="B31" t="s" s="1">
        <v>94</v>
      </c>
      <c r="C31" s="9"/>
      <c r="D31" s="9"/>
      <c r="E31" s="9"/>
      <c r="F31" s="9"/>
      <c r="G31" s="32">
        <v>210</v>
      </c>
      <c r="H31" s="9"/>
      <c r="I31" s="9"/>
      <c r="J31" s="1"/>
      <c r="K31" t="s" s="5">
        <v>114</v>
      </c>
    </row>
    <row r="32">
      <c r="B32" t="s" s="1">
        <v>95</v>
      </c>
      <c r="C32" s="9"/>
      <c r="D32" s="9"/>
      <c r="E32" s="9"/>
      <c r="F32" s="9"/>
      <c r="G32" s="32">
        <v>211</v>
      </c>
      <c r="H32" s="9"/>
      <c r="I32" s="9"/>
      <c r="J32" s="1"/>
      <c r="K32" t="s" s="5">
        <v>114</v>
      </c>
    </row>
    <row r="33">
      <c r="B33" t="s" s="1">
        <v>96</v>
      </c>
      <c r="C33" s="9"/>
      <c r="D33" s="9"/>
      <c r="E33" s="9"/>
      <c r="F33" s="9"/>
      <c r="G33" s="32">
        <v>44</v>
      </c>
      <c r="H33" s="9"/>
      <c r="I33" s="9"/>
      <c r="J33" s="1"/>
      <c r="K33" t="s" s="5">
        <v>111</v>
      </c>
    </row>
    <row r="34">
      <c r="B34" t="s" s="1">
        <v>97</v>
      </c>
      <c r="C34" s="13"/>
      <c r="D34" s="13"/>
      <c r="E34" s="13"/>
      <c r="F34" s="13"/>
      <c r="G34" s="25">
        <f>'Annual KPIs'!H14</f>
        <v>1.09</v>
      </c>
      <c r="H34" s="13"/>
      <c r="I34" s="13"/>
      <c r="J34" s="1"/>
      <c r="K34" t="s" s="5">
        <v>36</v>
      </c>
    </row>
    <row r="35">
      <c r="B35" t="s" s="1">
        <v>98</v>
      </c>
      <c r="C35" s="11"/>
      <c r="D35" s="11"/>
      <c r="E35" s="11"/>
      <c r="F35" s="11"/>
      <c r="G35" s="24">
        <f>(G34*(G7+G14+G15)-G9*G7)/(G14+G15)</f>
        <v>1.0153557563850693</v>
      </c>
      <c r="H35" s="11"/>
      <c r="I35" s="11"/>
      <c r="J35" s="1"/>
      <c r="K35" t="s" s="5">
        <v>115</v>
      </c>
    </row>
    <row r="36">
      <c r="B36" t="s" s="1">
        <v>99</v>
      </c>
      <c r="C36" s="11"/>
      <c r="D36" s="11"/>
      <c r="E36" s="11"/>
      <c r="F36" s="11"/>
      <c r="G36" s="42">
        <v>0.005</v>
      </c>
      <c r="H36" s="11"/>
      <c r="I36" s="11"/>
      <c r="J36" s="1"/>
      <c r="K36" t="s" s="5">
        <v>116</v>
      </c>
    </row>
    <row r="37">
      <c r="B37" t="s" s="1">
        <v>100</v>
      </c>
      <c r="C37" s="9"/>
      <c r="D37" s="9"/>
      <c r="E37" s="9"/>
      <c r="F37" s="32">
        <v>7</v>
      </c>
      <c r="G37" s="9"/>
      <c r="H37" s="9"/>
      <c r="I37" s="9"/>
      <c r="J37" s="1"/>
      <c r="K37" t="s" s="5">
        <v>117</v>
      </c>
    </row>
    <row r="38">
      <c r="B38" t="s" s="1">
        <v>101</v>
      </c>
      <c r="C38" s="9"/>
      <c r="D38" s="32">
        <v>12.1</v>
      </c>
      <c r="E38" s="9"/>
      <c r="F38" s="9"/>
      <c r="G38" s="9"/>
      <c r="H38" s="9"/>
      <c r="I38" s="9"/>
      <c r="J38" s="1"/>
      <c r="K38" t="s" s="5">
        <v>118</v>
      </c>
    </row>
    <row r="39">
      <c r="B39" t="s" s="1">
        <v>119</v>
      </c>
      <c r="C39" s="11"/>
      <c r="D39" s="11"/>
      <c r="E39" s="11"/>
      <c r="F39" s="11"/>
      <c r="G39" s="24">
        <f>((G34-G36)*(G7+G14+G15)-(G9+G36)*G7)/(G14+G15)</f>
        <v>0.9916946954813368</v>
      </c>
      <c r="H39" s="11"/>
      <c r="I39" s="11"/>
      <c r="J39" s="1"/>
      <c r="K39" t="s" s="5">
        <v>121</v>
      </c>
    </row>
    <row r="40">
      <c r="B40" t="s" s="1">
        <v>120</v>
      </c>
      <c r="C40" s="11"/>
      <c r="D40" s="11"/>
      <c r="E40" s="11"/>
      <c r="F40" s="11"/>
      <c r="G40" s="24">
        <f>((G34+G36)*(G7+G14+G15)-(G9-G36)*G7)/(G14+G15)</f>
        <v>1.0390168172888012</v>
      </c>
      <c r="H40" s="11"/>
      <c r="I40" s="11"/>
      <c r="J40" s="1"/>
      <c r="K40" t="s" s="5">
        <v>121</v>
      </c>
    </row>
    <row r="43">
      <c r="B43" t="s" s="6">
        <v>310</v>
      </c>
      <c r="C43" s="70">
        <f>C5</f>
        <v>44561</v>
      </c>
      <c r="D43" s="70">
        <f>D5</f>
        <v>44926</v>
      </c>
      <c r="E43" s="70">
        <f>E5</f>
        <v>45291</v>
      </c>
      <c r="F43" s="70">
        <f>F5</f>
        <v>45657</v>
      </c>
      <c r="G43" s="70">
        <f>G5</f>
        <v>46022</v>
      </c>
    </row>
    <row r="44">
      <c r="B44" t="s">
        <v>311</v>
      </c>
      <c r="C44" s="26">
        <f>C7</f>
        <v>219.901</v>
      </c>
      <c r="D44" s="26">
        <f>D7</f>
        <v>277.78</v>
      </c>
      <c r="E44" s="26">
        <f>E7</f>
        <v>323.461</v>
      </c>
      <c r="F44" s="26">
        <f>F7</f>
        <v>379.096</v>
      </c>
      <c r="G44" s="26">
        <f>G7</f>
        <v>474.924</v>
      </c>
    </row>
    <row r="45">
      <c r="B45" t="s">
        <v>356</v>
      </c>
      <c r="C45" s="26">
        <f>C10</f>
        <v>-4.398020000000004</v>
      </c>
      <c r="D45" s="26">
        <f>D10</f>
        <v>-5.5556000000000045</v>
      </c>
      <c r="E45" s="26">
        <f>E10</f>
        <v>-6.469220000000006</v>
      </c>
      <c r="F45" s="26">
        <f>F10</f>
        <v>-7.581920000000006</v>
      </c>
      <c r="G45" s="26">
        <f>G10</f>
        <v>-9.498480000000008</v>
      </c>
    </row>
    <row r="46">
      <c r="B46" t="s">
        <v>357</v>
      </c>
      <c r="C46" s="26">
        <f>C11</f>
        <v>28.587130000000027</v>
      </c>
      <c r="D46" s="26">
        <f>D11</f>
        <v>22.222400000000018</v>
      </c>
      <c r="E46" s="26">
        <f>E11</f>
        <v>29.11149000000003</v>
      </c>
      <c r="F46" s="26">
        <f>F11</f>
        <v>68.23727999999998</v>
      </c>
      <c r="G46" s="26">
        <f>G11</f>
        <v>71.23859999999995</v>
      </c>
    </row>
    <row r="47">
      <c r="B47" t="s">
        <v>358</v>
      </c>
      <c r="C47" s="26">
        <f>C13</f>
        <v>33.689889999999934</v>
      </c>
      <c r="D47" s="26">
        <f>D13</f>
        <v>29.014200000000073</v>
      </c>
      <c r="E47" s="26">
        <f>E13</f>
        <v>32.992729999999995</v>
      </c>
      <c r="F47" s="26">
        <f>F13</f>
        <v>35.17264</v>
      </c>
      <c r="G47" s="26">
        <f>G13</f>
        <v>22.297880000000077</v>
      </c>
    </row>
    <row r="48">
      <c r="B48" t="s">
        <v>320</v>
      </c>
      <c r="C48" s="26">
        <f>C17</f>
        <v>0</v>
      </c>
      <c r="D48" s="26">
        <f>D17</f>
        <v>0</v>
      </c>
      <c r="E48" s="26">
        <f>E17</f>
        <v>0</v>
      </c>
      <c r="F48" s="26">
        <f>F17</f>
        <v>0</v>
      </c>
      <c r="G48" s="26">
        <f>G17</f>
        <v>282</v>
      </c>
    </row>
    <row r="49">
      <c r="B49" t="s" s="73">
        <v>314</v>
      </c>
      <c r="C49" s="74">
        <f>C18</f>
        <v>277.78</v>
      </c>
      <c r="D49" s="74">
        <f>D18</f>
        <v>323.461</v>
      </c>
      <c r="E49" s="74">
        <f>E18</f>
        <v>379.096</v>
      </c>
      <c r="F49" s="74">
        <f>F18</f>
        <v>474.924</v>
      </c>
      <c r="G49" s="74">
        <f>G18</f>
        <v>840.962</v>
      </c>
    </row>
    <row r="50">
      <c r="B50" t="s" s="81">
        <v>315</v>
      </c>
      <c r="C50" s="75">
        <f>C9</f>
        <v>1.11</v>
      </c>
      <c r="D50" s="77">
        <f>D9</f>
        <v>1.06</v>
      </c>
      <c r="E50" s="77">
        <f>E9</f>
        <v>1.07</v>
      </c>
      <c r="F50" s="79">
        <f>F9</f>
        <v>1.16</v>
      </c>
      <c r="G50" s="79">
        <f>G9</f>
        <v>1.13</v>
      </c>
    </row>
    <row r="51">
      <c r="B51" t="s" s="81">
        <v>321</v>
      </c>
      <c r="C51" s="76">
        <f>C24</f>
        <v>0.15320480579897286</v>
      </c>
      <c r="D51" s="78">
        <f>D24</f>
        <v>0.1044502843977251</v>
      </c>
      <c r="E51" s="78">
        <f>E24</f>
        <v>0.10199909726365773</v>
      </c>
      <c r="F51" s="78">
        <f>F24</f>
        <v>0.09278029839407433</v>
      </c>
      <c r="G51" s="80">
        <f>G24</f>
        <v>0.04695041732993085</v>
      </c>
    </row>
  </sheetData>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4"/>
  <sheetViews>
    <sheetView showGridLines="0" workbookViewId="0">
      <pane ySplit="5" topLeftCell="A6" activePane="bottomLeft" state="frozen"/>
      <selection pane="bottomLeft" activeCell="A1" sqref="A1"/>
    </sheetView>
  </sheetViews>
  <cols>
    <col min="1" max="1" width="2.21875" customWidth="1"/>
    <col min="2" max="2" width="57.07421875" customWidth="1"/>
    <col min="3" max="8" width="12.50390625" customWidth="1"/>
  </cols>
  <sheetData>
    <row r="2">
      <c r="B2" t="s" s="3">
        <v>122</v>
      </c>
      <c r="C2" s="1"/>
      <c r="D2" s="1"/>
      <c r="E2" s="1"/>
      <c r="F2" s="1"/>
      <c r="G2" s="1"/>
      <c r="H2" s="1"/>
    </row>
    <row r="3">
      <c r="B3" t="s" s="5">
        <v>123</v>
      </c>
      <c r="C3" s="1"/>
      <c r="D3" s="1"/>
      <c r="E3" s="1"/>
      <c r="F3" s="1"/>
      <c r="G3" s="1"/>
      <c r="H3" s="1"/>
    </row>
    <row r="4">
      <c r="B4" s="1"/>
      <c r="C4" s="1"/>
      <c r="D4" s="1"/>
      <c r="E4" s="1"/>
      <c r="F4" s="1"/>
      <c r="G4" s="1"/>
      <c r="H4" s="1"/>
    </row>
    <row r="5">
      <c r="B5" t="s" s="2">
        <v>124</v>
      </c>
      <c r="C5" t="s" s="7">
        <v>149</v>
      </c>
      <c r="D5" s="19">
        <f>DATE(2021,12,31)</f>
        <v>44561</v>
      </c>
      <c r="E5" s="19">
        <f>DATE(2022,12,31)</f>
        <v>44926</v>
      </c>
      <c r="F5" s="19">
        <f>DATE(2023,12,31)</f>
        <v>45291</v>
      </c>
      <c r="G5" s="19">
        <f>DATE(2024,12,31)</f>
        <v>45657</v>
      </c>
      <c r="H5" s="19">
        <f>DATE(2025,12,31)</f>
        <v>46022</v>
      </c>
    </row>
    <row r="6">
      <c r="B6" t="s" s="6">
        <v>125</v>
      </c>
      <c r="C6" s="6"/>
      <c r="D6" s="6"/>
      <c r="E6" s="6"/>
      <c r="F6" s="6"/>
      <c r="G6" s="6"/>
      <c r="H6" s="6"/>
    </row>
    <row r="7">
      <c r="B7" t="s" s="1">
        <v>126</v>
      </c>
      <c r="C7" s="22">
        <f>'ARR Bridge'!C7</f>
        <v>219.901</v>
      </c>
      <c r="D7" s="33">
        <f>$C7*'ARR Bridge'!C$9</f>
        <v>244.09011000000004</v>
      </c>
      <c r="E7" s="33">
        <f>D7*'ARR Bridge'!D$9</f>
        <v>258.73551660000004</v>
      </c>
      <c r="F7" s="33">
        <f>E7*'ARR Bridge'!E$9</f>
        <v>276.84700276200005</v>
      </c>
      <c r="G7" s="33">
        <f>F7*'ARR Bridge'!F$9</f>
        <v>321.14252320392</v>
      </c>
      <c r="H7" s="33">
        <f>G7*'ARR Bridge'!G$9</f>
        <v>362.8910512204296</v>
      </c>
    </row>
    <row r="8">
      <c r="B8" t="s" s="1">
        <v>127</v>
      </c>
      <c r="C8" s="22">
        <f>'ARR Bridge'!D7</f>
        <v>277.78</v>
      </c>
      <c r="D8" s="9"/>
      <c r="E8" s="33">
        <f>$C8*'ARR Bridge'!D$9</f>
        <v>294.4468</v>
      </c>
      <c r="F8" s="33">
        <f>E8*'ARR Bridge'!E$9</f>
        <v>315.058076</v>
      </c>
      <c r="G8" s="33">
        <f>F8*'ARR Bridge'!F$9</f>
        <v>365.46736816000004</v>
      </c>
      <c r="H8" s="33">
        <f>G8*'ARR Bridge'!G$9</f>
        <v>412.9781260208</v>
      </c>
    </row>
    <row r="9">
      <c r="B9" t="s" s="1">
        <v>128</v>
      </c>
      <c r="C9" s="22">
        <f>'ARR Bridge'!E7</f>
        <v>323.461</v>
      </c>
      <c r="D9" s="9"/>
      <c r="E9" s="9"/>
      <c r="F9" s="33">
        <f>$C9*'ARR Bridge'!E$9</f>
        <v>346.10327</v>
      </c>
      <c r="G9" s="33">
        <f>F9*'ARR Bridge'!F$9</f>
        <v>401.47979319999996</v>
      </c>
      <c r="H9" s="33">
        <f>G9*'ARR Bridge'!G$9</f>
        <v>453.6721663159999</v>
      </c>
    </row>
    <row r="10">
      <c r="B10" t="s" s="1">
        <v>129</v>
      </c>
      <c r="C10" s="22">
        <f>'ARR Bridge'!F7</f>
        <v>379.096</v>
      </c>
      <c r="D10" s="9"/>
      <c r="E10" s="9"/>
      <c r="F10" s="9"/>
      <c r="G10" s="33">
        <f>$C10*'ARR Bridge'!F$9</f>
        <v>439.75136</v>
      </c>
      <c r="H10" s="33">
        <f>G10*'ARR Bridge'!G$9</f>
        <v>496.9190367999999</v>
      </c>
    </row>
    <row r="11">
      <c r="B11" t="s" s="1">
        <v>130</v>
      </c>
      <c r="C11" s="22">
        <f>'ARR Bridge'!G7</f>
        <v>474.924</v>
      </c>
      <c r="D11" s="9"/>
      <c r="E11" s="9"/>
      <c r="F11" s="9"/>
      <c r="G11" s="9"/>
      <c r="H11" s="33">
        <f>$C11*'ARR Bridge'!G$9</f>
        <v>536.6641199999999</v>
      </c>
    </row>
    <row r="12">
      <c r="B12" s="1"/>
      <c r="C12" s="10"/>
      <c r="D12" s="10"/>
      <c r="E12" s="10"/>
      <c r="F12" s="10"/>
      <c r="G12" s="10"/>
      <c r="H12" s="10"/>
    </row>
    <row r="13">
      <c r="B13" t="s" s="6">
        <v>131</v>
      </c>
      <c r="C13" s="14"/>
      <c r="D13" s="14"/>
      <c r="E13" s="14"/>
      <c r="F13" s="14"/>
      <c r="G13" s="14"/>
      <c r="H13" s="14"/>
    </row>
    <row r="14">
      <c r="B14" t="s" s="2">
        <v>124</v>
      </c>
      <c r="C14" s="10"/>
      <c r="D14" s="43">
        <f>1</f>
        <v>1</v>
      </c>
      <c r="E14" s="43">
        <f>2</f>
        <v>2</v>
      </c>
      <c r="F14" s="43">
        <f>3</f>
        <v>3</v>
      </c>
      <c r="G14" s="43">
        <f>4</f>
        <v>4</v>
      </c>
      <c r="H14" s="43">
        <f>5</f>
        <v>5</v>
      </c>
    </row>
    <row r="15">
      <c r="B15" t="s" s="1">
        <v>126</v>
      </c>
      <c r="C15" s="10"/>
      <c r="D15" s="27">
        <f>D7/$C7</f>
        <v>1.11</v>
      </c>
      <c r="E15" s="27">
        <f>E7/$C7</f>
        <v>1.1766</v>
      </c>
      <c r="F15" s="27">
        <f>F7/$C7</f>
        <v>1.2589620000000001</v>
      </c>
      <c r="G15" s="27">
        <f>G7/$C7</f>
        <v>1.46039592</v>
      </c>
      <c r="H15" s="27">
        <f>H7/$C7</f>
        <v>1.6502473895999998</v>
      </c>
    </row>
    <row r="16">
      <c r="B16" t="s" s="1">
        <v>127</v>
      </c>
      <c r="C16" s="10"/>
      <c r="D16" s="27">
        <f>E8/$C8</f>
        <v>1.06</v>
      </c>
      <c r="E16" s="27">
        <f>F8/$C8</f>
        <v>1.1342000000000003</v>
      </c>
      <c r="F16" s="27">
        <f>G8/$C8</f>
        <v>1.3156720000000002</v>
      </c>
      <c r="G16" s="27">
        <f>H8/$C8</f>
        <v>1.48670936</v>
      </c>
      <c r="H16" s="13"/>
    </row>
    <row r="17">
      <c r="B17" t="s" s="1">
        <v>128</v>
      </c>
      <c r="C17" s="10"/>
      <c r="D17" s="27">
        <f>F9/$C9</f>
        <v>1.07</v>
      </c>
      <c r="E17" s="27">
        <f>G9/$C9</f>
        <v>1.2411999999999999</v>
      </c>
      <c r="F17" s="27">
        <f>H9/$C9</f>
        <v>1.4025559999999997</v>
      </c>
      <c r="G17" s="13"/>
      <c r="H17" s="13"/>
    </row>
    <row r="18">
      <c r="B18" t="s" s="1">
        <v>129</v>
      </c>
      <c r="C18" s="10"/>
      <c r="D18" s="27">
        <f>G10/$C10</f>
        <v>1.16</v>
      </c>
      <c r="E18" s="27">
        <f>H10/$C10</f>
        <v>1.3107999999999997</v>
      </c>
      <c r="F18" s="13"/>
      <c r="G18" s="13"/>
      <c r="H18" s="13"/>
    </row>
    <row r="19">
      <c r="B19" t="s" s="1">
        <v>130</v>
      </c>
      <c r="C19" s="10"/>
      <c r="D19" s="27">
        <f>H11/$C11</f>
        <v>1.13</v>
      </c>
      <c r="E19" s="13"/>
      <c r="F19" s="13"/>
      <c r="G19" s="13"/>
      <c r="H19" s="13"/>
    </row>
    <row r="20">
      <c r="B20" t="s" s="4">
        <v>132</v>
      </c>
      <c r="C20" s="10"/>
      <c r="D20" s="44">
        <f>AVERAGEIFS(D15:D19,D15:D19,"&gt;0")</f>
        <v>1.106</v>
      </c>
      <c r="E20" s="44">
        <f>AVERAGEIFS(E15:E19,E15:E19,"&gt;0")</f>
        <v>1.2157</v>
      </c>
      <c r="F20" s="44">
        <f>AVERAGEIFS(F15:F19,F15:F19,"&gt;0")</f>
        <v>1.32573</v>
      </c>
      <c r="G20" s="44">
        <f>AVERAGEIFS(G15:G19,G15:G19,"&gt;0")</f>
        <v>1.47355264</v>
      </c>
      <c r="H20" s="44">
        <f>AVERAGEIFS(H15:H19,H15:H19,"&gt;0")</f>
        <v>1.6502473895999998</v>
      </c>
    </row>
    <row r="21">
      <c r="B21" t="s" s="4">
        <v>133</v>
      </c>
      <c r="C21" s="10"/>
      <c r="D21" s="44">
        <f>SUMPRODUCT((D15:D19&gt;0)*$C$7:$C$11,D15:D19)/SUMPRODUCT((D15:D19&gt;0)*$C$7:$C$11)</f>
        <v>1.1109705568774841</v>
      </c>
      <c r="E21" s="44">
        <f>SUMPRODUCT((E15:E19&gt;0)*$C$7:$C$11,E15:E19)/SUMPRODUCT((E15:E19&gt;0)*$C$7:$C$11)</f>
        <v>1.2265837463902993</v>
      </c>
      <c r="F21" s="44">
        <f>SUMPRODUCT((F15:F19&gt;0)*$C$7:$C$11,F15:F19)/SUMPRODUCT((F15:F19&gt;0)*$C$7:$C$11)</f>
        <v>1.334710119855031</v>
      </c>
      <c r="G21" s="44">
        <f>SUMPRODUCT((G15:G19&gt;0)*$C$7:$C$11,G15:G19)/SUMPRODUCT((G15:G19&gt;0)*$C$7:$C$11)</f>
        <v>1.4750827321612037</v>
      </c>
      <c r="H21" s="44">
        <f>SUMPRODUCT((H15:H19&gt;0)*$C$7:$C$11,H15:H19)/SUMPRODUCT((H15:H19&gt;0)*$C$7:$C$11)</f>
        <v>1.6502473895999998</v>
      </c>
    </row>
    <row r="22">
      <c r="B22" s="1"/>
      <c r="C22" s="10"/>
      <c r="D22" s="10"/>
      <c r="E22" s="10"/>
      <c r="F22" s="10"/>
      <c r="G22" s="10"/>
      <c r="H22" s="10"/>
    </row>
    <row r="23">
      <c r="B23" t="s" s="6">
        <v>134</v>
      </c>
      <c r="C23" s="14"/>
      <c r="D23" s="14"/>
      <c r="E23" s="14"/>
      <c r="F23" s="14"/>
      <c r="G23" s="14"/>
      <c r="H23" s="14"/>
    </row>
    <row r="24">
      <c r="B24" t="s" s="2">
        <v>124</v>
      </c>
      <c r="C24" s="10"/>
      <c r="D24" s="43">
        <f>1</f>
        <v>1</v>
      </c>
      <c r="E24" s="43">
        <f>2</f>
        <v>2</v>
      </c>
      <c r="F24" s="43">
        <f>3</f>
        <v>3</v>
      </c>
      <c r="G24" s="43">
        <f>4</f>
        <v>4</v>
      </c>
      <c r="H24" s="43">
        <f>5</f>
        <v>5</v>
      </c>
    </row>
    <row r="25">
      <c r="B25" t="s" s="1">
        <v>126</v>
      </c>
      <c r="C25" s="10"/>
      <c r="D25" s="45">
        <f>'ARR Bridge'!C$8</f>
        <v>0.98</v>
      </c>
      <c r="E25" s="24">
        <f>D25*'ARR Bridge'!D$8</f>
        <v>0.9603999999999999</v>
      </c>
      <c r="F25" s="24">
        <f>E25*'ARR Bridge'!E$8</f>
        <v>0.9411919999999999</v>
      </c>
      <c r="G25" s="24">
        <f>F25*'ARR Bridge'!F$8</f>
        <v>0.9223681599999999</v>
      </c>
      <c r="H25" s="24">
        <f>G25*'ARR Bridge'!G$8</f>
        <v>0.9039207967999998</v>
      </c>
    </row>
    <row r="26">
      <c r="B26" t="s" s="1">
        <v>127</v>
      </c>
      <c r="C26" s="10"/>
      <c r="D26" s="45">
        <f>'ARR Bridge'!D$8</f>
        <v>0.98</v>
      </c>
      <c r="E26" s="24">
        <f>D26*'ARR Bridge'!E$8</f>
        <v>0.9603999999999999</v>
      </c>
      <c r="F26" s="24">
        <f>E26*'ARR Bridge'!F$8</f>
        <v>0.9411919999999999</v>
      </c>
      <c r="G26" s="24">
        <f>F26*'ARR Bridge'!G$8</f>
        <v>0.9223681599999999</v>
      </c>
      <c r="H26" s="11"/>
    </row>
    <row r="27">
      <c r="B27" t="s" s="1">
        <v>128</v>
      </c>
      <c r="C27" s="10"/>
      <c r="D27" s="45">
        <f>'ARR Bridge'!E$8</f>
        <v>0.98</v>
      </c>
      <c r="E27" s="24">
        <f>D27*'ARR Bridge'!F$8</f>
        <v>0.9603999999999999</v>
      </c>
      <c r="F27" s="24">
        <f>E27*'ARR Bridge'!G$8</f>
        <v>0.9411919999999999</v>
      </c>
      <c r="G27" s="11"/>
      <c r="H27" s="11"/>
    </row>
    <row r="28">
      <c r="B28" t="s" s="1">
        <v>129</v>
      </c>
      <c r="C28" s="10"/>
      <c r="D28" s="45">
        <f>'ARR Bridge'!F$8</f>
        <v>0.98</v>
      </c>
      <c r="E28" s="24">
        <f>D28*'ARR Bridge'!G$8</f>
        <v>0.9603999999999999</v>
      </c>
      <c r="F28" s="11"/>
      <c r="G28" s="11"/>
      <c r="H28" s="11"/>
    </row>
    <row r="29">
      <c r="B29" t="s" s="1">
        <v>130</v>
      </c>
      <c r="C29" s="10"/>
      <c r="D29" s="45">
        <f>'ARR Bridge'!G$8</f>
        <v>0.98</v>
      </c>
      <c r="E29" s="11"/>
      <c r="F29" s="11"/>
      <c r="G29" s="11"/>
      <c r="H29" s="11"/>
    </row>
    <row r="30">
      <c r="B30" s="1"/>
      <c r="C30" s="10"/>
      <c r="D30" s="10"/>
      <c r="E30" s="10"/>
      <c r="F30" s="10"/>
      <c r="G30" s="10"/>
      <c r="H30" s="10"/>
    </row>
    <row r="31">
      <c r="B31" t="s" s="6">
        <v>135</v>
      </c>
      <c r="C31" s="14"/>
      <c r="D31" s="14"/>
      <c r="E31" s="14"/>
      <c r="F31" s="14"/>
      <c r="G31" s="14"/>
      <c r="H31" s="14"/>
    </row>
    <row r="32">
      <c r="B32" t="s" s="2">
        <v>136</v>
      </c>
      <c r="C32" s="46">
        <f>DATE(2020,12,31)</f>
        <v>44196</v>
      </c>
      <c r="D32" s="46">
        <f>DATE(2021,12,31)</f>
        <v>44561</v>
      </c>
      <c r="E32" s="46">
        <f>DATE(2022,12,31)</f>
        <v>44926</v>
      </c>
      <c r="F32" s="46">
        <f>DATE(2023,12,31)</f>
        <v>45291</v>
      </c>
      <c r="G32" s="46">
        <f>DATE(2024,12,31)</f>
        <v>45657</v>
      </c>
      <c r="H32" s="46">
        <f>DATE(2025,12,31)</f>
        <v>46022</v>
      </c>
    </row>
    <row r="33">
      <c r="B33" t="s" s="1">
        <v>137</v>
      </c>
      <c r="C33" s="22">
        <f>'ARR Bridge'!C7</f>
        <v>219.901</v>
      </c>
      <c r="D33" s="33">
        <f>C33*'ARR Bridge'!C$9</f>
        <v>244.09011000000004</v>
      </c>
      <c r="E33" s="33">
        <f>D33*'ARR Bridge'!D$9</f>
        <v>258.73551660000004</v>
      </c>
      <c r="F33" s="33">
        <f>E33*'ARR Bridge'!E$9</f>
        <v>276.84700276200005</v>
      </c>
      <c r="G33" s="33">
        <f>F33*'ARR Bridge'!F$9</f>
        <v>321.14252320392</v>
      </c>
      <c r="H33" s="33">
        <f>G33*'ARR Bridge'!G$9</f>
        <v>362.8910512204296</v>
      </c>
    </row>
    <row r="34">
      <c r="B34" t="s" s="1">
        <v>369</v>
      </c>
      <c r="C34" s="9"/>
      <c r="D34" s="22">
        <f>'ARR Bridge'!C13</f>
        <v>33.689889999999934</v>
      </c>
      <c r="E34" s="33">
        <f>D34*'ARR Bridge'!D$9</f>
        <v>35.711283399999935</v>
      </c>
      <c r="F34" s="33">
        <f>E34*'ARR Bridge'!E$9</f>
        <v>38.21107323799993</v>
      </c>
      <c r="G34" s="33">
        <f>F34*'ARR Bridge'!F$9</f>
        <v>44.32484495607992</v>
      </c>
      <c r="H34" s="33">
        <f>G34*'ARR Bridge'!G$9</f>
        <v>50.08707480037031</v>
      </c>
    </row>
    <row r="35">
      <c r="B35" t="s" s="1">
        <v>370</v>
      </c>
      <c r="C35" s="9"/>
      <c r="D35" s="9"/>
      <c r="E35" s="22">
        <f>'ARR Bridge'!D13</f>
        <v>29.014200000000073</v>
      </c>
      <c r="F35" s="33">
        <f>E35*'ARR Bridge'!E$9</f>
        <v>31.04519400000008</v>
      </c>
      <c r="G35" s="33">
        <f>F35*'ARR Bridge'!F$9</f>
        <v>36.01242504000009</v>
      </c>
      <c r="H35" s="33">
        <f>G35*'ARR Bridge'!G$9</f>
        <v>40.6940402952001</v>
      </c>
    </row>
    <row r="36">
      <c r="B36" t="s" s="1">
        <v>371</v>
      </c>
      <c r="C36" s="9"/>
      <c r="D36" s="9"/>
      <c r="E36" s="9"/>
      <c r="F36" s="22">
        <f>'ARR Bridge'!E13</f>
        <v>32.992729999999995</v>
      </c>
      <c r="G36" s="33">
        <f>F36*'ARR Bridge'!F$9</f>
        <v>38.27156679999999</v>
      </c>
      <c r="H36" s="33">
        <f>G36*'ARR Bridge'!G$9</f>
        <v>43.246870483999984</v>
      </c>
    </row>
    <row r="37">
      <c r="B37" t="s" s="1">
        <v>372</v>
      </c>
      <c r="C37" s="9"/>
      <c r="D37" s="9"/>
      <c r="E37" s="9"/>
      <c r="F37" s="9"/>
      <c r="G37" s="22">
        <f>'ARR Bridge'!F13</f>
        <v>35.17264</v>
      </c>
      <c r="H37" s="33">
        <f>G37*'ARR Bridge'!G$9</f>
        <v>39.745083199999996</v>
      </c>
    </row>
    <row r="38">
      <c r="B38" t="s" s="1">
        <v>373</v>
      </c>
      <c r="C38" s="9"/>
      <c r="D38" s="9"/>
      <c r="E38" s="9"/>
      <c r="F38" s="9"/>
      <c r="G38" s="9"/>
      <c r="H38" s="22">
        <f>'ARR Bridge'!G13</f>
        <v>22.297880000000077</v>
      </c>
    </row>
    <row r="39">
      <c r="B39" t="s" s="1">
        <v>143</v>
      </c>
      <c r="C39" s="9"/>
      <c r="D39" s="9"/>
      <c r="E39" s="9"/>
      <c r="F39" s="9"/>
      <c r="G39" s="9"/>
      <c r="H39" s="22">
        <f>'ARR Bridge'!G17</f>
        <v>282</v>
      </c>
    </row>
    <row r="40">
      <c r="B40" t="s" s="35">
        <v>144</v>
      </c>
      <c r="C40" s="39">
        <f>SUM(C33:C39)</f>
        <v>219.901</v>
      </c>
      <c r="D40" s="39">
        <f>SUM(D33:D39)</f>
        <v>277.78</v>
      </c>
      <c r="E40" s="39">
        <f>SUM(E33:E39)</f>
        <v>323.46100000000007</v>
      </c>
      <c r="F40" s="39">
        <f>SUM(F33:F39)</f>
        <v>379.09600000000006</v>
      </c>
      <c r="G40" s="39">
        <f>SUM(G33:G39)</f>
        <v>474.924</v>
      </c>
      <c r="H40" s="39">
        <f>SUM(H33:H39)</f>
        <v>840.9620000000001</v>
      </c>
    </row>
    <row r="41">
      <c r="B41" t="s" s="1">
        <v>145</v>
      </c>
      <c r="C41" s="22">
        <f>'Annual KPIs'!C7</f>
        <v>219.901</v>
      </c>
      <c r="D41" s="22">
        <f>'Annual KPIs'!D7</f>
        <v>277.78</v>
      </c>
      <c r="E41" s="22">
        <f>'Annual KPIs'!E7</f>
        <v>323.461</v>
      </c>
      <c r="F41" s="22">
        <f>'Annual KPIs'!F7</f>
        <v>379.096</v>
      </c>
      <c r="G41" s="22">
        <f>'Annual KPIs'!G7</f>
        <v>474.924</v>
      </c>
      <c r="H41" s="22">
        <f>'Annual KPIs'!H7</f>
        <v>840.962</v>
      </c>
    </row>
    <row r="42">
      <c r="B42" t="s" s="4">
        <v>146</v>
      </c>
      <c r="C42" s="33">
        <f>C40-C41</f>
        <v>0</v>
      </c>
      <c r="D42" s="33">
        <f>D40-D41</f>
        <v>0</v>
      </c>
      <c r="E42" s="33">
        <f>E40-E41</f>
        <v>0</v>
      </c>
      <c r="F42" s="33">
        <f>F40-F41</f>
        <v>0</v>
      </c>
      <c r="G42" s="33">
        <f>G40-G41</f>
        <v>0</v>
      </c>
      <c r="H42" s="33">
        <f>H40-H41</f>
        <v>0</v>
      </c>
    </row>
    <row r="43">
      <c r="B43" t="s" s="4">
        <v>147</v>
      </c>
      <c r="C43" s="27">
        <f>C33/(C40-N(C39))</f>
        <v>1</v>
      </c>
      <c r="D43" s="27">
        <f>D33/(D40-N(D39))</f>
        <v>0.8787173662610701</v>
      </c>
      <c r="E43" s="27">
        <f>E33/(E40-N(E39))</f>
        <v>0.7998971022781726</v>
      </c>
      <c r="F43" s="27">
        <f>F33/(F40-N(F39))</f>
        <v>0.7302820466636419</v>
      </c>
      <c r="G43" s="27">
        <f>G33/(G40-N(G39))</f>
        <v>0.6761977141688355</v>
      </c>
      <c r="H43" s="27">
        <f>H33/(H40-N(H39))</f>
        <v>0.6492231157402999</v>
      </c>
    </row>
    <row r="44">
      <c r="B44" t="s" s="4">
        <v>148</v>
      </c>
      <c r="C44" s="27">
        <f>1-C43</f>
        <v>0</v>
      </c>
      <c r="D44" s="27">
        <f>1-D43</f>
        <v>0.12128263373892989</v>
      </c>
      <c r="E44" s="27">
        <f>1-E43</f>
        <v>0.20010289772182743</v>
      </c>
      <c r="F44" s="27">
        <f>1-F43</f>
        <v>0.26971795333635806</v>
      </c>
      <c r="G44" s="27">
        <f>1-G43</f>
        <v>0.32380228583116455</v>
      </c>
      <c r="H44" s="27">
        <f>1-H43</f>
        <v>0.3507768842597001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2"/>
  <sheetViews>
    <sheetView showGridLines="0" workbookViewId="0">
      <selection activeCell="A1" sqref="A1"/>
    </sheetView>
  </sheetViews>
  <cols>
    <col min="1" max="1" width="2.21875" customWidth="1"/>
    <col min="2" max="2" width="72.359375" customWidth="1"/>
    <col min="3" max="9" width="15.21875" customWidth="1"/>
    <col min="10" max="10" width="2.21875" customWidth="1"/>
  </cols>
  <sheetData>
    <row r="2">
      <c r="B2" t="s" s="3">
        <v>150</v>
      </c>
      <c r="C2" s="1"/>
      <c r="D2" s="1"/>
      <c r="E2" s="1"/>
      <c r="F2" s="1"/>
      <c r="G2" s="1"/>
      <c r="H2" s="1"/>
      <c r="I2" s="1"/>
      <c r="J2" s="1"/>
    </row>
    <row r="3">
      <c r="B3" t="s" s="5">
        <v>151</v>
      </c>
      <c r="C3" s="1"/>
      <c r="D3" s="1"/>
      <c r="E3" s="1"/>
      <c r="F3" s="1"/>
      <c r="G3" s="1"/>
      <c r="H3" s="1"/>
      <c r="I3" s="1"/>
      <c r="J3" s="1"/>
    </row>
    <row r="4">
      <c r="B4" s="1"/>
      <c r="C4" s="1"/>
      <c r="D4" s="1"/>
      <c r="E4" s="1"/>
      <c r="F4" s="1"/>
      <c r="G4" s="1"/>
      <c r="H4" s="1"/>
      <c r="I4" s="1"/>
      <c r="J4" s="1"/>
    </row>
    <row r="5">
      <c r="B5" t="s" s="6">
        <v>152</v>
      </c>
      <c r="C5" s="6"/>
      <c r="D5" s="6"/>
      <c r="E5" s="6"/>
      <c r="F5" s="6"/>
      <c r="G5" s="6"/>
      <c r="H5" s="6"/>
      <c r="I5" s="1"/>
      <c r="J5" s="1"/>
    </row>
    <row r="6">
      <c r="B6" t="s" s="1">
        <v>153</v>
      </c>
      <c r="C6" s="47">
        <v>24.55</v>
      </c>
      <c r="D6" s="10"/>
      <c r="E6" s="10"/>
      <c r="F6" s="10"/>
      <c r="G6" s="10"/>
      <c r="H6" s="10"/>
      <c r="I6" s="1"/>
      <c r="J6" t="s" s="5">
        <v>186</v>
      </c>
    </row>
    <row r="7">
      <c r="B7" t="s" s="1">
        <v>154</v>
      </c>
      <c r="C7" s="48">
        <v>0.471</v>
      </c>
      <c r="D7" s="10"/>
      <c r="E7" s="10"/>
      <c r="F7" s="10"/>
      <c r="G7" s="10"/>
      <c r="H7" s="10"/>
      <c r="I7" s="1"/>
      <c r="J7" t="s" s="5">
        <v>187</v>
      </c>
    </row>
    <row r="8">
      <c r="B8" t="s" s="1">
        <v>155</v>
      </c>
      <c r="C8" s="47">
        <v>16.69</v>
      </c>
      <c r="D8" s="10"/>
      <c r="E8" s="10"/>
      <c r="F8" s="10"/>
      <c r="G8" s="10"/>
      <c r="H8" s="10"/>
      <c r="I8" s="1"/>
      <c r="J8" t="s" s="5">
        <v>187</v>
      </c>
    </row>
    <row r="9">
      <c r="B9" t="s" s="1">
        <v>156</v>
      </c>
      <c r="C9" s="49">
        <v>8400</v>
      </c>
      <c r="D9" s="10"/>
      <c r="E9" s="10"/>
      <c r="F9" s="10"/>
      <c r="G9" s="10"/>
      <c r="H9" s="10"/>
      <c r="I9" s="1"/>
      <c r="J9" t="s" s="5">
        <v>188</v>
      </c>
    </row>
    <row r="10">
      <c r="B10" t="s" s="1">
        <v>157</v>
      </c>
      <c r="C10" s="22">
        <f>'Annual KPIs'!H7</f>
        <v>840.962</v>
      </c>
      <c r="D10" s="10"/>
      <c r="E10" s="10"/>
      <c r="F10" s="10"/>
      <c r="G10" s="10"/>
      <c r="H10" s="10"/>
      <c r="I10" s="1"/>
      <c r="J10" t="s" s="5">
        <v>33</v>
      </c>
    </row>
    <row r="11">
      <c r="B11" t="s" s="2">
        <v>158</v>
      </c>
      <c r="C11" s="50">
        <f>C9/C10</f>
        <v>9.988560719747147</v>
      </c>
      <c r="D11" s="10"/>
      <c r="E11" s="10"/>
      <c r="F11" s="10"/>
      <c r="G11" s="10"/>
      <c r="H11" s="10"/>
      <c r="I11" s="1"/>
      <c r="J11" s="5"/>
    </row>
    <row r="12">
      <c r="B12" t="s" s="1">
        <v>159</v>
      </c>
      <c r="C12" s="49">
        <v>730</v>
      </c>
      <c r="D12" s="10"/>
      <c r="E12" s="10"/>
      <c r="F12" s="10"/>
      <c r="G12" s="10"/>
      <c r="H12" s="10"/>
      <c r="I12" s="1"/>
      <c r="J12" t="s" s="5">
        <v>189</v>
      </c>
    </row>
    <row r="13">
      <c r="B13" t="s" s="1">
        <v>160</v>
      </c>
      <c r="C13" s="49">
        <v>1800</v>
      </c>
      <c r="D13" s="10"/>
      <c r="E13" s="10"/>
      <c r="F13" s="10"/>
      <c r="G13" s="10"/>
      <c r="H13" s="10"/>
      <c r="I13" s="1"/>
      <c r="J13" t="s" s="5">
        <v>189</v>
      </c>
    </row>
    <row r="14">
      <c r="B14" t="s" s="1">
        <v>161</v>
      </c>
      <c r="C14" s="31">
        <v>0.2</v>
      </c>
      <c r="D14" s="10"/>
      <c r="E14" s="10"/>
      <c r="F14" s="10"/>
      <c r="G14" s="10"/>
      <c r="H14" s="10"/>
      <c r="I14" s="1"/>
      <c r="J14" t="s" s="5">
        <v>189</v>
      </c>
    </row>
    <row r="15">
      <c r="B15" t="s" s="1">
        <v>162</v>
      </c>
      <c r="C15" s="51">
        <f>YEAR(DATE(2030,12,31))-YEAR(DATE(2025,12,31))</f>
        <v>5</v>
      </c>
      <c r="D15" s="10"/>
      <c r="E15" s="10"/>
      <c r="F15" s="10"/>
      <c r="G15" s="10"/>
      <c r="H15" s="10"/>
      <c r="I15" s="1"/>
      <c r="J15" s="5"/>
    </row>
    <row r="16">
      <c r="B16" s="1"/>
      <c r="C16" s="10"/>
      <c r="D16" s="10"/>
      <c r="E16" s="10"/>
      <c r="F16" s="10"/>
      <c r="G16" s="10"/>
      <c r="H16" s="10"/>
      <c r="I16" s="1"/>
      <c r="J16" s="5"/>
    </row>
    <row r="17">
      <c r="B17" t="s" s="84">
        <v>163</v>
      </c>
      <c r="C17" s="85"/>
      <c r="D17" s="85"/>
      <c r="E17" s="85"/>
      <c r="F17" s="85"/>
      <c r="G17" s="85"/>
      <c r="H17" s="85"/>
      <c r="I17" s="84"/>
      <c r="J17" s="83"/>
      <c r="K17" s="83"/>
    </row>
    <row r="18">
      <c r="B18" t="s" s="66">
        <v>190</v>
      </c>
      <c r="C18" s="21">
        <f>(C13/C10)^(1/C15)-1</f>
        <v>0.16439203664670132</v>
      </c>
      <c r="D18" s="82"/>
      <c r="E18" s="82"/>
      <c r="F18" s="82"/>
      <c r="G18" s="82"/>
      <c r="H18" s="82"/>
      <c r="I18" s="82"/>
      <c r="K18" t="s" s="5">
        <v>192</v>
      </c>
    </row>
    <row r="19">
      <c r="B19" t="s">
        <v>323</v>
      </c>
      <c r="C19" s="93">
        <f>'ARR Bridge'!G13</f>
        <v>22.297880000000077</v>
      </c>
      <c r="D19" s="82"/>
      <c r="E19" s="82"/>
      <c r="F19" s="82"/>
      <c r="G19" s="82"/>
      <c r="H19" s="82"/>
      <c r="I19" s="82"/>
      <c r="K19" s="5"/>
    </row>
    <row r="20">
      <c r="B20" t="s">
        <v>374</v>
      </c>
      <c r="C20" s="71">
        <f>C19/C10</f>
        <v>0.026514729559718606</v>
      </c>
      <c r="D20" s="82"/>
      <c r="E20" s="82"/>
      <c r="F20" s="82"/>
      <c r="G20" s="82"/>
      <c r="H20" s="82"/>
      <c r="I20" s="82"/>
      <c r="K20" t="s" s="5">
        <v>392</v>
      </c>
    </row>
    <row r="21">
      <c r="B21" t="s" s="66">
        <v>375</v>
      </c>
      <c r="C21" s="90">
        <f>C46</f>
        <v>1.1444835535900837</v>
      </c>
      <c r="D21" s="82"/>
      <c r="E21" s="82"/>
      <c r="F21" s="82"/>
      <c r="G21" s="82"/>
      <c r="H21" s="82"/>
      <c r="I21" s="82"/>
      <c r="K21" t="s" s="5">
        <v>393</v>
      </c>
    </row>
    <row r="22">
      <c r="B22" t="s">
        <v>326</v>
      </c>
      <c r="C22" s="51">
        <f>COUNTIF(Quarterly!C23:F28,"&gt;="&amp;C21)</f>
        <v>1</v>
      </c>
      <c r="D22" s="82"/>
      <c r="E22" s="82"/>
      <c r="F22" s="82"/>
      <c r="G22" s="82"/>
      <c r="H22" s="82"/>
      <c r="I22" s="82"/>
      <c r="K22" s="5"/>
    </row>
    <row r="23">
      <c r="B23" t="s">
        <v>169</v>
      </c>
      <c r="C23" s="65">
        <f>COUNT(Quarterly!C23:F28)</f>
        <v>24</v>
      </c>
      <c r="D23" s="82"/>
      <c r="E23" s="82"/>
      <c r="F23" s="82"/>
      <c r="G23" s="82"/>
      <c r="H23" s="82"/>
      <c r="I23" s="82"/>
      <c r="K23" s="5"/>
    </row>
    <row r="24">
      <c r="B24" t="s" s="81">
        <v>327</v>
      </c>
      <c r="C24" s="94">
        <f>'ARR Bridge'!G24</f>
        <v>0.04695041732993085</v>
      </c>
      <c r="D24" s="82"/>
      <c r="E24" s="82"/>
      <c r="F24" s="82"/>
      <c r="G24" s="82"/>
      <c r="H24" s="82"/>
      <c r="I24" s="82"/>
      <c r="K24" t="s" s="5">
        <v>337</v>
      </c>
    </row>
    <row r="25">
      <c r="B25" t="s" s="81">
        <v>328</v>
      </c>
      <c r="C25" s="92">
        <f>1+C18-C24</f>
        <v>1.1174416193167704</v>
      </c>
      <c r="D25" s="82"/>
      <c r="E25" s="82"/>
      <c r="F25" s="82"/>
      <c r="G25" s="82"/>
      <c r="H25" s="82"/>
      <c r="I25" s="82"/>
      <c r="K25" s="5"/>
    </row>
    <row r="26">
      <c r="B26" t="s" s="81">
        <v>329</v>
      </c>
      <c r="C26" s="94">
        <f>AVERAGE('ARR Bridge'!D24:G24)</f>
        <v>0.08654502434634699</v>
      </c>
      <c r="D26" s="82"/>
      <c r="E26" s="82"/>
      <c r="F26" s="82"/>
      <c r="G26" s="82"/>
      <c r="H26" s="82"/>
      <c r="I26" s="82"/>
      <c r="K26" s="5"/>
    </row>
    <row r="27">
      <c r="B27" t="s" s="81">
        <v>330</v>
      </c>
      <c r="C27" s="92">
        <f>1+C18-C26</f>
        <v>1.0778470123003543</v>
      </c>
      <c r="D27" s="82"/>
      <c r="E27" s="82"/>
      <c r="F27" s="82"/>
      <c r="G27" s="82"/>
      <c r="H27" s="82"/>
      <c r="I27" s="82"/>
      <c r="K27" s="5"/>
    </row>
    <row r="28">
      <c r="C28" s="82"/>
      <c r="D28" s="82"/>
      <c r="E28" s="82"/>
      <c r="F28" s="82"/>
      <c r="G28" s="82"/>
      <c r="H28" s="82"/>
      <c r="I28" s="82"/>
      <c r="K28" s="5"/>
    </row>
    <row r="29">
      <c r="B29" t="s" s="6">
        <v>331</v>
      </c>
      <c r="C29" s="14"/>
      <c r="D29" s="14"/>
      <c r="E29" s="14"/>
      <c r="F29" s="14"/>
      <c r="G29" s="14"/>
      <c r="H29" s="14"/>
      <c r="I29" s="14"/>
      <c r="K29" s="5"/>
    </row>
    <row r="30">
      <c r="B30" t="s" s="66">
        <v>332</v>
      </c>
      <c r="C30" t="s" s="87">
        <v>179</v>
      </c>
      <c r="D30" s="99">
        <f>C19</f>
        <v>22.297880000000077</v>
      </c>
      <c r="E30" s="88">
        <f>C24</f>
        <v>0.04695041732993085</v>
      </c>
      <c r="F30" s="89">
        <f>C26</f>
        <v>0.08654502434634699</v>
      </c>
      <c r="G30" t="s" s="87">
        <v>333</v>
      </c>
      <c r="H30" t="s" s="87">
        <v>334</v>
      </c>
      <c r="I30" t="s" s="87">
        <v>335</v>
      </c>
      <c r="K30" t="s" s="5">
        <v>394</v>
      </c>
    </row>
    <row r="31">
      <c r="B31" t="s">
        <v>172</v>
      </c>
      <c r="C31" s="95">
        <f>Quarterly!C48</f>
        <v>1.08</v>
      </c>
      <c r="D31" s="21">
        <f>(($C$10*$C31^$C$15+$C$19*($C31^$C$15-1)/($C31-1))/$C$10)^(1/$C$15)-1</f>
        <v>0.10195593256883217</v>
      </c>
      <c r="E31" s="24">
        <f>$C31-1+E$30</f>
        <v>0.12695041732993093</v>
      </c>
      <c r="F31" s="24">
        <f>$C31-1+F$30</f>
        <v>0.16654502434634705</v>
      </c>
      <c r="G31" s="91">
        <f>D31-$C$18</f>
        <v>-0.06243610407786915</v>
      </c>
      <c r="H31" s="52">
        <f>E31-$C$18</f>
        <v>-0.0374416193167704</v>
      </c>
      <c r="I31" s="52">
        <f>F31-$C$18</f>
        <v>0.0021529876996457253</v>
      </c>
      <c r="K31" t="s" s="5">
        <v>41</v>
      </c>
    </row>
    <row r="32">
      <c r="B32" t="s">
        <v>173</v>
      </c>
      <c r="C32" s="95">
        <f>Quarterly!F28</f>
        <v>1.09</v>
      </c>
      <c r="D32" s="21">
        <f>(($C$10*$C32^$C$15+$C$19*($C32^$C$15-1)/($C32-1))/$C$10)^(1/$C$15)-1</f>
        <v>0.11160905880826899</v>
      </c>
      <c r="E32" s="24">
        <f>$C32-1+E$30</f>
        <v>0.13695041732993093</v>
      </c>
      <c r="F32" s="24">
        <f>$C32-1+F$30</f>
        <v>0.17654502434634706</v>
      </c>
      <c r="G32" s="91">
        <f>D32-$C$18</f>
        <v>-0.05278297783843233</v>
      </c>
      <c r="H32" s="52">
        <f>E32-$C$18</f>
        <v>-0.027441619316770388</v>
      </c>
      <c r="I32" s="52">
        <f>F32-$C$18</f>
        <v>0.012152987699645734</v>
      </c>
      <c r="K32" t="s" s="5">
        <v>36</v>
      </c>
    </row>
    <row r="33">
      <c r="B33" t="s">
        <v>174</v>
      </c>
      <c r="C33" s="95">
        <f>Quarterly!F31</f>
        <v>1.13</v>
      </c>
      <c r="D33" s="21">
        <f>(($C$10*$C33^$C$15+$C$19*($C33^$C$15-1)/($C33-1))/$C$10)^(1/$C$15)-1</f>
        <v>0.15033149598326</v>
      </c>
      <c r="E33" s="24">
        <f>$C33-1+E$30</f>
        <v>0.17695041732993075</v>
      </c>
      <c r="F33" s="24">
        <f>$C33-1+F$30</f>
        <v>0.21654502434634687</v>
      </c>
      <c r="G33" s="91">
        <f>D33-$C$18</f>
        <v>-0.014060540663441312</v>
      </c>
      <c r="H33" s="52">
        <f>E33-$C$18</f>
        <v>0.012558380683229425</v>
      </c>
      <c r="I33" s="52">
        <f>F33-$C$18</f>
        <v>0.05215298769964555</v>
      </c>
      <c r="K33" t="s" s="5">
        <v>36</v>
      </c>
    </row>
    <row r="34">
      <c r="B34" t="s">
        <v>175</v>
      </c>
      <c r="C34" s="96">
        <v>1.15</v>
      </c>
      <c r="D34" s="21">
        <f>(($C$10*$C34^$C$15+$C$19*($C34^$C$15-1)/($C34-1))/$C$10)^(1/$C$15)-1</f>
        <v>0.16975244891572872</v>
      </c>
      <c r="E34" s="24">
        <f>$C34-1+E$30</f>
        <v>0.19695041732993077</v>
      </c>
      <c r="F34" s="24">
        <f>$C34-1+F$30</f>
        <v>0.2365450243463469</v>
      </c>
      <c r="G34" s="91">
        <f>D34-$C$18</f>
        <v>0.0053604122690273925</v>
      </c>
      <c r="H34" s="52">
        <f>E34-$C$18</f>
        <v>0.03255838068322944</v>
      </c>
      <c r="I34" s="52">
        <f>F34-$C$18</f>
        <v>0.07215298769964557</v>
      </c>
      <c r="K34" t="s" s="5">
        <v>37</v>
      </c>
    </row>
    <row r="35">
      <c r="B35" t="s">
        <v>176</v>
      </c>
      <c r="C35" s="95">
        <f>Quarterly!F27</f>
        <v>1.16</v>
      </c>
      <c r="D35" s="21">
        <f>(($C$10*$C35^$C$15+$C$19*($C35^$C$15-1)/($C35-1))/$C$10)^(1/$C$15)-1</f>
        <v>0.17947645194990502</v>
      </c>
      <c r="E35" s="24">
        <f>$C35-1+E$30</f>
        <v>0.20695041732993077</v>
      </c>
      <c r="F35" s="24">
        <f>$C35-1+F$30</f>
        <v>0.2465450243463469</v>
      </c>
      <c r="G35" s="91">
        <f>D35-$C$18</f>
        <v>0.015084415303203702</v>
      </c>
      <c r="H35" s="52">
        <f>E35-$C$18</f>
        <v>0.04255838068322945</v>
      </c>
      <c r="I35" s="52">
        <f>F35-$C$18</f>
        <v>0.08215298769964557</v>
      </c>
      <c r="K35" t="s" s="5">
        <v>35</v>
      </c>
    </row>
    <row r="37">
      <c r="B37" t="s" s="6">
        <v>376</v>
      </c>
      <c r="C37" s="6"/>
      <c r="D37" s="6"/>
      <c r="E37" s="6"/>
      <c r="F37" s="6"/>
      <c r="G37" s="6"/>
      <c r="H37" s="6"/>
      <c r="I37" s="6"/>
    </row>
    <row r="38">
      <c r="B38" t="s">
        <v>377</v>
      </c>
      <c r="C38" s="86">
        <f>C10*(1+C18)^C15</f>
        <v>1800.0000000000007</v>
      </c>
      <c r="D38" s="82"/>
      <c r="E38" s="82"/>
      <c r="F38" s="82"/>
      <c r="G38" s="82"/>
      <c r="H38" s="82"/>
    </row>
    <row r="39">
      <c r="B39" t="s">
        <v>378</v>
      </c>
      <c r="C39" t="s" s="101">
        <v>179</v>
      </c>
      <c r="D39" t="s" s="101">
        <v>390</v>
      </c>
      <c r="E39" t="s" s="101">
        <v>391</v>
      </c>
      <c r="F39" s="82"/>
      <c r="G39" s="82"/>
      <c r="H39" s="82"/>
    </row>
    <row r="40">
      <c r="B40" t="s">
        <v>379</v>
      </c>
      <c r="C40" s="102">
        <f>1+C18-C20</f>
        <v>1.1378773070869828</v>
      </c>
      <c r="D40" s="34">
        <f>$C$10*C40^$C$15+$C$19*(C40^$C$15-1)/(C40-1)-$C$38</f>
        <v>-49.04605883784984</v>
      </c>
      <c r="E40" s="86">
        <f>$C$15*$C$10*C40^($C$15-1)+$C$19*(($C$15*C40^($C$15-1)*(C40-1))-(C40^$C$15-1))/(C40-1)^2</f>
        <v>7340.068218077701</v>
      </c>
      <c r="F40" s="82"/>
      <c r="G40" s="82"/>
      <c r="H40" s="82"/>
    </row>
    <row r="41">
      <c r="B41" t="s">
        <v>380</v>
      </c>
      <c r="C41" s="102">
        <f>C40-D40/E40</f>
        <v>1.144559269349548</v>
      </c>
      <c r="D41" s="34">
        <f>$C$10*C41^$C$15+$C$19*(C41^$C$15-1)/(C41-1)-$C$38</f>
        <v>0.5686086565306141</v>
      </c>
      <c r="E41" s="86">
        <f>$C$15*$C$10*C41^($C$15-1)+$C$19*(($C$15*C41^($C$15-1)*(C41-1))-(C41^$C$15-1))/(C41-1)^2</f>
        <v>7510.754892245497</v>
      </c>
      <c r="F41" s="82"/>
      <c r="G41" s="82"/>
      <c r="H41" s="82"/>
    </row>
    <row r="42">
      <c r="B42" t="s">
        <v>381</v>
      </c>
      <c r="C42" s="102">
        <f>C41-D41/E41</f>
        <v>1.1444835634232213</v>
      </c>
      <c r="D42" s="34">
        <f>$C$10*C42^$C$15+$C$19*(C42^$C$15-1)/(C42-1)-$C$38</f>
        <v>0.00007383510728686815</v>
      </c>
      <c r="E42" s="86">
        <f>$C$15*$C$10*C42^($C$15-1)+$C$19*(($C$15*C42^($C$15-1)*(C42-1))-(C42^$C$15-1))/(C42-1)^2</f>
        <v>7508.804379417103</v>
      </c>
      <c r="F42" s="82"/>
      <c r="G42" s="82"/>
      <c r="H42" s="82"/>
    </row>
    <row r="43">
      <c r="B43" t="s">
        <v>382</v>
      </c>
      <c r="C43" s="102">
        <f>C42-D42/E42</f>
        <v>1.1444835535900837</v>
      </c>
      <c r="D43" s="34">
        <f>$C$10*C43^$C$15+$C$19*(C43^$C$15-1)/(C43-1)-$C$38</f>
        <v>0</v>
      </c>
      <c r="E43" s="86">
        <f>$C$15*$C$10*C43^($C$15-1)+$C$19*(($C$15*C43^($C$15-1)*(C43-1))-(C43^$C$15-1))/(C43-1)^2</f>
        <v>7508.804126097735</v>
      </c>
      <c r="F43" s="82"/>
      <c r="G43" s="82"/>
      <c r="H43" s="82"/>
    </row>
    <row r="44">
      <c r="B44" t="s">
        <v>383</v>
      </c>
      <c r="C44" s="102">
        <f>C43-D43/E43</f>
        <v>1.1444835535900837</v>
      </c>
      <c r="D44" s="34">
        <f>$C$10*C44^$C$15+$C$19*(C44^$C$15-1)/(C44-1)-$C$38</f>
        <v>0</v>
      </c>
      <c r="E44" s="86">
        <f>$C$15*$C$10*C44^($C$15-1)+$C$19*(($C$15*C44^($C$15-1)*(C44-1))-(C44^$C$15-1))/(C44-1)^2</f>
        <v>7508.804126097735</v>
      </c>
      <c r="F44" s="82"/>
      <c r="G44" s="82"/>
      <c r="H44" s="82"/>
    </row>
    <row r="45">
      <c r="B45" t="s">
        <v>384</v>
      </c>
      <c r="C45" s="102">
        <f>C44-D44/E44</f>
        <v>1.1444835535900837</v>
      </c>
      <c r="D45" s="34">
        <f>$C$10*C45^$C$15+$C$19*(C45^$C$15-1)/(C45-1)-$C$38</f>
        <v>0</v>
      </c>
      <c r="E45" s="86">
        <f>$C$15*$C$10*C45^($C$15-1)+$C$19*(($C$15*C45^($C$15-1)*(C45-1))-(C45^$C$15-1))/(C45-1)^2</f>
        <v>7508.804126097735</v>
      </c>
      <c r="F45" s="82"/>
      <c r="G45" s="82"/>
      <c r="H45" s="82"/>
    </row>
    <row r="46">
      <c r="B46" t="s" s="72">
        <v>385</v>
      </c>
      <c r="C46" s="103">
        <f>C45</f>
        <v>1.1444835535900837</v>
      </c>
      <c r="D46" s="82"/>
      <c r="E46" s="82"/>
      <c r="F46" s="82"/>
      <c r="G46" s="82"/>
      <c r="H46" s="82"/>
    </row>
    <row r="47">
      <c r="C47" s="82"/>
      <c r="D47" s="82"/>
      <c r="E47" s="82"/>
      <c r="F47" s="82"/>
      <c r="G47" s="82"/>
      <c r="H47" s="82"/>
    </row>
    <row r="48">
      <c r="B48" t="s" s="66">
        <v>2</v>
      </c>
      <c r="C48" s="46">
        <f>DATE(2025,12,31)</f>
        <v>46022</v>
      </c>
      <c r="D48" s="100">
        <f>DATE(2026,12,31)</f>
        <v>46387</v>
      </c>
      <c r="E48" s="100">
        <f>DATE(2027,12,31)</f>
        <v>46752</v>
      </c>
      <c r="F48" s="100">
        <f>DATE(2028,12,31)</f>
        <v>47118</v>
      </c>
      <c r="G48" s="100">
        <f>DATE(2029,12,31)</f>
        <v>47483</v>
      </c>
      <c r="H48" s="100">
        <f>DATE(2030,12,31)</f>
        <v>47848</v>
      </c>
    </row>
    <row r="49">
      <c r="B49" t="s" s="66">
        <v>386</v>
      </c>
      <c r="C49" s="20">
        <f>C10</f>
        <v>840.962</v>
      </c>
      <c r="D49" s="20">
        <f>C49*$C$46+D50</f>
        <v>984.765058194224</v>
      </c>
      <c r="E49" s="20">
        <f>D49*$C$46+E50</f>
        <v>1149.3452932534713</v>
      </c>
      <c r="F49" s="20">
        <f>E49*$C$46+F50</f>
        <v>1337.7046655247698</v>
      </c>
      <c r="G49" s="20">
        <f>F49*$C$46+G50</f>
        <v>1553.278869253823</v>
      </c>
      <c r="H49" s="20">
        <f>G49*$C$46+H50</f>
        <v>1800.0000000000023</v>
      </c>
    </row>
    <row r="50">
      <c r="B50" t="s">
        <v>387</v>
      </c>
      <c r="C50" s="33"/>
      <c r="D50" s="33">
        <f>$C$19</f>
        <v>22.297880000000077</v>
      </c>
      <c r="E50" s="33">
        <f>$C$19</f>
        <v>22.297880000000077</v>
      </c>
      <c r="F50" s="33">
        <f>$C$19</f>
        <v>22.297880000000077</v>
      </c>
      <c r="G50" s="33">
        <f>$C$19</f>
        <v>22.297880000000077</v>
      </c>
      <c r="H50" s="33">
        <f>$C$19</f>
        <v>22.297880000000077</v>
      </c>
    </row>
    <row r="51">
      <c r="B51" t="s" s="81">
        <v>388</v>
      </c>
      <c r="C51" s="104"/>
      <c r="D51" s="92">
        <f>D49/C49-1</f>
        <v>0.17099828314980225</v>
      </c>
      <c r="E51" s="92">
        <f>E49/D49-1</f>
        <v>0.16712639597615309</v>
      </c>
      <c r="F51" s="92">
        <f>F49/E49-1</f>
        <v>0.16388405936575112</v>
      </c>
      <c r="G51" s="92">
        <f>G49/F49-1</f>
        <v>0.16115231506984795</v>
      </c>
      <c r="H51" s="92">
        <f>H49/G49-1</f>
        <v>0.15883891529709748</v>
      </c>
    </row>
    <row r="52">
      <c r="B52" t="s" s="81">
        <v>389</v>
      </c>
      <c r="C52" s="105"/>
      <c r="D52" s="105"/>
      <c r="E52" s="105"/>
      <c r="F52" s="105"/>
      <c r="G52" s="105"/>
      <c r="H52" s="105">
        <f>H49-C38</f>
        <v>0</v>
      </c>
    </row>
  </sheetData>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1"/>
  <sheetViews>
    <sheetView showGridLines="0" workbookViewId="0">
      <selection activeCell="A1" sqref="A1"/>
    </sheetView>
  </sheetViews>
  <cols>
    <col min="1" max="1" width="2.21875" customWidth="1"/>
    <col min="2" max="2" width="32.359375" customWidth="1"/>
    <col min="3" max="3" width="79.9296875" customWidth="1"/>
    <col min="4" max="4" width="39.9296875" customWidth="1"/>
    <col min="5" max="5" width="11.359375" customWidth="1"/>
    <col min="6" max="6" width="62.7890625" customWidth="1"/>
  </cols>
  <sheetData>
    <row r="2">
      <c r="B2" t="s" s="3">
        <v>193</v>
      </c>
      <c r="C2" s="1"/>
      <c r="D2" s="1"/>
      <c r="E2" s="1"/>
      <c r="F2" s="1"/>
    </row>
    <row r="3">
      <c r="B3" t="s" s="5">
        <v>194</v>
      </c>
      <c r="C3" s="1"/>
      <c r="D3" s="1"/>
      <c r="E3" s="1"/>
      <c r="F3" s="1"/>
    </row>
    <row r="4">
      <c r="B4" s="1"/>
      <c r="C4" s="1"/>
      <c r="D4" s="1"/>
      <c r="E4" s="1"/>
      <c r="F4" s="1"/>
    </row>
    <row r="5">
      <c r="B5" t="s" s="6">
        <v>195</v>
      </c>
      <c r="C5" s="6"/>
      <c r="D5" s="6"/>
      <c r="E5" s="6"/>
      <c r="F5" s="6"/>
    </row>
    <row r="6">
      <c r="B6" t="s" s="53">
        <v>196</v>
      </c>
      <c r="C6" t="s" s="53">
        <v>219</v>
      </c>
      <c r="D6" t="s" s="53">
        <v>241</v>
      </c>
      <c r="E6" s="53"/>
      <c r="F6" t="s" s="53">
        <v>254</v>
      </c>
    </row>
    <row r="7" ht="38.25" customHeight="1">
      <c r="B7" t="s" s="58">
        <v>197</v>
      </c>
      <c r="C7" t="s" s="54">
        <v>220</v>
      </c>
      <c r="D7" t="s" s="54">
        <v>242</v>
      </c>
      <c r="E7" s="54"/>
      <c r="F7" t="s" s="54">
        <v>255</v>
      </c>
    </row>
    <row r="8" ht="38.25" customHeight="1">
      <c r="B8" t="s" s="58">
        <v>198</v>
      </c>
      <c r="C8" t="s" s="54">
        <v>221</v>
      </c>
      <c r="D8" t="s" s="54">
        <v>243</v>
      </c>
      <c r="E8" s="54"/>
      <c r="F8" t="s" s="54">
        <v>256</v>
      </c>
    </row>
    <row r="9" ht="25.5" customHeight="1">
      <c r="B9" t="s" s="58">
        <v>199</v>
      </c>
      <c r="C9" t="s" s="54">
        <v>222</v>
      </c>
      <c r="D9" t="s" s="54">
        <v>33</v>
      </c>
      <c r="E9" s="54"/>
      <c r="F9" t="s" s="54">
        <v>257</v>
      </c>
    </row>
    <row r="10" ht="25.5" customHeight="1">
      <c r="B10" t="s" s="58">
        <v>200</v>
      </c>
      <c r="C10" t="s" s="54">
        <v>223</v>
      </c>
      <c r="D10" t="s" s="54">
        <v>33</v>
      </c>
      <c r="E10" s="54"/>
      <c r="F10" t="s" s="54">
        <v>258</v>
      </c>
    </row>
    <row r="11" ht="63.75" customHeight="1">
      <c r="B11" t="s" s="58">
        <v>201</v>
      </c>
      <c r="C11" t="s" s="54">
        <v>224</v>
      </c>
      <c r="D11" t="s" s="54">
        <v>33</v>
      </c>
      <c r="E11" s="54"/>
      <c r="F11" t="s" s="54">
        <v>259</v>
      </c>
    </row>
    <row r="12">
      <c r="B12" s="58"/>
      <c r="C12" s="54"/>
      <c r="D12" s="54"/>
      <c r="E12" s="54"/>
      <c r="F12" s="54"/>
    </row>
    <row r="13" ht="25.5" customHeight="1">
      <c r="B13" t="s" s="55">
        <v>202</v>
      </c>
      <c r="C13" s="55"/>
      <c r="D13" s="55"/>
      <c r="E13" s="55"/>
      <c r="F13" s="55"/>
    </row>
    <row r="14">
      <c r="B14" t="s" s="56">
        <v>203</v>
      </c>
      <c r="C14" t="s" s="56">
        <v>225</v>
      </c>
      <c r="D14" t="s" s="56">
        <v>241</v>
      </c>
      <c r="E14" t="s" s="56">
        <v>253</v>
      </c>
      <c r="F14" t="s" s="56">
        <v>260</v>
      </c>
    </row>
    <row r="15" ht="25.5" customHeight="1">
      <c r="B15" t="s" s="58">
        <v>204</v>
      </c>
      <c r="C15" t="s" s="54">
        <v>276</v>
      </c>
      <c r="D15" t="s" s="54">
        <v>31</v>
      </c>
      <c r="E15" s="59"/>
      <c r="F15" t="s" s="54">
        <v>261</v>
      </c>
    </row>
    <row r="16" ht="25.5" customHeight="1">
      <c r="B16" t="s" s="58">
        <v>205</v>
      </c>
      <c r="C16" t="s" s="57">
        <v>277</v>
      </c>
      <c r="D16" t="s" s="54">
        <v>244</v>
      </c>
      <c r="E16" s="60">
        <v>0.98</v>
      </c>
      <c r="F16" t="s" s="54">
        <v>262</v>
      </c>
    </row>
    <row r="17" ht="25.5" customHeight="1">
      <c r="B17" t="s" s="58">
        <v>206</v>
      </c>
      <c r="C17" t="s" s="54">
        <v>278</v>
      </c>
      <c r="D17" t="s" s="54">
        <v>245</v>
      </c>
      <c r="E17" s="61">
        <v>27</v>
      </c>
      <c r="F17" t="s" s="54">
        <v>263</v>
      </c>
    </row>
    <row r="18" ht="25.5" customHeight="1">
      <c r="B18" t="s" s="58">
        <v>207</v>
      </c>
      <c r="C18" t="s" s="57">
        <v>279</v>
      </c>
      <c r="D18" t="s" s="54">
        <v>246</v>
      </c>
      <c r="E18" s="62">
        <v>80</v>
      </c>
      <c r="F18" t="s" s="54">
        <v>264</v>
      </c>
    </row>
    <row r="19" ht="25.5" customHeight="1">
      <c r="B19" t="s" s="58">
        <v>208</v>
      </c>
      <c r="C19" t="s" s="54">
        <v>280</v>
      </c>
      <c r="D19" t="s" s="54">
        <v>247</v>
      </c>
      <c r="E19" s="62">
        <v>2500</v>
      </c>
      <c r="F19" t="s" s="54">
        <v>265</v>
      </c>
    </row>
    <row r="20" ht="25.5" customHeight="1">
      <c r="B20" t="s" s="58">
        <v>209</v>
      </c>
      <c r="C20" t="s" s="54">
        <v>231</v>
      </c>
      <c r="D20" t="s" s="54">
        <v>36</v>
      </c>
      <c r="E20" s="60">
        <v>1.13</v>
      </c>
      <c r="F20" t="s" s="54">
        <v>266</v>
      </c>
    </row>
    <row r="21" ht="25.5" customHeight="1">
      <c r="B21" t="s" s="58">
        <v>210</v>
      </c>
      <c r="C21" t="s" s="54">
        <v>232</v>
      </c>
      <c r="D21" t="s" s="54">
        <v>33</v>
      </c>
      <c r="E21" s="63">
        <v>282</v>
      </c>
      <c r="F21" t="s" s="54">
        <v>267</v>
      </c>
    </row>
    <row r="22" ht="25.5" customHeight="1">
      <c r="B22" t="s" s="58">
        <v>211</v>
      </c>
      <c r="C22" t="s" s="54">
        <v>233</v>
      </c>
      <c r="D22" t="s" s="54">
        <v>39</v>
      </c>
      <c r="E22" s="63">
        <v>534.4</v>
      </c>
      <c r="F22" t="s" s="54">
        <v>268</v>
      </c>
    </row>
    <row r="23" ht="25.5" customHeight="1">
      <c r="B23" t="s" s="58">
        <v>212</v>
      </c>
      <c r="C23" t="s" s="54">
        <v>234</v>
      </c>
      <c r="D23" t="s" s="54">
        <v>248</v>
      </c>
      <c r="E23" s="62">
        <v>7</v>
      </c>
      <c r="F23" t="s" s="54">
        <v>269</v>
      </c>
    </row>
    <row r="24" ht="25.5" customHeight="1">
      <c r="B24" t="s" s="58">
        <v>213</v>
      </c>
      <c r="C24" t="s" s="57">
        <v>281</v>
      </c>
      <c r="D24" t="s" s="54">
        <v>249</v>
      </c>
      <c r="E24" s="61">
        <v>60</v>
      </c>
      <c r="F24" t="s" s="54">
        <v>270</v>
      </c>
    </row>
    <row r="25" ht="25.5" customHeight="1">
      <c r="B25" t="s" s="58">
        <v>214</v>
      </c>
      <c r="C25" t="s" s="54">
        <v>282</v>
      </c>
      <c r="D25" t="s" s="54">
        <v>250</v>
      </c>
      <c r="E25" s="60">
        <v>1.08</v>
      </c>
      <c r="F25" t="s" s="54">
        <v>283</v>
      </c>
    </row>
    <row r="26" ht="25.5" customHeight="1">
      <c r="B26" t="s" s="58">
        <v>215</v>
      </c>
      <c r="C26" t="s" s="54">
        <v>237</v>
      </c>
      <c r="D26" t="s" s="54">
        <v>40</v>
      </c>
      <c r="E26" s="62">
        <v>807479</v>
      </c>
      <c r="F26" t="s" s="54">
        <v>272</v>
      </c>
    </row>
    <row r="27" ht="25.5" customHeight="1">
      <c r="B27" t="s" s="58">
        <v>216</v>
      </c>
      <c r="C27" t="s" s="54">
        <v>238</v>
      </c>
      <c r="D27" t="s" s="54">
        <v>251</v>
      </c>
      <c r="E27" s="60">
        <v>0.2</v>
      </c>
      <c r="F27" t="s" s="54">
        <v>273</v>
      </c>
    </row>
    <row r="28">
      <c r="B28" t="s" s="58">
        <v>217</v>
      </c>
      <c r="C28" t="s" s="54">
        <v>239</v>
      </c>
      <c r="D28" t="s" s="54">
        <v>41</v>
      </c>
      <c r="E28" s="60">
        <v>0.97</v>
      </c>
      <c r="F28" t="s" s="54">
        <v>274</v>
      </c>
    </row>
    <row r="29" ht="25.5" customHeight="1">
      <c r="B29" t="s" s="58">
        <v>218</v>
      </c>
      <c r="C29" t="s" s="54">
        <v>240</v>
      </c>
      <c r="D29" t="s" s="54">
        <v>252</v>
      </c>
      <c r="E29" s="64">
        <f>'ARR Bridge'!G28</f>
        <v>2.3746199999999997</v>
      </c>
      <c r="F29" t="s" s="54">
        <v>275</v>
      </c>
    </row>
    <row r="30" ht="25.5" customHeight="1">
      <c r="B30" t="s" s="98">
        <v>361</v>
      </c>
      <c r="C30" t="s" s="97">
        <v>363</v>
      </c>
      <c r="D30" t="s" s="97">
        <v>365</v>
      </c>
      <c r="E30" s="97"/>
      <c r="F30" t="s" s="97">
        <v>367</v>
      </c>
    </row>
    <row r="31" ht="25.5" customHeight="1">
      <c r="B31" t="s" s="98">
        <v>362</v>
      </c>
      <c r="C31" t="s" s="97">
        <v>364</v>
      </c>
      <c r="D31" t="s" s="97">
        <v>366</v>
      </c>
      <c r="E31" s="97"/>
      <c r="F31" t="s" s="97">
        <v>395</v>
      </c>
    </row>
  </sheetData>
  <pageMargins left="0.7" right="0.7" top="0.75" bottom="0.75" header="0.3" footer="0.3"/>
  <legacyDrawing r:id="rId2"/>
</worksheet>
</file>

<file path=ccalc/calcState.xml><?xml version="1.0" encoding="utf-8"?>
<calcState xmlns="urn:twentyai:ccalc:calc-state" version="1" digest="b81110c00c7aa32513afc36ff2eedf83be3c0f2520dbe02515be632e4d39f37a"/>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2026-10-23T00:21:07Z</dcterms:created>
  <dcterms:modified xsi:type="dcterms:W3CDTF">2026-10-23T00:21:08Z</dcterms:modified>
  <cp:category/>
  <cp:contentStatus/>
</cp:coreProperties>
</file>