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Summary" sheetId="1" r:id="rId1"/>
    <sheet name="Inputs" sheetId="2" r:id="rId2"/>
    <sheet name="WACC" sheetId="3" r:id="rId3"/>
    <sheet name="Projections" sheetId="4" r:id="rId4"/>
    <sheet name="DCF" sheetId="5" r:id="rId5"/>
    <sheet name="Sensitivity" sheetId="6" r:id="rId6"/>
    <sheet name="Reverse DCF" sheetId="7" r:id="rId7"/>
    <sheet name="Banker Recon" sheetId="8" r:id="rId8"/>
  </sheets>
  <calcPr/>
</workbook>
</file>

<file path=xl/sharedStrings.xml><?xml version="1.0" encoding="utf-8"?>
<sst xmlns="http://schemas.openxmlformats.org/spreadsheetml/2006/main" count="399" uniqueCount="399">
  <si>
    <t>Clearwater Analytics (CWAN) – DCF Inputs</t>
  </si>
  <si>
    <t>$ in millions, except per share; shares in millions</t>
  </si>
  <si>
    <t>VALUATION DATE AND PRICES</t>
  </si>
  <si>
    <t>Valuation date (signing)</t>
  </si>
  <si>
    <t>Offer price ($)</t>
  </si>
  <si>
    <t>Unaffected price, 10-Nov-25 ($)</t>
  </si>
  <si>
    <t>Last close before signing, 19-Dec-25 ($)</t>
  </si>
  <si>
    <t>TSM share price, at offer ($)</t>
  </si>
  <si>
    <t>DILUTED SHARES (15-DEC-25 CAPITALIZATION)</t>
  </si>
  <si>
    <t>Class A shares</t>
  </si>
  <si>
    <t>Class B shares (paired OpCo units)</t>
  </si>
  <si>
    <t>RSUs</t>
  </si>
  <si>
    <t>PSUs, at maximum</t>
  </si>
  <si>
    <t>Options</t>
  </si>
  <si>
    <t>Options, weighted avg. strike ($)</t>
  </si>
  <si>
    <t>Committed SBC, Enfusion ($M)</t>
  </si>
  <si>
    <t>Option exercise proceeds ($M)</t>
  </si>
  <si>
    <t>Diluted shares, TSM at offer (mm)</t>
  </si>
  <si>
    <t>Diluted shares, TSM at unaffected (mm)</t>
  </si>
  <si>
    <t>NET DEBT (30-SEP-25)</t>
  </si>
  <si>
    <t>Notes payable, current principal</t>
  </si>
  <si>
    <t>Notes payable, non-current principal</t>
  </si>
  <si>
    <t>Total debt ($M)</t>
  </si>
  <si>
    <t>Cash and cash equivalents</t>
  </si>
  <si>
    <t>Net debt ($M)</t>
  </si>
  <si>
    <t>Notes payable, net carrying amount</t>
  </si>
  <si>
    <t>Unamortized debt issuance costs</t>
  </si>
  <si>
    <t>Total debt per balance sheet</t>
  </si>
  <si>
    <t>Difference</t>
  </si>
  <si>
    <t>Short-term investments (excluded)</t>
  </si>
  <si>
    <t>Non-controlling interests (Class B in diluted shares)</t>
  </si>
  <si>
    <t>TAX</t>
  </si>
  <si>
    <t>Cash tax rate</t>
  </si>
  <si>
    <t>DTA usage cap, % of taxable income</t>
  </si>
  <si>
    <t>DTA balance, 30-Sep-25 ($M)</t>
  </si>
  <si>
    <t>Other taxes ($M p.a.)</t>
  </si>
  <si>
    <t>TERMINAL VALUE</t>
  </si>
  <si>
    <t>Terminal method (headline)</t>
  </si>
  <si>
    <t>Perpetuity growth rate</t>
  </si>
  <si>
    <t>Long-run nominal GDP ceiling (2% real + 2% inflation target)</t>
  </si>
  <si>
    <t>Exit multiple, TEV / LTM Adj. EBITDA (x)</t>
  </si>
  <si>
    <t>Terminal-year D&amp;A, % of capex</t>
  </si>
  <si>
    <t>CASES AND CONVENTIONS</t>
  </si>
  <si>
    <t>SBC case in sensitivity grids</t>
  </si>
  <si>
    <t>SBC case index</t>
  </si>
  <si>
    <t>PJT case SBC ($M p.a.)</t>
  </si>
  <si>
    <t>Mid-year convention (1 = on)</t>
  </si>
  <si>
    <t>Lever start year (reverse DCF)</t>
  </si>
  <si>
    <t>Margin lever phase-in (years)</t>
  </si>
  <si>
    <t>MANAGEMENT TERMINAL-YEAR PROFILE (2035E GLIDE TARGET)</t>
  </si>
  <si>
    <t>Revenue growth</t>
  </si>
  <si>
    <t>Adj. EBITDA (pre-SBC) margin</t>
  </si>
  <si>
    <t>SBC ($M)</t>
  </si>
  <si>
    <t>Capex, % of revenue</t>
  </si>
  <si>
    <t>Depreciation, % of capex</t>
  </si>
  <si>
    <t>Capitalized contract costs, % of revenue</t>
  </si>
  <si>
    <t>Amortization, % of capitalized costs</t>
  </si>
  <si>
    <t>Change in NWC, % of revenue</t>
  </si>
  <si>
    <t>Perpetuity growth</t>
  </si>
  <si>
    <t>SBC as cash cost</t>
  </si>
  <si>
    <t>Merger Agreement, cover</t>
  </si>
  <si>
    <t>DEFM14A p.16</t>
  </si>
  <si>
    <t>DEFM14A p.49</t>
  </si>
  <si>
    <t>DEFM14A p.175</t>
  </si>
  <si>
    <t>Merger Agreement p.17</t>
  </si>
  <si>
    <t>PJT fairness deck p.14</t>
  </si>
  <si>
    <t>10-Q Q3'25 p.32</t>
  </si>
  <si>
    <t>10-Q Q3'25 p.9</t>
  </si>
  <si>
    <t>DEFM14A p.79</t>
  </si>
  <si>
    <t>PJT fairness deck p.15</t>
  </si>
  <si>
    <t>Assumption</t>
  </si>
  <si>
    <t>Assumption; house default, below GDP ceiling</t>
  </si>
  <si>
    <t>Peer median TEV / CY26E EBITDA, PJT deck p.24</t>
  </si>
  <si>
    <t>Assumption; capex = D&amp;A in terminal year</t>
  </si>
  <si>
    <t>PJT fairness deck p.28</t>
  </si>
  <si>
    <t>Assumption; mirrors PJT P&amp;L sensitivity (deck p.6)</t>
  </si>
  <si>
    <t>J.P. Morgan fairness deck p.6</t>
  </si>
  <si>
    <t>J.P. Morgan fairness deck p.9</t>
  </si>
  <si>
    <t>Clearwater Analytics (CWAN) – WACC</t>
  </si>
  <si>
    <t>Market data as of 19-Dec-25, last trading day before signing</t>
  </si>
  <si>
    <t>PEER BETAS AND MULTIPLES</t>
  </si>
  <si>
    <t>Company</t>
  </si>
  <si>
    <t>SS&amp;C Technologies</t>
  </si>
  <si>
    <t>Guidewire</t>
  </si>
  <si>
    <t>CCC Intelligent Solutions</t>
  </si>
  <si>
    <t>Q2 Holdings</t>
  </si>
  <si>
    <t>Intapp</t>
  </si>
  <si>
    <t>nCino</t>
  </si>
  <si>
    <t>Alkami Technology</t>
  </si>
  <si>
    <t>Veeva Systems</t>
  </si>
  <si>
    <t>Tyler Technologies</t>
  </si>
  <si>
    <t>Vertex</t>
  </si>
  <si>
    <t>Procore Technologies</t>
  </si>
  <si>
    <t>Median</t>
  </si>
  <si>
    <t>Mean</t>
  </si>
  <si>
    <t>COST OF EQUITY</t>
  </si>
  <si>
    <t>Unlevered beta, peer median</t>
  </si>
  <si>
    <t>Total debt (D)</t>
  </si>
  <si>
    <t>Equity value at unaffected price (E)</t>
  </si>
  <si>
    <t>Debt / equity</t>
  </si>
  <si>
    <t>Tax rate</t>
  </si>
  <si>
    <t>Relevered beta</t>
  </si>
  <si>
    <t>Risk-free rate, 20-yr UST, 19-Dec-25</t>
  </si>
  <si>
    <t>Equity risk premium, historical supply-side</t>
  </si>
  <si>
    <t>Cost of equity</t>
  </si>
  <si>
    <t>COST OF DEBT (2025 TERM LOAN)</t>
  </si>
  <si>
    <t>Term loan margin over SOFR</t>
  </si>
  <si>
    <t>After-tax cost of debt, PJT (Term Loan, SOFR + 225)</t>
  </si>
  <si>
    <t>Implied Term SOFR, 19-Dec-25</t>
  </si>
  <si>
    <t>Pre-tax cost of debt (SOFR + margin)</t>
  </si>
  <si>
    <t>After-tax cost of debt</t>
  </si>
  <si>
    <t>Memo: weighted avg. borrowing rate, Q1'26</t>
  </si>
  <si>
    <t>WACC</t>
  </si>
  <si>
    <t>Equity / total capital</t>
  </si>
  <si>
    <t>Debt / total capital</t>
  </si>
  <si>
    <t>Memo: size premium, PJT (excluded)</t>
  </si>
  <si>
    <t>Memo: WACC incl. size premium</t>
  </si>
  <si>
    <t>Group</t>
  </si>
  <si>
    <t>Financial services vertical</t>
  </si>
  <si>
    <t>Other vertical software</t>
  </si>
  <si>
    <t>Levered beta</t>
  </si>
  <si>
    <t>Unlevered beta</t>
  </si>
  <si>
    <t>TEV / CY26E EBITDA (x)</t>
  </si>
  <si>
    <t>PJT fairness deck p.31 (beta, D/E); p.24 (multiple)</t>
  </si>
  <si>
    <t>PJT fairness deck p.32</t>
  </si>
  <si>
    <t>10-Q Q1'26 p.44</t>
  </si>
  <si>
    <t>Clearwater Analytics (CWAN) – Management Projections</t>
  </si>
  <si>
    <t>$ in millions; Financial Forecasts (DEFM14A) and management extrapolations 2031E-32E (banker exhibits)</t>
  </si>
  <si>
    <t>MANAGEMENT PROJECTIONS</t>
  </si>
  <si>
    <t>Revenue ($M)</t>
  </si>
  <si>
    <t>Adj. EBITDA (pre-SBC) ($M)</t>
  </si>
  <si>
    <t>(−) SBC</t>
  </si>
  <si>
    <t>(−) Depreciation (P&amp;E)</t>
  </si>
  <si>
    <t>(+) Amortization of contract acquisition costs</t>
  </si>
  <si>
    <t>(−) Capex</t>
  </si>
  <si>
    <t>(−) Change in NWC, incl. capitalized contract costs</t>
  </si>
  <si>
    <t>Memo: capitalized contract acquisition costs</t>
  </si>
  <si>
    <t>Memo: tax attributes used (DTA)</t>
  </si>
  <si>
    <t>Adj. EBIT (post-SBC), reported ($M)</t>
  </si>
  <si>
    <t>REPORTED CASH FLOW MEASURES</t>
  </si>
  <si>
    <t>NOPAT, incl. tax attributes</t>
  </si>
  <si>
    <t>NOPAT, excl. tax attributes</t>
  </si>
  <si>
    <t>Unlevered FCF, incl. tax attributes ($M)</t>
  </si>
  <si>
    <t>Unlevered FCF, excl. tax attributes ($M)</t>
  </si>
  <si>
    <t>Unlevered FCF, pre-SBC ($M)</t>
  </si>
  <si>
    <t>MODEL LESS REPORTED</t>
  </si>
  <si>
    <t>Adj. EBIT (post-SBC)</t>
  </si>
  <si>
    <t>Unlevered FCF, excl. tax attributes</t>
  </si>
  <si>
    <t>Unlevered FCF, incl. tax attributes</t>
  </si>
  <si>
    <t>Unlevered FCF, pre-SBC</t>
  </si>
  <si>
    <t>Tax attributes used</t>
  </si>
  <si>
    <t>Financial Forecasts</t>
  </si>
  <si>
    <t>Extrapolations</t>
  </si>
  <si>
    <t>DEFM14A pp. 68–69; 2031E-32E J.P. Morgan deck p.10</t>
  </si>
  <si>
    <t>DEFM14A p.79; 2031E-32E J.P. Morgan deck p.10</t>
  </si>
  <si>
    <t>PJT deck p.15; 2031E-32E J.P. Morgan deck p.10</t>
  </si>
  <si>
    <t>PJT deck p.15</t>
  </si>
  <si>
    <t>J.P. Morgan deck p.6</t>
  </si>
  <si>
    <t>DEFM14A pp. 68–69</t>
  </si>
  <si>
    <t>DEFM14A pp. 68–69; 2025E PJT deck p.15</t>
  </si>
  <si>
    <t>Clearwater Analytics (CWAN) – Discounted Cash Flow</t>
  </si>
  <si>
    <t>$ in millions, except per share; valuation date 20-Dec-25; mid-year convention</t>
  </si>
  <si>
    <t>KEY RATES</t>
  </si>
  <si>
    <t>DRIVERS</t>
  </si>
  <si>
    <t>Revenue growth lever</t>
  </si>
  <si>
    <t>Revenue growth, incl. lever</t>
  </si>
  <si>
    <t>Margin lever</t>
  </si>
  <si>
    <t>Adj. EBITDA margin, incl. lever</t>
  </si>
  <si>
    <t>OPERATING BUILD</t>
  </si>
  <si>
    <t>Capex</t>
  </si>
  <si>
    <t>Depreciation (P&amp;E)</t>
  </si>
  <si>
    <t>Amortization of contract acquisition costs</t>
  </si>
  <si>
    <t>Change in NWC, incl. capitalized contract costs</t>
  </si>
  <si>
    <t>UNLEVERED FCF – SBC AS CASH COST</t>
  </si>
  <si>
    <t>Adj. EBITDA (pre-SBC)</t>
  </si>
  <si>
    <t>Adj. EBIT (post-SBC) ($M)</t>
  </si>
  <si>
    <t>(−) Cash taxes on EBIT</t>
  </si>
  <si>
    <t>(−) Other taxes</t>
  </si>
  <si>
    <t>NOPAT, excl. tax attributes ($M)</t>
  </si>
  <si>
    <t>(+) Depreciation (P&amp;E)</t>
  </si>
  <si>
    <t>(−) Change in NWC</t>
  </si>
  <si>
    <t>Unlevered FCF – SBC as cash cost ($M)</t>
  </si>
  <si>
    <t>UNLEVERED FCF – SBC ADDED BACK (PROXY DEFINITION)</t>
  </si>
  <si>
    <t>Unlevered FCF – SBC as cash cost</t>
  </si>
  <si>
    <t>(+) SBC</t>
  </si>
  <si>
    <t>Unlevered FCF – SBC added back ($M)</t>
  </si>
  <si>
    <t>UNLEVERED FCF – PJT CASE, SBC AT $32MM</t>
  </si>
  <si>
    <t>(−) SBC at PJT level</t>
  </si>
  <si>
    <t>(+) D&amp;A and amortization, (−) capex and NWC</t>
  </si>
  <si>
    <t>Unlevered FCF – SBC at $32mm ($M)</t>
  </si>
  <si>
    <t>TAX ATTRIBUTES (DTA, 80% CAP)</t>
  </si>
  <si>
    <t>DTA, beginning – management SBC</t>
  </si>
  <si>
    <t>(−) DTA used</t>
  </si>
  <si>
    <t>DTA, ending</t>
  </si>
  <si>
    <t>DTA, beginning – SBC at $32mm</t>
  </si>
  <si>
    <t>DISCOUNTING – MID-YEAR CONVENTION</t>
  </si>
  <si>
    <t>Share of period after valuation date</t>
  </si>
  <si>
    <t>Years to period end</t>
  </si>
  <si>
    <t>Discount period (mid-year)</t>
  </si>
  <si>
    <t>Discount factor</t>
  </si>
  <si>
    <t>PV of UFCF – SBC added back</t>
  </si>
  <si>
    <t>PV of UFCF – SBC as cash cost</t>
  </si>
  <si>
    <t>PV of UFCF – SBC at $32mm</t>
  </si>
  <si>
    <t>PV of DTA used – management SBC</t>
  </si>
  <si>
    <t>PV of DTA used – SBC at $32mm</t>
  </si>
  <si>
    <t>VALUATION</t>
  </si>
  <si>
    <t>Terminal-year UFCF</t>
  </si>
  <si>
    <t>Terminal-year Adj. EBITDA (pre-SBC)</t>
  </si>
  <si>
    <t>Terminal value, end-2035E</t>
  </si>
  <si>
    <t>Discount factor, 2035E</t>
  </si>
  <si>
    <t>PV of terminal value</t>
  </si>
  <si>
    <t>Σ PV of UFCF, stub to 2035E</t>
  </si>
  <si>
    <t>Enterprise value ($M)</t>
  </si>
  <si>
    <t>(−) Total debt</t>
  </si>
  <si>
    <t>(+) Cash and cash equivalents</t>
  </si>
  <si>
    <t>(+) PV of tax attributes</t>
  </si>
  <si>
    <t>Equity value ($M)</t>
  </si>
  <si>
    <t>Diluted shares (mm)</t>
  </si>
  <si>
    <t>Implied value per share ($)</t>
  </si>
  <si>
    <t>Offer premium / (discount) to value</t>
  </si>
  <si>
    <t>Value vs. unaffected price</t>
  </si>
  <si>
    <t>Terminal value, % of EV</t>
  </si>
  <si>
    <t>Implied TEV / terminal-year EBITDA (x)</t>
  </si>
  <si>
    <t>Implied perpetuity growth</t>
  </si>
  <si>
    <t>Implied TEV / 2026E Adj. EBITDA (x)</t>
  </si>
  <si>
    <t>HEADLINE (TERMINAL METHOD TOGGLE)</t>
  </si>
  <si>
    <t>Selected SBC case, perpetuity ($ per share)</t>
  </si>
  <si>
    <t>Selected SBC case, exit multiple ($ per share)</t>
  </si>
  <si>
    <t>Stub</t>
  </si>
  <si>
    <t>Management forecast</t>
  </si>
  <si>
    <t>SBC added back</t>
  </si>
  <si>
    <t>Perpetuity</t>
  </si>
  <si>
    <t>Exit multiple</t>
  </si>
  <si>
    <t>SBC at $32mm (PJT)</t>
  </si>
  <si>
    <t>Extrapolation</t>
  </si>
  <si>
    <t>Glide to mgmt terminal profile</t>
  </si>
  <si>
    <t>Terminal</t>
  </si>
  <si>
    <t>TY</t>
  </si>
  <si>
    <t>Clearwater Analytics (CWAN) – Sensitivities</t>
  </si>
  <si>
    <t>Implied value per share ($); shifts feed the DCF and stay at 0</t>
  </si>
  <si>
    <t>SENSITIVITY SHIFTS (BASE = 0)</t>
  </si>
  <si>
    <t>WACC shift</t>
  </si>
  <si>
    <t>Perpetuity growth shift</t>
  </si>
  <si>
    <t>Exit multiple shift (x)</t>
  </si>
  <si>
    <t>Revenue growth lever, 2028E+ (pts p.a.)</t>
  </si>
  <si>
    <t>Adj. EBITDA margin lever, phased 2028E-30E (pts)</t>
  </si>
  <si>
    <t>WACC / perpetuity growth</t>
  </si>
  <si>
    <t>WACC / exit multiple (x)</t>
  </si>
  <si>
    <t>VALUE PER SHARE BY SBC CASE – PERPETUITY GROWTH</t>
  </si>
  <si>
    <t>REVERSE DCF SOLVER TABLES (HEADLINE TERMINAL METHOD)</t>
  </si>
  <si>
    <t>Adj. EBITDA margin lever (pts)</t>
  </si>
  <si>
    <t>Revenue growth lever (pts p.a.)</t>
  </si>
  <si>
    <t>Clearwater Analytics (CWAN) – Reverse DCF</t>
  </si>
  <si>
    <t>What the $24.55 offer requires, all other inputs at base</t>
  </si>
  <si>
    <t>TERMINAL VALUE REQUIRED</t>
  </si>
  <si>
    <t>Target value per share ($)</t>
  </si>
  <si>
    <t>Required equity value</t>
  </si>
  <si>
    <t>(+) Total debt</t>
  </si>
  <si>
    <t>(−) Cash and cash equivalents</t>
  </si>
  <si>
    <t>(−) PV of tax attributes</t>
  </si>
  <si>
    <t>Required enterprise value ($M)</t>
  </si>
  <si>
    <t>(−) Σ PV of UFCF, stub to 2035E</t>
  </si>
  <si>
    <t>Required PV of terminal value</t>
  </si>
  <si>
    <t>Required terminal value, end-2035E ($M)</t>
  </si>
  <si>
    <t>Base perpetuity growth</t>
  </si>
  <si>
    <t>Implied exit multiple, TEV / 2035E EBITDA (x)</t>
  </si>
  <si>
    <t>Base exit multiple (x)</t>
  </si>
  <si>
    <t>OPERATING LEVERS AND DISCOUNT RATE (HEADLINE METHOD)</t>
  </si>
  <si>
    <t>Adj. EBITDA margin uplift, phased in 2028E-30E (pts)</t>
  </si>
  <si>
    <t>Base 2030E Adj. EBITDA margin</t>
  </si>
  <si>
    <t>Required 2030E Adj. EBITDA margin</t>
  </si>
  <si>
    <t>Required 2035E Adj. EBITDA margin</t>
  </si>
  <si>
    <t>Revenue growth uplift, 2028E onward (pts p.a.)</t>
  </si>
  <si>
    <t>Base 2025E-30E revenue CAGR</t>
  </si>
  <si>
    <t>Required 2025E-30E revenue CAGR</t>
  </si>
  <si>
    <t>Required 2030E revenue ($M)</t>
  </si>
  <si>
    <t>Implied WACC</t>
  </si>
  <si>
    <t>Base WACC</t>
  </si>
  <si>
    <t>Clearwater Analytics (CWAN) – Banker DCF Reconciliation</t>
  </si>
  <si>
    <t>$ in millions, except per share; 5-year DCFs on the DEFM14A UFCF (excl. tax attributes)</t>
  </si>
  <si>
    <t>BANKER DCF REPLICATION</t>
  </si>
  <si>
    <t>Valuation date</t>
  </si>
  <si>
    <t>Terminal growth</t>
  </si>
  <si>
    <t>Grow terminal-year UFCF by g (1 = yes)</t>
  </si>
  <si>
    <t>Σ PV of UFCF, 2026E-30E</t>
  </si>
  <si>
    <t>Terminal value, end-2030E (Gordon)</t>
  </si>
  <si>
    <t>PV of terminal value (mid-year)</t>
  </si>
  <si>
    <t>(−) Net debt and other</t>
  </si>
  <si>
    <t>(+) PV of tax attributes, 2026E-32E</t>
  </si>
  <si>
    <t>Value per share ($)</t>
  </si>
  <si>
    <t>Reported value per share ($)</t>
  </si>
  <si>
    <t>Reported PV of tax attributes</t>
  </si>
  <si>
    <t>BRIDGE: PJT DCF TO THIS DCF (SBC AS CASH COST, PERPETUITY GROWTH)</t>
  </si>
  <si>
    <t>PJT reported value per share</t>
  </si>
  <si>
    <t>Replication rounding</t>
  </si>
  <si>
    <t>Extension to 2035E, valuation date, net debt and shares</t>
  </si>
  <si>
    <t>This DCF, value per share ($)</t>
  </si>
  <si>
    <t>BANKER SELECTED RANGES (DEFM14A)</t>
  </si>
  <si>
    <t>PJT 5-year DCF</t>
  </si>
  <si>
    <t>J.P. Morgan 5-year DCF</t>
  </si>
  <si>
    <t>PJT (deck p.26)</t>
  </si>
  <si>
    <t>Value low ($)</t>
  </si>
  <si>
    <t>J.P. Morgan (deck p.6)</t>
  </si>
  <si>
    <t>Value high ($)</t>
  </si>
  <si>
    <t>PJT basis, this WACC</t>
  </si>
  <si>
    <t>WACC low</t>
  </si>
  <si>
    <t>PJT basis, this WACC and g</t>
  </si>
  <si>
    <t>WACC high</t>
  </si>
  <si>
    <t>Growth low</t>
  </si>
  <si>
    <t>Growth high</t>
  </si>
  <si>
    <t>PJT deck p.26; J.P. Morgan deck p.6</t>
  </si>
  <si>
    <t>DEFM14A p.85-86</t>
  </si>
  <si>
    <t>DEFM14A p.95</t>
  </si>
  <si>
    <t>Clearwater Analytics (CWAN) – DCF at Signing</t>
  </si>
  <si>
    <t>Valuation date 20-Dec-25; $ per share unless noted; management Financial Forecasts (DEFM14A) extended to 2035E</t>
  </si>
  <si>
    <t>IMPLIED VALUE PER SHARE</t>
  </si>
  <si>
    <t>SBC added back (proxy definition)</t>
  </si>
  <si>
    <t>SBC at $32mm (PJT LBO case)</t>
  </si>
  <si>
    <t>PRICES</t>
  </si>
  <si>
    <t>Offer price</t>
  </si>
  <si>
    <t>Unaffected price, 10-Nov-25</t>
  </si>
  <si>
    <t>Last close before signing, 19-Dec-25</t>
  </si>
  <si>
    <t>KEY ASSUMPTIONS</t>
  </si>
  <si>
    <t>Exit multiple, TEV / 2035E Adj. EBITDA (x)</t>
  </si>
  <si>
    <t>Implied exit multiple at perpetuity growth, SBC as cash (x)</t>
  </si>
  <si>
    <t>Implied perpetuity growth at exit multiple, SBC as cash</t>
  </si>
  <si>
    <t>Net debt, 30-Sep-25 ($M)</t>
  </si>
  <si>
    <t>PV of tax attributes, management SBC ($M)</t>
  </si>
  <si>
    <t>REVERSE DCF – WHAT $24.55 REQUIRES</t>
  </si>
  <si>
    <t>Perpetuity growth after 2035E</t>
  </si>
  <si>
    <t>Exit multiple, TEV / 2035E EBITDA (x)</t>
  </si>
  <si>
    <t>Adj. EBITDA margin uplift, 2030E onward (pts)</t>
  </si>
  <si>
    <t>BANKER DCF RANGES (DEFM14A)</t>
  </si>
  <si>
    <t>Value low</t>
  </si>
  <si>
    <t>Value high</t>
  </si>
  <si>
    <t>Headline</t>
  </si>
  <si>
    <t>Offer prem. / (disc.)</t>
  </si>
  <si>
    <t>Headline vs. unaffected</t>
  </si>
  <si>
    <t>TEV / CY26E EBITDA</t>
  </si>
  <si>
    <t>Sum of PV of UFCF, stub to 2035E</t>
  </si>
  <si>
    <t>(−) Sum of PV of UFCF, stub to 2035E</t>
  </si>
  <si>
    <t>Sum of PV of UFCF, 2026E-30E</t>
  </si>
  <si>
    <t>[Company] – DCF</t>
  </si>
  <si>
    <t>$ per share unless noted; management projections extended to 2035E</t>
  </si>
  <si>
    <t>SBC added back (management definition)</t>
  </si>
  <si>
    <t>SBC at reduced level</t>
  </si>
  <si>
    <t>Unaffected price</t>
  </si>
  <si>
    <t>Last close before valuation date</t>
  </si>
  <si>
    <t>Net debt, latest balance sheet ($M)</t>
  </si>
  <si>
    <t>REVERSE DCF – WHAT THE OFFER PRICE REQUIRES</t>
  </si>
  <si>
    <t>BANKER DCF RANGES</t>
  </si>
  <si>
    <t>Banker A DCF</t>
  </si>
  <si>
    <t>Banker B DCF</t>
  </si>
  <si>
    <t>[Company] – DCF Inputs</t>
  </si>
  <si>
    <t>Unaffected price ($)</t>
  </si>
  <si>
    <t>Last close before valuation date ($)</t>
  </si>
  <si>
    <t>DILUTED SHARES (LATEST CAPITALIZATION)</t>
  </si>
  <si>
    <t>Class B / exchangeable shares</t>
  </si>
  <si>
    <t>Committed SBC settled in shares ($M)</t>
  </si>
  <si>
    <t>NET DEBT (LATEST BALANCE SHEET)</t>
  </si>
  <si>
    <t>Non-controlling interests (memo)</t>
  </si>
  <si>
    <t>DTA balance, latest balance sheet ($M)</t>
  </si>
  <si>
    <t>Reduced SBC case ($M p.a.)</t>
  </si>
  <si>
    <t>Peer median TEV / NTM EBITDA (WACC tab)</t>
  </si>
  <si>
    <t>[Company] – WACC</t>
  </si>
  <si>
    <t>Market data as of the valuation date</t>
  </si>
  <si>
    <t>Risk-free rate</t>
  </si>
  <si>
    <t>Equity risk premium</t>
  </si>
  <si>
    <t>COST OF DEBT (TERM LOAN)</t>
  </si>
  <si>
    <t>Term loan margin over base rate</t>
  </si>
  <si>
    <t>After-tax cost of debt, reference quote</t>
  </si>
  <si>
    <t>Implied base rate</t>
  </si>
  <si>
    <t>Pre-tax cost of debt (base rate + margin)</t>
  </si>
  <si>
    <t>Memo: weighted avg. borrowing rate</t>
  </si>
  <si>
    <t>Memo: size premium (excluded)</t>
  </si>
  <si>
    <t>TEV / NTM EBITDA</t>
  </si>
  <si>
    <t>[Company] – Management Projections</t>
  </si>
  <si>
    <t>$ in millions; management projections and extrapolations</t>
  </si>
  <si>
    <t>[Company] – Discounted Cash Flow</t>
  </si>
  <si>
    <t>$ in millions, except per share; valuation date per Inputs; mid-year convention</t>
  </si>
  <si>
    <t>UNLEVERED FCF – SBC ADDED BACK (MANAGEMENT DEFINITION)</t>
  </si>
  <si>
    <t>UNLEVERED FCF – REDUCED SBC CASE</t>
  </si>
  <si>
    <t>(−) SBC at reduced level</t>
  </si>
  <si>
    <t>Unlevered FCF – reduced SBC ($M)</t>
  </si>
  <si>
    <t>DTA, beginning – reduced SBC</t>
  </si>
  <si>
    <t>PV of UFCF – reduced SBC</t>
  </si>
  <si>
    <t>PV of DTA used – reduced SBC</t>
  </si>
  <si>
    <t>[Company] – Sensitivities</t>
  </si>
  <si>
    <t>[Company] – Reverse DCF</t>
  </si>
  <si>
    <t>What the offer price requires, all other inputs at base</t>
  </si>
  <si>
    <t>[Company] – Banker DCF Reconciliation</t>
  </si>
  <si>
    <t>$ in millions, except per share; 5-year DCFs on reported UFCF (excl. tax attributes)</t>
  </si>
  <si>
    <t>BRIDGE: BANKER A DCF TO THIS DCF (SBC AS CASH COST, PERPETUITY GROWTH)</t>
  </si>
  <si>
    <t>Banker A reported value per share</t>
  </si>
  <si>
    <t>BANKER SELECTED RANGES</t>
  </si>
  <si>
    <t>Banker A</t>
  </si>
  <si>
    <t>Banker B</t>
  </si>
  <si>
    <t>Banker A basis, this WACC</t>
  </si>
  <si>
    <t>Banker A basis, this WACC and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</si>
</sst>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$#,##0.00_);($#,##0.00)"/>
    <numFmt numFmtId="165" formatCode="#,##0.000"/>
    <numFmt numFmtId="166" formatCode="#,##0.0_);(#,##0.0);&quot;–&quot;_)"/>
    <numFmt numFmtId="167" formatCode="#,##0.0"/>
    <numFmt numFmtId="168" formatCode="0%_);(0%);&quot;–&quot;_)"/>
    <numFmt numFmtId="169" formatCode="0.0%_);(0.0%);&quot;–&quot;_)"/>
    <numFmt numFmtId="170" formatCode="0.0&quot;x&quot;_);(0.0&quot;x&quot;)"/>
    <numFmt numFmtId="171" formatCode="0.000"/>
    <numFmt numFmtId="172" formatCode="0.00%_);(0.00%);&quot;–&quot;_)"/>
    <numFmt numFmtId="173" formatCode="yyyy&quot;E&quot;"/>
    <numFmt numFmtId="174" formatCode="#,##0_);(#,##0);&quot;–&quot;_)"/>
    <numFmt numFmtId="175" formatCode=";;;"/>
  </numFmts>
  <fonts count="16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rgb="FF646464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i/>
      <sz val="10"/>
      <color rgb="FFFFFFFF"/>
      <name val="Arial"/>
      <family val="2"/>
    </font>
    <font>
      <b/>
      <i/>
      <sz val="10"/>
      <color rgb="FF646464"/>
      <name val="Arial"/>
      <family val="2"/>
    </font>
    <font>
      <sz val="10"/>
      <color rgb="FF0000FF"/>
      <name val="Arial"/>
      <family val="2"/>
    </font>
    <font>
      <sz val="10"/>
      <color rgb="FF008000"/>
      <name val="Arial"/>
      <family val="2"/>
    </font>
    <font>
      <b/>
      <u val="singleAccounting"/>
      <sz val="10"/>
      <color rgb="FF000000"/>
      <name val="Arial"/>
      <family val="2"/>
    </font>
    <font>
      <b/>
      <sz val="10"/>
      <color rgb="FF0000FF"/>
      <name val="Arial"/>
      <family val="2"/>
    </font>
    <font>
      <i/>
      <sz val="10"/>
      <color rgb="FF008000"/>
      <name val="Arial"/>
      <family val="2"/>
    </font>
    <font>
      <b/>
      <sz val="10"/>
      <color rgb="FF008000"/>
      <name val="Arial"/>
      <family val="2"/>
    </font>
    <font>
      <i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E0"/>
        <bgColor indexed="64"/>
      </patternFill>
    </fill>
  </fills>
  <borders count="6">
    <border>
      <left/>
      <right/>
      <top/>
      <bottom/>
      <diagonal/>
    </border>
    <border>
      <left/>
      <right/>
      <top style="thin"/>
      <bottom/>
      <diagonal/>
    </border>
    <border>
      <left/>
      <right/>
      <top/>
      <bottom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 applyAlignment="1" applyFont="1" applyFill="1"/>
  </cellStyleXfs>
  <cellXfs count="119">
    <xf xfId="0" borderId="0" fillId="0" fontId="0" numFmtId="0"/>
    <xf xfId="0" borderId="0" fillId="0" fontId="1" numFmtId="0" applyFont="1"/>
    <xf xfId="0" borderId="0" fillId="0" fontId="2" numFmtId="0" applyFont="1"/>
    <xf xfId="0" borderId="0" fillId="0" fontId="3" numFmtId="0" applyFont="1"/>
    <xf xfId="0" borderId="0" fillId="0" fontId="4" numFmtId="0" applyFont="1"/>
    <xf xfId="0" borderId="0" fillId="2" fontId="6" numFmtId="0" applyFont="1" applyFill="1"/>
    <xf xfId="0" borderId="0" fillId="0" fontId="0" numFmtId="15"/>
    <xf xfId="0" borderId="0" fillId="0" fontId="0" numFmtId="164"/>
    <xf xfId="0" borderId="0" fillId="0" fontId="0" numFmtId="166"/>
    <xf xfId="0" borderId="0" fillId="0" fontId="0" numFmtId="167"/>
    <xf xfId="0" borderId="0" fillId="0" fontId="0" numFmtId="169"/>
    <xf xfId="0" borderId="0" fillId="0" fontId="0" numFmtId="170"/>
    <xf xfId="0" borderId="0" fillId="0" fontId="0" numFmtId="1"/>
    <xf xfId="0" borderId="0" fillId="0" fontId="0" numFmtId="0" applyAlignment="1">
      <alignment horizontal="right"/>
    </xf>
    <xf xfId="0" borderId="1" fillId="0" fontId="1" numFmtId="0" applyFont="1"/>
    <xf xfId="0" borderId="1" fillId="0" fontId="1" numFmtId="167" applyFont="1"/>
    <xf xfId="0" borderId="1" fillId="0" fontId="1" numFmtId="166" applyFont="1"/>
    <xf xfId="0" borderId="0" fillId="0" fontId="0" numFmtId="0" applyAlignment="1">
      <alignment indent="1"/>
    </xf>
    <xf xfId="0" borderId="0" fillId="2" fontId="8" numFmtId="0" applyFont="1" applyFill="1"/>
    <xf xfId="0" borderId="0" fillId="0" fontId="9" numFmtId="15" applyFont="1"/>
    <xf xfId="0" borderId="0" fillId="0" fontId="9" numFmtId="164" applyFont="1"/>
    <xf xfId="0" borderId="0" fillId="0" fontId="9" numFmtId="165" applyFont="1"/>
    <xf xfId="0" borderId="0" fillId="0" fontId="9" numFmtId="166" applyFont="1"/>
    <xf xfId="0" borderId="0" fillId="0" fontId="9" numFmtId="168" applyFont="1"/>
    <xf xfId="0" borderId="0" fillId="0" fontId="9" numFmtId="169" applyFont="1"/>
    <xf xfId="0" borderId="0" fillId="0" fontId="10" numFmtId="170" applyFont="1"/>
    <xf xfId="0" borderId="0" fillId="3" fontId="0" numFmtId="0" applyAlignment="1" applyFill="1">
      <alignment horizontal="right"/>
    </xf>
    <xf xfId="0" borderId="0" fillId="3" fontId="9" numFmtId="169" applyFont="1" applyFill="1"/>
    <xf xfId="0" borderId="0" fillId="3" fontId="9" numFmtId="168" applyFont="1" applyFill="1"/>
    <xf xfId="0" borderId="0" fillId="3" fontId="9" numFmtId="1" applyFont="1" applyFill="1"/>
    <xf xfId="0" borderId="0" fillId="0" fontId="11" numFmtId="0" applyAlignment="1" applyFont="1">
      <alignment horizontal="center"/>
    </xf>
    <xf xfId="0" borderId="0" fillId="0" fontId="11" numFmtId="0" applyFont="1"/>
    <xf xfId="0" borderId="0" fillId="0" fontId="0" numFmtId="171"/>
    <xf xfId="0" borderId="0" fillId="0" fontId="1" numFmtId="169" applyFont="1"/>
    <xf xfId="0" borderId="0" fillId="0" fontId="1" numFmtId="170" applyFont="1"/>
    <xf xfId="0" borderId="1" fillId="0" fontId="1" numFmtId="169" applyFont="1"/>
    <xf xfId="0" borderId="1" fillId="0" fontId="1" numFmtId="171" applyFont="1"/>
    <xf xfId="0" borderId="1" fillId="0" fontId="1" numFmtId="170" applyFont="1"/>
    <xf xfId="0" borderId="0" fillId="0" fontId="3" numFmtId="169" applyFont="1"/>
    <xf xfId="0" borderId="0" fillId="0" fontId="3" numFmtId="171" applyFont="1"/>
    <xf xfId="0" borderId="0" fillId="0" fontId="3" numFmtId="170" applyFont="1"/>
    <xf xfId="0" borderId="0" fillId="0" fontId="0" numFmtId="172"/>
    <xf xfId="0" borderId="0" fillId="0" fontId="1" numFmtId="172" applyFont="1"/>
    <xf xfId="0" borderId="1" fillId="0" fontId="1" numFmtId="172" applyFont="1"/>
    <xf xfId="0" borderId="0" fillId="0" fontId="9" numFmtId="171" applyFont="1"/>
    <xf xfId="0" borderId="0" fillId="0" fontId="9" numFmtId="170" applyFont="1"/>
    <xf xfId="0" borderId="0" fillId="0" fontId="10" numFmtId="166" applyFont="1"/>
    <xf xfId="0" borderId="0" fillId="0" fontId="10" numFmtId="169" applyFont="1"/>
    <xf xfId="0" borderId="0" fillId="0" fontId="9" numFmtId="172" applyFont="1"/>
    <xf xfId="0" borderId="0" fillId="0" fontId="11" numFmtId="0" applyAlignment="1" applyFont="1">
      <alignment horizontal="centerContinuous"/>
    </xf>
    <xf xfId="0" borderId="0" fillId="0" fontId="11" numFmtId="173" applyAlignment="1" applyFont="1">
      <alignment horizontal="center"/>
    </xf>
    <xf xfId="0" borderId="0" fillId="0" fontId="0" numFmtId="174"/>
    <xf xfId="0" borderId="0" fillId="2" fontId="6" numFmtId="174" applyFont="1" applyFill="1"/>
    <xf xfId="0" borderId="0" fillId="0" fontId="1" numFmtId="174" applyFont="1"/>
    <xf xfId="0" borderId="0" fillId="0" fontId="12" numFmtId="174" applyFont="1"/>
    <xf xfId="0" borderId="0" fillId="0" fontId="9" numFmtId="174" applyFont="1"/>
    <xf xfId="0" borderId="2" fillId="0" fontId="11" numFmtId="173" applyAlignment="1" applyFont="1">
      <alignment horizontal="center"/>
    </xf>
    <xf xfId="0" borderId="1" fillId="0" fontId="1" numFmtId="174" applyFont="1"/>
    <xf xfId="0" borderId="0" fillId="0" fontId="0" numFmtId="2"/>
    <xf xfId="0" borderId="0" fillId="0" fontId="1" numFmtId="164" applyFont="1"/>
    <xf xfId="0" borderId="1" fillId="0" fontId="1" numFmtId="164" applyFont="1"/>
    <xf xfId="0" borderId="0" fillId="0" fontId="3" numFmtId="0" applyAlignment="1" applyFont="1">
      <alignment indent="1"/>
    </xf>
    <xf xfId="0" borderId="0" fillId="0" fontId="10" numFmtId="174" applyFont="1"/>
    <xf xfId="0" borderId="0" fillId="0" fontId="13" numFmtId="169" applyFont="1"/>
    <xf xfId="0" borderId="0" fillId="0" fontId="14" numFmtId="174" applyFont="1"/>
    <xf xfId="0" borderId="0" fillId="0" fontId="10" numFmtId="167" applyFont="1"/>
    <xf xfId="0" borderId="0" fillId="3" fontId="9" numFmtId="172" applyFont="1" applyFill="1"/>
    <xf xfId="0" borderId="0" fillId="3" fontId="9" numFmtId="170" applyFont="1" applyFill="1"/>
    <xf xfId="0" borderId="0" fillId="0" fontId="11" numFmtId="172" applyAlignment="1" applyFont="1">
      <alignment horizontal="center"/>
    </xf>
    <xf xfId="0" borderId="0" fillId="0" fontId="10" numFmtId="175" applyFont="1"/>
    <xf xfId="0" borderId="0" fillId="0" fontId="9" numFmtId="175" applyFont="1"/>
    <xf xfId="0" borderId="5" fillId="0" fontId="1" numFmtId="164" applyFont="1"/>
    <xf xfId="0" borderId="0" fillId="0" fontId="11" numFmtId="170" applyAlignment="1" applyFont="1">
      <alignment horizontal="center"/>
    </xf>
    <xf xfId="0" borderId="0" fillId="0" fontId="10" numFmtId="164" applyFont="1"/>
    <xf xfId="0" borderId="0" fillId="0" fontId="13" numFmtId="172" applyFont="1"/>
    <xf xfId="0" borderId="0" fillId="0" fontId="13" numFmtId="170" applyFont="1"/>
    <xf xfId="0" borderId="0" fillId="0" fontId="1" numFmtId="172" applyAlignment="1" applyFont="1">
      <alignment horizontal="right"/>
    </xf>
    <xf xfId="0" borderId="0" fillId="0" fontId="13" numFmtId="169" applyAlignment="1" applyFont="1">
      <alignment horizontal="right"/>
    </xf>
    <xf xfId="0" borderId="0" fillId="0" fontId="1" numFmtId="169" applyAlignment="1" applyFont="1">
      <alignment horizontal="right"/>
    </xf>
    <xf xfId="0" borderId="0" fillId="0" fontId="0" numFmtId="169" applyAlignment="1">
      <alignment horizontal="right"/>
    </xf>
    <xf xfId="0" borderId="0" fillId="0" fontId="3" numFmtId="169" applyAlignment="1" applyFont="1">
      <alignment horizontal="right"/>
    </xf>
    <xf xfId="0" borderId="0" fillId="0" fontId="0" numFmtId="174" applyAlignment="1">
      <alignment horizontal="right"/>
    </xf>
    <xf xfId="0" borderId="0" fillId="0" fontId="3" numFmtId="164" applyFont="1"/>
    <xf xfId="0" borderId="0" fillId="0" fontId="3" numFmtId="166" applyFont="1"/>
    <xf xfId="0" borderId="0" fillId="0" fontId="10" numFmtId="172" applyFont="1"/>
    <xf xfId="0" borderId="0" fillId="0" fontId="9" numFmtId="167" applyFont="1"/>
    <xf xfId="0" borderId="0" fillId="0" fontId="15" numFmtId="164" applyFont="1"/>
    <xf xfId="0" borderId="0" fillId="0" fontId="15" numFmtId="166" applyFont="1"/>
    <xf xfId="0" borderId="1" fillId="0" fontId="14" numFmtId="164" applyFont="1"/>
    <xf xfId="0" borderId="0" fillId="0" fontId="11" numFmtId="0" applyAlignment="1" applyFont="1">
      <alignment wrapText="1" horizontal="center"/>
    </xf>
    <xf xfId="0" borderId="0" fillId="0" fontId="14" numFmtId="164" applyFont="1"/>
    <xf xfId="0" borderId="0" fillId="0" fontId="14" numFmtId="169" applyFont="1"/>
    <xf xfId="0" borderId="0" fillId="0" fontId="10" numFmtId="15" applyFont="1"/>
    <xf xfId="0" borderId="0" fillId="0" fontId="10" numFmtId="172" applyAlignment="1" applyFont="1">
      <alignment horizontal="right"/>
    </xf>
    <xf xfId="0" borderId="0" fillId="0" fontId="10" numFmtId="170" applyAlignment="1" applyFont="1">
      <alignment horizontal="right"/>
    </xf>
    <xf xfId="0" borderId="0" fillId="0" fontId="10" numFmtId="169" applyAlignment="1" applyFont="1">
      <alignment horizontal="right"/>
    </xf>
    <xf xfId="0" borderId="0" fillId="0" fontId="0" numFmtId="0" applyAlignment="1">
      <alignment horizontal="left"/>
    </xf>
    <xf xfId="0" borderId="0" fillId="0" fontId="11" numFmtId="0" applyAlignment="1" applyFont="1">
      <alignment horizontal="centerContinuous" vertical="bottom"/>
    </xf>
    <xf xfId="0" borderId="0" fillId="0" fontId="11" numFmtId="0" applyAlignment="1" applyFont="1">
      <alignment horizontal="center" vertical="bottom"/>
    </xf>
    <xf xfId="0" borderId="0" fillId="0" fontId="4" numFmtId="0" applyAlignment="1" applyFont="1">
      <alignment indent="1"/>
    </xf>
    <xf xfId="0" borderId="0" fillId="0" fontId="0" numFmtId="0" applyAlignment="1">
      <alignment wrapText="1" vertical="bottom"/>
    </xf>
    <xf xfId="0" borderId="0" fillId="0" fontId="11" numFmtId="0" applyAlignment="1" applyFont="1">
      <alignment wrapText="1" horizontal="center" vertical="bottom"/>
    </xf>
    <xf xfId="0" borderId="0" fillId="0" fontId="3" numFmtId="0" applyAlignment="1" applyFont="1">
      <alignment vertical="bottom"/>
    </xf>
    <xf xfId="0" borderId="0" fillId="3" fontId="9" numFmtId="15" applyFont="1" applyFill="1"/>
    <xf xfId="0" borderId="0" fillId="3" fontId="9" numFmtId="164" applyFont="1" applyFill="1"/>
    <xf xfId="0" borderId="0" fillId="3" fontId="9" numFmtId="165" applyFont="1" applyFill="1"/>
    <xf xfId="0" borderId="0" fillId="3" fontId="9" numFmtId="166" applyFont="1" applyFill="1"/>
    <xf xfId="0" borderId="0" fillId="3" fontId="9" numFmtId="168" applyFont="1" applyFill="1"/>
    <xf xfId="0" borderId="0" fillId="3" fontId="9" numFmtId="169" applyFont="1" applyFill="1"/>
    <xf xfId="0" borderId="0" fillId="3" fontId="9" numFmtId="171" applyFont="1" applyFill="1"/>
    <xf xfId="0" borderId="0" fillId="3" fontId="9" numFmtId="170" applyFont="1" applyFill="1"/>
    <xf xfId="0" borderId="0" fillId="3" fontId="9" numFmtId="172" applyFont="1" applyFill="1"/>
    <xf xfId="0" borderId="0" fillId="3" fontId="12" numFmtId="174" applyFont="1" applyFill="1"/>
    <xf xfId="0" borderId="0" fillId="3" fontId="9" numFmtId="174" applyFont="1" applyFill="1"/>
    <xf xfId="0" borderId="0" fillId="3" fontId="9" numFmtId="167" applyFont="1" applyFill="1"/>
    <xf xfId="0" borderId="0" fillId="3" fontId="15" numFmtId="164" applyFont="1" applyFill="1"/>
    <xf xfId="0" borderId="0" fillId="3" fontId="15" numFmtId="166" applyFont="1" applyFill="1"/>
    <xf xfId="0" borderId="0" fillId="3" fontId="0" numFmtId="0" applyAlignment="1" applyFill="1">
      <alignment indent="1"/>
    </xf>
    <xf xfId="0" borderId="0" fillId="3" fontId="0" numFmtId="0" applyFill="1"/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0"/>
  <sheetViews>
    <sheetView showGridLines="0" tabSelected="1" workbookViewId="0">
      <selection activeCell="A1" sqref="A1"/>
    </sheetView>
  </sheetViews>
  <cols>
    <col min="1" max="1" width="2" customWidth="1"/>
    <col min="2" max="2" width="56" customWidth="1"/>
    <col min="3" max="8" width="15" customWidth="1"/>
  </cols>
  <sheetData>
    <row r="2">
      <c r="B2" t="s" s="2">
        <v>342</v>
      </c>
    </row>
    <row r="3">
      <c r="B3" t="s" s="4">
        <v>343</v>
      </c>
    </row>
    <row r="5">
      <c r="B5" t="s" s="5">
        <v>315</v>
      </c>
      <c r="C5" s="5"/>
      <c r="D5" s="5"/>
      <c r="E5" s="5"/>
      <c r="F5" s="5"/>
      <c r="G5" s="5"/>
      <c r="H5" s="5"/>
    </row>
    <row r="6" ht="27" customHeight="1">
      <c r="C6" t="s" s="89">
        <v>58</v>
      </c>
      <c r="D6" t="s" s="89">
        <v>232</v>
      </c>
      <c r="E6" t="s" s="89">
        <v>335</v>
      </c>
      <c r="F6" t="s" s="89">
        <v>336</v>
      </c>
      <c r="G6" t="s" s="89">
        <v>337</v>
      </c>
      <c r="H6" t="s" s="89">
        <v>212</v>
      </c>
    </row>
    <row r="7">
      <c r="B7" t="s" s="17">
        <v>344</v>
      </c>
      <c r="C7" t="e" s="73">
        <f>DCF!D100</f>
        <v>#DIV/0!</v>
      </c>
      <c r="D7" t="e" s="73">
        <f>DCF!E100</f>
        <v>#DIV/0!</v>
      </c>
      <c r="E7" t="e" s="90">
        <f>DCF!D110</f>
        <v>#DIV/0!</v>
      </c>
      <c r="F7" t="e" s="47">
        <f>DCF!D112</f>
        <v>#DIV/0!</v>
      </c>
      <c r="G7" t="e" s="10">
        <f>E7/Inputs!$C$8-1</f>
        <v>#DIV/0!</v>
      </c>
      <c r="H7" t="e" s="62">
        <f>DCF!D111</f>
        <v>#DIV/0!</v>
      </c>
    </row>
    <row r="8">
      <c r="B8" t="s" s="1">
        <v>59</v>
      </c>
      <c r="C8" t="e" s="90">
        <f>DCF!F100</f>
        <v>#DIV/0!</v>
      </c>
      <c r="D8" t="e" s="90">
        <f>DCF!G100</f>
        <v>#DIV/0!</v>
      </c>
      <c r="E8" t="e" s="90">
        <f>DCF!E110</f>
        <v>#DIV/0!</v>
      </c>
      <c r="F8" t="e" s="91">
        <f>DCF!E112</f>
        <v>#DIV/0!</v>
      </c>
      <c r="G8" t="e" s="33">
        <f>E8/Inputs!$C$8-1</f>
        <v>#DIV/0!</v>
      </c>
      <c r="H8" t="e" s="64">
        <f>DCF!E111</f>
        <v>#DIV/0!</v>
      </c>
    </row>
    <row r="9">
      <c r="B9" t="s" s="17">
        <v>345</v>
      </c>
      <c r="C9" t="e" s="73">
        <f>DCF!H100</f>
        <v>#DIV/0!</v>
      </c>
      <c r="D9" t="e" s="73">
        <f>DCF!I100</f>
        <v>#DIV/0!</v>
      </c>
      <c r="E9" t="e" s="90">
        <f>DCF!F110</f>
        <v>#DIV/0!</v>
      </c>
      <c r="F9" t="e" s="47">
        <f>DCF!F112</f>
        <v>#DIV/0!</v>
      </c>
      <c r="G9" t="e" s="10">
        <f>E9/Inputs!$C$8-1</f>
        <v>#DIV/0!</v>
      </c>
      <c r="H9" t="e" s="62">
        <f>DCF!F111</f>
        <v>#DIV/0!</v>
      </c>
    </row>
    <row r="11">
      <c r="B11" t="s" s="5">
        <v>318</v>
      </c>
      <c r="C11" s="5"/>
      <c r="D11" s="5"/>
      <c r="E11" s="5"/>
      <c r="F11" s="5"/>
      <c r="G11" s="5"/>
      <c r="H11" s="5"/>
    </row>
    <row r="12">
      <c r="B12" t="s" s="17">
        <v>319</v>
      </c>
      <c r="C12" s="73">
        <f>Inputs!C7</f>
        <v>0</v>
      </c>
    </row>
    <row r="13">
      <c r="B13" t="s" s="17">
        <v>346</v>
      </c>
      <c r="C13" s="73">
        <f>Inputs!C8</f>
        <v>0</v>
      </c>
    </row>
    <row r="14">
      <c r="B14" t="s" s="17">
        <v>347</v>
      </c>
      <c r="C14" s="73">
        <f>Inputs!C9</f>
        <v>0</v>
      </c>
    </row>
    <row r="16">
      <c r="B16" t="s" s="5">
        <v>322</v>
      </c>
      <c r="C16" s="5"/>
      <c r="D16" s="5"/>
      <c r="E16" s="5"/>
      <c r="F16" s="5"/>
      <c r="G16" s="5"/>
      <c r="H16" s="5"/>
    </row>
    <row r="17">
      <c r="B17" t="s" s="17">
        <v>281</v>
      </c>
      <c r="C17" s="92">
        <f>Inputs!C6</f>
        <v>0</v>
      </c>
    </row>
    <row r="18">
      <c r="B18" t="s" s="17">
        <v>112</v>
      </c>
      <c r="C18" t="e" s="84">
        <f>DCF!C8</f>
        <v>#DIV/0!</v>
      </c>
    </row>
    <row r="19">
      <c r="B19" t="s" s="17">
        <v>38</v>
      </c>
      <c r="C19" s="84">
        <f>DCF!C9</f>
        <v>0.025</v>
      </c>
    </row>
    <row r="20">
      <c r="B20" t="s" s="17">
        <v>323</v>
      </c>
      <c r="C20" t="e" s="25">
        <f>DCF!C10</f>
        <v>#NUM!</v>
      </c>
    </row>
    <row r="21">
      <c r="B21" t="s" s="17">
        <v>37</v>
      </c>
      <c r="C21" t="str" s="13">
        <f>Inputs!C44</f>
        <v>Perpetuity growth</v>
      </c>
    </row>
    <row r="22">
      <c r="B22" t="s" s="17">
        <v>324</v>
      </c>
      <c r="C22" t="e" s="25">
        <f>DCF!F104</f>
        <v>#DIV/0!</v>
      </c>
    </row>
    <row r="23">
      <c r="B23" t="s" s="17">
        <v>325</v>
      </c>
      <c r="C23" t="e" s="47">
        <f>DCF!G105</f>
        <v>#DIV/0!</v>
      </c>
    </row>
    <row r="24">
      <c r="B24" t="s" s="17">
        <v>17</v>
      </c>
      <c r="C24" t="e" s="65">
        <f>Inputs!C21</f>
        <v>#DIV/0!</v>
      </c>
    </row>
    <row r="25">
      <c r="B25" t="s" s="17">
        <v>348</v>
      </c>
      <c r="C25" s="62">
        <f>Inputs!C29</f>
        <v>0</v>
      </c>
    </row>
    <row r="26">
      <c r="B26" t="s" s="17">
        <v>327</v>
      </c>
      <c r="C26" t="e" s="62">
        <f>DCF!F97</f>
        <v>#DIV/0!</v>
      </c>
    </row>
    <row r="28">
      <c r="B28" t="s" s="5">
        <v>349</v>
      </c>
      <c r="C28" s="5"/>
      <c r="D28" s="5"/>
      <c r="E28" s="5"/>
      <c r="F28" s="5"/>
      <c r="G28" s="5"/>
      <c r="H28" s="5"/>
    </row>
    <row r="29">
      <c r="C29" t="s" s="30">
        <v>230</v>
      </c>
      <c r="D29" t="s" s="30">
        <v>59</v>
      </c>
      <c r="E29" t="s" s="30">
        <v>345</v>
      </c>
    </row>
    <row r="30">
      <c r="B30" t="s" s="17">
        <v>329</v>
      </c>
      <c r="C30" t="e" s="93">
        <f>'Reverse DCF'!D17</f>
        <v>#DIV/0!</v>
      </c>
      <c r="D30" t="e" s="93">
        <f>'Reverse DCF'!E17</f>
        <v>#DIV/0!</v>
      </c>
      <c r="E30" t="e" s="93">
        <f>'Reverse DCF'!F17</f>
        <v>#DIV/0!</v>
      </c>
    </row>
    <row r="31">
      <c r="B31" t="s" s="17">
        <v>330</v>
      </c>
      <c r="C31" t="e" s="94">
        <f>'Reverse DCF'!D19</f>
        <v>#DIV/0!</v>
      </c>
      <c r="D31" t="e" s="94">
        <f>'Reverse DCF'!E19</f>
        <v>#DIV/0!</v>
      </c>
      <c r="E31" t="e" s="94">
        <f>'Reverse DCF'!F19</f>
        <v>#DIV/0!</v>
      </c>
    </row>
    <row r="32">
      <c r="B32" t="s" s="17">
        <v>331</v>
      </c>
      <c r="C32" t="str" s="93">
        <f>'Reverse DCF'!D23</f>
        <v>outside grid</v>
      </c>
      <c r="D32" t="str" s="93">
        <f>'Reverse DCF'!E23</f>
        <v>outside grid</v>
      </c>
      <c r="E32" t="str" s="93">
        <f>'Reverse DCF'!F23</f>
        <v>outside grid</v>
      </c>
    </row>
    <row r="33">
      <c r="B33" t="s" s="17">
        <v>270</v>
      </c>
      <c r="C33" t="str" s="95">
        <f>'Reverse DCF'!D25</f>
        <v>n.m.</v>
      </c>
      <c r="D33" t="str" s="95">
        <f>'Reverse DCF'!E25</f>
        <v>n.m.</v>
      </c>
      <c r="E33" t="str" s="95">
        <f>'Reverse DCF'!F25</f>
        <v>n.m.</v>
      </c>
    </row>
    <row r="34">
      <c r="B34" t="s" s="17">
        <v>272</v>
      </c>
      <c r="C34" t="str" s="93">
        <f>'Reverse DCF'!D27</f>
        <v>outside grid</v>
      </c>
      <c r="D34" t="str" s="93">
        <f>'Reverse DCF'!E27</f>
        <v>outside grid</v>
      </c>
      <c r="E34" t="str" s="93">
        <f>'Reverse DCF'!F27</f>
        <v>outside grid</v>
      </c>
    </row>
    <row r="35">
      <c r="B35" t="s" s="17">
        <v>112</v>
      </c>
      <c r="C35" t="str" s="93">
        <f>'Reverse DCF'!D31</f>
        <v>outside grid</v>
      </c>
      <c r="D35" t="str" s="93">
        <f>'Reverse DCF'!E31</f>
        <v>outside grid</v>
      </c>
      <c r="E35" t="str" s="93">
        <f>'Reverse DCF'!F31</f>
        <v>outside grid</v>
      </c>
    </row>
    <row r="37">
      <c r="B37" t="s" s="5">
        <v>350</v>
      </c>
      <c r="C37" s="5"/>
      <c r="D37" s="5"/>
      <c r="E37" s="5"/>
      <c r="F37" s="5"/>
      <c r="G37" s="5"/>
      <c r="H37" s="5"/>
    </row>
    <row r="38">
      <c r="C38" t="s" s="30">
        <v>333</v>
      </c>
      <c r="D38" t="s" s="30">
        <v>334</v>
      </c>
      <c r="E38" t="s" s="30">
        <v>305</v>
      </c>
      <c r="F38" t="s" s="30">
        <v>307</v>
      </c>
      <c r="G38" t="s" s="30">
        <v>308</v>
      </c>
      <c r="H38" t="s" s="30">
        <v>309</v>
      </c>
    </row>
    <row r="39">
      <c r="B39" t="s" s="17">
        <v>351</v>
      </c>
      <c r="C39" s="73">
        <f>'Banker Recon'!D36</f>
        <v>0</v>
      </c>
      <c r="D39" s="73">
        <f>'Banker Recon'!E36</f>
        <v>0</v>
      </c>
      <c r="E39" s="84">
        <f>'Banker Recon'!F36</f>
        <v>0</v>
      </c>
      <c r="F39" s="84">
        <f>'Banker Recon'!G36</f>
        <v>0</v>
      </c>
      <c r="G39" s="47">
        <f>'Banker Recon'!H36</f>
        <v>0</v>
      </c>
      <c r="H39" s="47">
        <f>'Banker Recon'!I36</f>
        <v>0</v>
      </c>
    </row>
    <row r="40">
      <c r="B40" t="s" s="17">
        <v>352</v>
      </c>
      <c r="C40" s="73">
        <f>'Banker Recon'!D37</f>
        <v>0</v>
      </c>
      <c r="D40" s="73">
        <f>'Banker Recon'!E37</f>
        <v>0</v>
      </c>
      <c r="E40" s="84">
        <f>'Banker Recon'!F37</f>
        <v>0</v>
      </c>
      <c r="F40" s="84">
        <f>'Banker Recon'!G37</f>
        <v>0</v>
      </c>
      <c r="G40" s="47">
        <f>'Banker Recon'!H37</f>
        <v>0</v>
      </c>
      <c r="H40" s="47">
        <f>'Banker Recon'!I37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6"/>
  <sheetViews>
    <sheetView showGridLines="0" workbookViewId="0">
      <selection activeCell="A1" sqref="A1"/>
    </sheetView>
  </sheetViews>
  <cols>
    <col min="1" max="1" width="2" customWidth="1"/>
    <col min="2" max="2" width="54" customWidth="1"/>
    <col min="3" max="3" width="16" customWidth="1"/>
    <col min="4" max="4" width="48" customWidth="1"/>
  </cols>
  <sheetData>
    <row r="2">
      <c r="B2" t="s" s="2">
        <v>353</v>
      </c>
    </row>
    <row r="3">
      <c r="B3" t="s" s="4">
        <v>1</v>
      </c>
    </row>
    <row r="5">
      <c r="B5" t="s" s="5">
        <v>2</v>
      </c>
      <c r="C5" s="5"/>
      <c r="D5" s="5"/>
    </row>
    <row r="6">
      <c r="B6" t="s" s="17">
        <v>281</v>
      </c>
      <c r="C6" s="103"/>
      <c r="D6" s="4"/>
    </row>
    <row r="7">
      <c r="B7" t="s" s="17">
        <v>4</v>
      </c>
      <c r="C7" s="104"/>
      <c r="D7" s="4"/>
    </row>
    <row r="8">
      <c r="B8" t="s" s="17">
        <v>354</v>
      </c>
      <c r="C8" s="104"/>
      <c r="D8" s="4"/>
    </row>
    <row r="9">
      <c r="B9" t="s" s="17">
        <v>355</v>
      </c>
      <c r="C9" s="104"/>
      <c r="D9" s="4"/>
    </row>
    <row r="10">
      <c r="B10" t="s" s="17">
        <v>7</v>
      </c>
      <c r="C10" s="7">
        <f>C7</f>
        <v>0</v>
      </c>
      <c r="D10" s="4"/>
    </row>
    <row r="11">
      <c r="D11" s="4"/>
    </row>
    <row r="12">
      <c r="B12" t="s" s="5">
        <v>356</v>
      </c>
      <c r="C12" s="5"/>
      <c r="D12" s="18"/>
    </row>
    <row r="13">
      <c r="B13" t="s" s="17">
        <v>9</v>
      </c>
      <c r="C13" s="105"/>
      <c r="D13" s="4"/>
    </row>
    <row r="14">
      <c r="B14" t="s" s="17">
        <v>357</v>
      </c>
      <c r="C14" s="105"/>
      <c r="D14" s="4"/>
    </row>
    <row r="15">
      <c r="B15" t="s" s="17">
        <v>11</v>
      </c>
      <c r="C15" s="105"/>
      <c r="D15" s="4"/>
    </row>
    <row r="16">
      <c r="B16" t="s" s="17">
        <v>12</v>
      </c>
      <c r="C16" s="105"/>
      <c r="D16" s="4"/>
    </row>
    <row r="17">
      <c r="B17" t="s" s="17">
        <v>13</v>
      </c>
      <c r="C17" s="105"/>
      <c r="D17" s="4"/>
    </row>
    <row r="18">
      <c r="B18" t="s" s="17">
        <v>14</v>
      </c>
      <c r="C18" s="104"/>
      <c r="D18" s="4"/>
    </row>
    <row r="19">
      <c r="B19" t="s" s="17">
        <v>358</v>
      </c>
      <c r="C19" s="106"/>
      <c r="D19" s="4"/>
    </row>
    <row r="20">
      <c r="B20" t="s" s="17">
        <v>16</v>
      </c>
      <c r="C20" s="8">
        <f>C17*C18</f>
        <v>0</v>
      </c>
      <c r="D20" s="4"/>
    </row>
    <row r="21">
      <c r="B21" t="s" s="14">
        <v>17</v>
      </c>
      <c r="C21" t="e" s="15">
        <f>C13+C14+C15+C16+C17-C20/C10+C19/C10</f>
        <v>#DIV/0!</v>
      </c>
      <c r="D21" s="4"/>
    </row>
    <row r="22">
      <c r="B22" t="s" s="17">
        <v>18</v>
      </c>
      <c r="C22" t="e" s="9">
        <f>C13+C14+C15+C16+C17-C20/C8+C19/C8</f>
        <v>#DIV/0!</v>
      </c>
      <c r="D22" s="4"/>
    </row>
    <row r="23">
      <c r="D23" s="4"/>
    </row>
    <row r="24">
      <c r="B24" t="s" s="5">
        <v>359</v>
      </c>
      <c r="C24" s="5"/>
      <c r="D24" s="18"/>
    </row>
    <row r="25">
      <c r="B25" t="s" s="17">
        <v>20</v>
      </c>
      <c r="C25" s="106"/>
      <c r="D25" s="4"/>
    </row>
    <row r="26">
      <c r="B26" t="s" s="17">
        <v>21</v>
      </c>
      <c r="C26" s="106"/>
      <c r="D26" s="4"/>
    </row>
    <row r="27">
      <c r="B27" t="s" s="14">
        <v>22</v>
      </c>
      <c r="C27" s="16">
        <f>C25+C26</f>
        <v>0</v>
      </c>
      <c r="D27" s="4"/>
    </row>
    <row r="28">
      <c r="B28" t="s" s="17">
        <v>23</v>
      </c>
      <c r="C28" s="106"/>
      <c r="D28" s="4"/>
    </row>
    <row r="29">
      <c r="B29" t="s" s="14">
        <v>24</v>
      </c>
      <c r="C29" s="16">
        <f>C27-C28</f>
        <v>0</v>
      </c>
      <c r="D29" s="4"/>
    </row>
    <row r="30">
      <c r="B30" t="s" s="17">
        <v>25</v>
      </c>
      <c r="C30" s="106"/>
      <c r="D30" s="4"/>
    </row>
    <row r="31">
      <c r="B31" t="s" s="17">
        <v>26</v>
      </c>
      <c r="C31" s="106"/>
      <c r="D31" s="4"/>
    </row>
    <row r="32">
      <c r="B32" t="s" s="17">
        <v>27</v>
      </c>
      <c r="C32" s="8">
        <f>C30+C31</f>
        <v>0</v>
      </c>
      <c r="D32" s="4"/>
    </row>
    <row r="33">
      <c r="B33" t="s" s="17">
        <v>28</v>
      </c>
      <c r="C33" s="8">
        <f>C27-C32</f>
        <v>0</v>
      </c>
      <c r="D33" s="4"/>
    </row>
    <row r="34">
      <c r="B34" t="s" s="17">
        <v>29</v>
      </c>
      <c r="C34" s="106"/>
      <c r="D34" s="4"/>
    </row>
    <row r="35">
      <c r="B35" t="s" s="17">
        <v>360</v>
      </c>
      <c r="C35" s="106"/>
      <c r="D35" s="4"/>
    </row>
    <row r="36">
      <c r="D36" s="4"/>
    </row>
    <row r="37">
      <c r="B37" t="s" s="5">
        <v>31</v>
      </c>
      <c r="C37" s="5"/>
      <c r="D37" s="18"/>
    </row>
    <row r="38">
      <c r="B38" t="s" s="17">
        <v>32</v>
      </c>
      <c r="C38" s="107"/>
      <c r="D38" s="4"/>
    </row>
    <row r="39">
      <c r="B39" t="s" s="17">
        <v>33</v>
      </c>
      <c r="C39" s="107"/>
      <c r="D39" s="4"/>
    </row>
    <row r="40">
      <c r="B40" t="s" s="17">
        <v>361</v>
      </c>
      <c r="C40" s="106"/>
      <c r="D40" s="4"/>
    </row>
    <row r="41">
      <c r="B41" t="s" s="17">
        <v>35</v>
      </c>
      <c r="C41" s="106"/>
      <c r="D41" s="4"/>
    </row>
    <row r="42">
      <c r="D42" s="4"/>
    </row>
    <row r="43">
      <c r="B43" t="s" s="5">
        <v>36</v>
      </c>
      <c r="C43" s="5"/>
      <c r="D43" s="18"/>
    </row>
    <row r="44">
      <c r="B44" t="s" s="17">
        <v>37</v>
      </c>
      <c r="C44" t="s" s="26">
        <v>58</v>
      </c>
      <c r="D44" t="s" s="4">
        <v>70</v>
      </c>
    </row>
    <row r="45">
      <c r="B45" t="s" s="17">
        <v>38</v>
      </c>
      <c r="C45" s="27">
        <v>0.025</v>
      </c>
      <c r="D45" t="s" s="4">
        <v>71</v>
      </c>
    </row>
    <row r="46">
      <c r="B46" t="s" s="17">
        <v>39</v>
      </c>
      <c r="C46" s="27">
        <v>0.04</v>
      </c>
      <c r="D46" t="s" s="4">
        <v>70</v>
      </c>
    </row>
    <row r="47">
      <c r="B47" t="s" s="17">
        <v>40</v>
      </c>
      <c r="C47" t="e" s="25">
        <f>WACC!G18</f>
        <v>#NUM!</v>
      </c>
      <c r="D47" t="s" s="4">
        <v>363</v>
      </c>
    </row>
    <row r="48">
      <c r="B48" t="s" s="17">
        <v>41</v>
      </c>
      <c r="C48" s="28">
        <v>1</v>
      </c>
      <c r="D48" t="s" s="4">
        <v>73</v>
      </c>
    </row>
    <row r="49">
      <c r="D49" s="4"/>
    </row>
    <row r="50">
      <c r="B50" t="s" s="5">
        <v>42</v>
      </c>
      <c r="C50" s="5"/>
      <c r="D50" s="18"/>
    </row>
    <row r="51">
      <c r="B51" t="s" s="17">
        <v>43</v>
      </c>
      <c r="C51" t="s" s="26">
        <v>59</v>
      </c>
      <c r="D51" t="s" s="4">
        <v>70</v>
      </c>
    </row>
    <row r="52">
      <c r="B52" t="s" s="17">
        <v>44</v>
      </c>
      <c r="C52" s="12">
        <f>IF(C51="SBC added back",1,IF(C51="SBC at reduced level",3,2))</f>
        <v>2</v>
      </c>
      <c r="D52" s="4"/>
    </row>
    <row r="53">
      <c r="B53" t="s" s="17">
        <v>362</v>
      </c>
      <c r="C53" s="106"/>
      <c r="D53" s="4"/>
    </row>
    <row r="54">
      <c r="B54" t="s" s="17">
        <v>46</v>
      </c>
      <c r="C54" s="29">
        <v>1</v>
      </c>
      <c r="D54" t="s" s="4">
        <v>70</v>
      </c>
    </row>
    <row r="55">
      <c r="B55" t="s" s="17">
        <v>47</v>
      </c>
      <c r="C55" s="29">
        <v>2028</v>
      </c>
      <c r="D55" t="s" s="4">
        <v>70</v>
      </c>
    </row>
    <row r="56">
      <c r="B56" t="s" s="17">
        <v>48</v>
      </c>
      <c r="C56" s="29">
        <v>3</v>
      </c>
      <c r="D56" t="s" s="4">
        <v>70</v>
      </c>
    </row>
    <row r="57">
      <c r="D57" s="4"/>
    </row>
    <row r="58">
      <c r="B58" t="s" s="5">
        <v>49</v>
      </c>
      <c r="C58" s="5"/>
      <c r="D58" s="18"/>
    </row>
    <row r="59">
      <c r="B59" t="s" s="17">
        <v>50</v>
      </c>
      <c r="C59" s="108"/>
      <c r="D59" s="4"/>
    </row>
    <row r="60">
      <c r="B60" t="s" s="17">
        <v>51</v>
      </c>
      <c r="C60" s="108"/>
      <c r="D60" s="4"/>
    </row>
    <row r="61">
      <c r="B61" t="s" s="17">
        <v>52</v>
      </c>
      <c r="C61" s="106"/>
      <c r="D61" s="4"/>
    </row>
    <row r="62">
      <c r="B62" t="s" s="17">
        <v>53</v>
      </c>
      <c r="C62" s="108"/>
      <c r="D62" s="4"/>
    </row>
    <row r="63">
      <c r="B63" t="s" s="17">
        <v>54</v>
      </c>
      <c r="C63" s="108"/>
      <c r="D63" s="4"/>
    </row>
    <row r="64">
      <c r="B64" t="s" s="17">
        <v>55</v>
      </c>
      <c r="C64" s="108"/>
      <c r="D64" s="4"/>
    </row>
    <row r="65">
      <c r="B65" t="s" s="17">
        <v>56</v>
      </c>
      <c r="C65" s="108"/>
      <c r="D65" s="4"/>
    </row>
    <row r="66">
      <c r="B66" t="s" s="17">
        <v>57</v>
      </c>
      <c r="C66" s="108"/>
      <c r="D66" s="4"/>
    </row>
  </sheetData>
  <dataValidations count="2">
    <dataValidation type="list" allowBlank="1" showDropDown="0" showErrorMessage="1" sqref="C44:C44">
      <formula1>"Perpetuity growth,Exit multiple"</formula1>
    </dataValidation>
    <dataValidation type="list" allowBlank="1" showDropDown="0" showErrorMessage="1" sqref="C51:C51">
      <formula1>"SBC added back,SBC as cash cost,SBC at reduced level"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5"/>
  <sheetViews>
    <sheetView showGridLines="0" workbookViewId="0">
      <selection activeCell="A1" sqref="A1"/>
    </sheetView>
  </sheetViews>
  <cols>
    <col min="1" max="1" width="2" customWidth="1"/>
    <col min="2" max="2" width="50" customWidth="1"/>
    <col min="3" max="3" width="26" customWidth="1"/>
    <col min="4" max="7" width="14" customWidth="1"/>
    <col min="8" max="8" width="44" customWidth="1"/>
  </cols>
  <sheetData>
    <row r="2">
      <c r="B2" t="s" s="2">
        <v>364</v>
      </c>
    </row>
    <row r="3">
      <c r="B3" t="s" s="4">
        <v>365</v>
      </c>
    </row>
    <row r="5">
      <c r="B5" t="s" s="5">
        <v>80</v>
      </c>
      <c r="C5" s="5"/>
      <c r="D5" s="5"/>
      <c r="E5" s="5"/>
      <c r="F5" s="5"/>
      <c r="G5" s="5"/>
      <c r="H5" s="5"/>
    </row>
    <row r="6">
      <c r="B6" t="s" s="31">
        <v>81</v>
      </c>
      <c r="C6" t="s" s="30">
        <v>117</v>
      </c>
      <c r="D6" t="s" s="30">
        <v>99</v>
      </c>
      <c r="E6" t="s" s="30">
        <v>120</v>
      </c>
      <c r="F6" t="s" s="30">
        <v>121</v>
      </c>
      <c r="G6" t="s" s="30">
        <v>375</v>
      </c>
    </row>
    <row r="7">
      <c r="B7" s="117"/>
      <c r="C7" s="118"/>
      <c r="D7" s="108"/>
      <c r="E7" s="109"/>
      <c r="F7" t="str" s="32">
        <f>IF(E7="","",E7/(1+(1-$C$26)*D7))</f>
        <v/>
      </c>
      <c r="G7" s="110"/>
      <c r="H7" s="4"/>
    </row>
    <row r="8">
      <c r="B8" s="117"/>
      <c r="C8" s="118"/>
      <c r="D8" s="108"/>
      <c r="E8" s="109"/>
      <c r="F8" t="str" s="32">
        <f>IF(E8="","",E8/(1+(1-$C$26)*D8))</f>
        <v/>
      </c>
      <c r="G8" s="110"/>
      <c r="H8" s="4"/>
    </row>
    <row r="9">
      <c r="B9" s="117"/>
      <c r="C9" s="118"/>
      <c r="D9" s="108"/>
      <c r="E9" s="109"/>
      <c r="F9" t="str" s="32">
        <f>IF(E9="","",E9/(1+(1-$C$26)*D9))</f>
        <v/>
      </c>
      <c r="G9" s="110"/>
      <c r="H9" s="4"/>
    </row>
    <row r="10">
      <c r="B10" s="117"/>
      <c r="C10" s="118"/>
      <c r="D10" s="108"/>
      <c r="E10" s="109"/>
      <c r="F10" t="str" s="32">
        <f>IF(E10="","",E10/(1+(1-$C$26)*D10))</f>
        <v/>
      </c>
      <c r="G10" s="110"/>
      <c r="H10" s="4"/>
    </row>
    <row r="11">
      <c r="B11" s="117"/>
      <c r="C11" s="118"/>
      <c r="D11" s="108"/>
      <c r="E11" s="109"/>
      <c r="F11" t="str" s="32">
        <f>IF(E11="","",E11/(1+(1-$C$26)*D11))</f>
        <v/>
      </c>
      <c r="G11" s="110"/>
      <c r="H11" s="4"/>
    </row>
    <row r="12">
      <c r="B12" s="117"/>
      <c r="C12" s="118"/>
      <c r="D12" s="108"/>
      <c r="E12" s="109"/>
      <c r="F12" t="str" s="32">
        <f>IF(E12="","",E12/(1+(1-$C$26)*D12))</f>
        <v/>
      </c>
      <c r="G12" s="110"/>
      <c r="H12" s="4"/>
    </row>
    <row r="13">
      <c r="B13" s="117"/>
      <c r="C13" s="118"/>
      <c r="D13" s="108"/>
      <c r="E13" s="109"/>
      <c r="F13" t="str" s="32">
        <f>IF(E13="","",E13/(1+(1-$C$26)*D13))</f>
        <v/>
      </c>
      <c r="G13" s="110"/>
      <c r="H13" s="4"/>
    </row>
    <row r="14">
      <c r="B14" s="117"/>
      <c r="C14" s="118"/>
      <c r="D14" s="108"/>
      <c r="E14" s="109"/>
      <c r="F14" t="str" s="32">
        <f>IF(E14="","",E14/(1+(1-$C$26)*D14))</f>
        <v/>
      </c>
      <c r="G14" s="110"/>
      <c r="H14" s="4"/>
    </row>
    <row r="15">
      <c r="B15" s="117"/>
      <c r="C15" s="118"/>
      <c r="D15" s="108"/>
      <c r="E15" s="109"/>
      <c r="F15" t="str" s="32">
        <f>IF(E15="","",E15/(1+(1-$C$26)*D15))</f>
        <v/>
      </c>
      <c r="G15" s="110"/>
      <c r="H15" s="4"/>
    </row>
    <row r="16">
      <c r="B16" s="117"/>
      <c r="C16" s="118"/>
      <c r="D16" s="108"/>
      <c r="E16" s="109"/>
      <c r="F16" t="str" s="32">
        <f>IF(E16="","",E16/(1+(1-$C$26)*D16))</f>
        <v/>
      </c>
      <c r="G16" s="110"/>
      <c r="H16" s="4"/>
    </row>
    <row r="17">
      <c r="B17" s="117"/>
      <c r="C17" s="118"/>
      <c r="D17" s="108"/>
      <c r="E17" s="109"/>
      <c r="F17" t="str" s="32">
        <f>IF(E17="","",E17/(1+(1-$C$26)*D17))</f>
        <v/>
      </c>
      <c r="G17" s="110"/>
      <c r="H17" s="4"/>
    </row>
    <row r="18">
      <c r="B18" t="s" s="14">
        <v>93</v>
      </c>
      <c r="C18" s="14"/>
      <c r="D18" t="e" s="35">
        <f>MEDIAN(D7:D17)</f>
        <v>#NUM!</v>
      </c>
      <c r="E18" t="e" s="36">
        <f>MEDIAN(E7:E17)</f>
        <v>#NUM!</v>
      </c>
      <c r="F18" t="e" s="36">
        <f>MEDIAN(F7:F17)</f>
        <v>#NUM!</v>
      </c>
      <c r="G18" t="e" s="37">
        <f>MEDIAN(G7:G17)</f>
        <v>#NUM!</v>
      </c>
      <c r="H18" s="4"/>
    </row>
    <row r="19">
      <c r="B19" t="s" s="3">
        <v>94</v>
      </c>
      <c r="C19" s="3"/>
      <c r="D19" t="e" s="38">
        <f>AVERAGE(D7:D17)</f>
        <v>#DIV/0!</v>
      </c>
      <c r="E19" t="e" s="39">
        <f>AVERAGE(E7:E17)</f>
        <v>#DIV/0!</v>
      </c>
      <c r="F19" t="e" s="39">
        <f>AVERAGE(F7:F17)</f>
        <v>#DIV/0!</v>
      </c>
      <c r="G19" t="e" s="40">
        <f>AVERAGE(G7:G17)</f>
        <v>#DIV/0!</v>
      </c>
      <c r="H19" s="4"/>
    </row>
    <row r="20">
      <c r="H20" s="4"/>
    </row>
    <row r="21">
      <c r="B21" t="s" s="5">
        <v>95</v>
      </c>
      <c r="C21" s="5"/>
      <c r="D21" s="5"/>
      <c r="E21" s="5"/>
      <c r="F21" s="5"/>
      <c r="G21" s="5"/>
      <c r="H21" s="18"/>
    </row>
    <row r="22">
      <c r="B22" t="s" s="17">
        <v>96</v>
      </c>
      <c r="C22" t="e" s="32">
        <f>F18</f>
        <v>#NUM!</v>
      </c>
      <c r="H22" s="4"/>
    </row>
    <row r="23">
      <c r="B23" t="s" s="17">
        <v>97</v>
      </c>
      <c r="C23" s="46">
        <f>Inputs!C27</f>
        <v>0</v>
      </c>
      <c r="H23" s="4"/>
    </row>
    <row r="24">
      <c r="B24" t="s" s="17">
        <v>98</v>
      </c>
      <c r="C24" t="e" s="8">
        <f>Inputs!C8*Inputs!C22</f>
        <v>#DIV/0!</v>
      </c>
      <c r="H24" s="4"/>
    </row>
    <row r="25">
      <c r="B25" t="s" s="17">
        <v>99</v>
      </c>
      <c r="C25" t="e" s="10">
        <f>C23/C24</f>
        <v>#DIV/0!</v>
      </c>
      <c r="H25" s="4"/>
    </row>
    <row r="26">
      <c r="B26" t="s" s="17">
        <v>100</v>
      </c>
      <c r="C26" s="47">
        <f>Inputs!C38</f>
        <v>0</v>
      </c>
      <c r="H26" s="4"/>
    </row>
    <row r="27">
      <c r="B27" t="s" s="17">
        <v>101</v>
      </c>
      <c r="C27" t="e" s="32">
        <f>C22*(1+(1-C26)*C25)</f>
        <v>#NUM!</v>
      </c>
      <c r="H27" s="4"/>
    </row>
    <row r="28">
      <c r="B28" t="s" s="17">
        <v>366</v>
      </c>
      <c r="C28" s="111"/>
      <c r="H28" s="4"/>
    </row>
    <row r="29">
      <c r="B29" t="s" s="17">
        <v>367</v>
      </c>
      <c r="C29" s="111"/>
      <c r="H29" s="4"/>
    </row>
    <row r="30">
      <c r="B30" t="s" s="14">
        <v>104</v>
      </c>
      <c r="C30" t="e" s="43">
        <f>C28+C27*C29</f>
        <v>#NUM!</v>
      </c>
      <c r="H30" s="4"/>
    </row>
    <row r="31">
      <c r="H31" s="4"/>
    </row>
    <row r="32">
      <c r="B32" t="s" s="5">
        <v>368</v>
      </c>
      <c r="C32" s="5"/>
      <c r="D32" s="5"/>
      <c r="E32" s="5"/>
      <c r="F32" s="5"/>
      <c r="G32" s="5"/>
      <c r="H32" s="18"/>
    </row>
    <row r="33">
      <c r="B33" t="s" s="17">
        <v>369</v>
      </c>
      <c r="C33" s="111"/>
      <c r="H33" s="4"/>
    </row>
    <row r="34">
      <c r="B34" t="s" s="17">
        <v>370</v>
      </c>
      <c r="C34" s="111"/>
      <c r="H34" s="4"/>
    </row>
    <row r="35">
      <c r="B35" t="s" s="17">
        <v>371</v>
      </c>
      <c r="C35" s="41">
        <f>C34/(1-C26)-C33</f>
        <v>0</v>
      </c>
      <c r="H35" s="4"/>
    </row>
    <row r="36">
      <c r="B36" t="s" s="17">
        <v>372</v>
      </c>
      <c r="C36" s="41">
        <f>C35+C33</f>
        <v>0</v>
      </c>
      <c r="H36" s="4"/>
    </row>
    <row r="37">
      <c r="B37" t="s" s="14">
        <v>110</v>
      </c>
      <c r="C37" s="43">
        <f>C36*(1-C26)</f>
        <v>0</v>
      </c>
      <c r="H37" s="4"/>
    </row>
    <row r="38">
      <c r="B38" t="s" s="17">
        <v>373</v>
      </c>
      <c r="C38" s="111"/>
      <c r="H38" s="4"/>
    </row>
    <row r="39">
      <c r="H39" s="4"/>
    </row>
    <row r="40">
      <c r="B40" t="s" s="5">
        <v>112</v>
      </c>
      <c r="C40" s="5"/>
      <c r="D40" s="5"/>
      <c r="E40" s="5"/>
      <c r="F40" s="5"/>
      <c r="G40" s="5"/>
      <c r="H40" s="18"/>
    </row>
    <row r="41">
      <c r="B41" t="s" s="17">
        <v>113</v>
      </c>
      <c r="C41" t="e" s="10">
        <f>C24/(C23+C24)</f>
        <v>#DIV/0!</v>
      </c>
      <c r="H41" s="4"/>
    </row>
    <row r="42">
      <c r="B42" t="s" s="17">
        <v>114</v>
      </c>
      <c r="C42" t="e" s="10">
        <f>C23/(C23+C24)</f>
        <v>#DIV/0!</v>
      </c>
      <c r="H42" s="4"/>
    </row>
    <row r="43">
      <c r="B43" t="s" s="14">
        <v>112</v>
      </c>
      <c r="C43" t="e" s="43">
        <f>C41*C30+C42*C37</f>
        <v>#DIV/0!</v>
      </c>
      <c r="H43" s="4"/>
    </row>
    <row r="44">
      <c r="B44" t="s" s="17">
        <v>374</v>
      </c>
      <c r="C44" s="111"/>
      <c r="H44" s="4"/>
    </row>
    <row r="45">
      <c r="B45" t="s" s="17">
        <v>116</v>
      </c>
      <c r="C45" t="e" s="41">
        <f>C43+C41*C44</f>
        <v>#DIV/0!</v>
      </c>
      <c r="H4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" sqref="A1"/>
    </sheetView>
  </sheetViews>
  <cols>
    <col min="1" max="1" width="2" customWidth="1"/>
    <col min="2" max="2" width="50" customWidth="1"/>
    <col min="3" max="10" width="10" customWidth="1"/>
    <col min="11" max="11" width="46" customWidth="1"/>
  </cols>
  <sheetData>
    <row r="2">
      <c r="B2" t="s" s="2">
        <v>376</v>
      </c>
    </row>
    <row r="3">
      <c r="B3" t="s" s="4">
        <v>377</v>
      </c>
    </row>
    <row r="4">
      <c r="C4" t="s" s="49">
        <v>151</v>
      </c>
      <c r="D4" s="49"/>
      <c r="E4" s="49"/>
      <c r="F4" s="49"/>
      <c r="G4" s="49"/>
      <c r="H4" s="49"/>
      <c r="I4" t="s" s="49">
        <v>152</v>
      </c>
      <c r="J4" s="49"/>
    </row>
    <row r="5">
      <c r="C5" s="50">
        <f>DATE(2025,12,31)</f>
        <v>46022</v>
      </c>
      <c r="D5" s="50">
        <f>EDATE(C5,12)</f>
        <v>46387</v>
      </c>
      <c r="E5" s="50">
        <f>EDATE(D5,12)</f>
        <v>46752</v>
      </c>
      <c r="F5" s="50">
        <f>EDATE(E5,12)</f>
        <v>47118</v>
      </c>
      <c r="G5" s="50">
        <f>EDATE(F5,12)</f>
        <v>47483</v>
      </c>
      <c r="H5" s="50">
        <f>EDATE(G5,12)</f>
        <v>47848</v>
      </c>
      <c r="I5" s="50">
        <f>EDATE(H5,12)</f>
        <v>48213</v>
      </c>
      <c r="J5" s="50">
        <f>EDATE(I5,12)</f>
        <v>48579</v>
      </c>
    </row>
    <row r="7">
      <c r="B7" t="s" s="5">
        <v>128</v>
      </c>
      <c r="C7" s="5"/>
      <c r="D7" s="5"/>
      <c r="E7" s="5"/>
      <c r="F7" s="5"/>
      <c r="G7" s="5"/>
      <c r="H7" s="5"/>
      <c r="I7" s="5"/>
      <c r="J7" s="5"/>
    </row>
    <row r="8">
      <c r="B8" t="s" s="1">
        <v>129</v>
      </c>
      <c r="C8" s="112"/>
      <c r="D8" s="112"/>
      <c r="E8" s="112"/>
      <c r="F8" s="112"/>
      <c r="G8" s="112"/>
      <c r="H8" s="112"/>
      <c r="I8" s="112"/>
      <c r="J8" s="112"/>
      <c r="K8" s="99"/>
    </row>
    <row r="9">
      <c r="B9" t="s" s="1">
        <v>130</v>
      </c>
      <c r="C9" s="112"/>
      <c r="D9" s="112"/>
      <c r="E9" s="112"/>
      <c r="F9" s="112"/>
      <c r="G9" s="112"/>
      <c r="H9" s="112"/>
      <c r="I9" s="112"/>
      <c r="J9" s="112"/>
      <c r="K9" s="99"/>
    </row>
    <row r="10">
      <c r="B10" t="s" s="17">
        <v>131</v>
      </c>
      <c r="C10" s="113"/>
      <c r="D10" s="113"/>
      <c r="E10" s="113"/>
      <c r="F10" s="113"/>
      <c r="G10" s="113"/>
      <c r="H10" s="113"/>
      <c r="I10" s="113"/>
      <c r="J10" s="113"/>
      <c r="K10" s="99"/>
    </row>
    <row r="11">
      <c r="B11" t="s" s="17">
        <v>132</v>
      </c>
      <c r="C11" s="113"/>
      <c r="D11" s="113"/>
      <c r="E11" s="113"/>
      <c r="F11" s="113"/>
      <c r="G11" s="113"/>
      <c r="H11" s="113"/>
      <c r="I11" s="113"/>
      <c r="J11" s="113"/>
      <c r="K11" s="99"/>
    </row>
    <row r="12">
      <c r="B12" t="s" s="17">
        <v>133</v>
      </c>
      <c r="C12" s="113"/>
      <c r="D12" s="113"/>
      <c r="E12" s="113"/>
      <c r="F12" s="113"/>
      <c r="G12" s="113"/>
      <c r="H12" s="113"/>
      <c r="I12" s="113"/>
      <c r="J12" s="113"/>
      <c r="K12" s="99"/>
    </row>
    <row r="13">
      <c r="B13" t="s" s="17">
        <v>134</v>
      </c>
      <c r="C13" s="113"/>
      <c r="D13" s="113"/>
      <c r="E13" s="113"/>
      <c r="F13" s="113"/>
      <c r="G13" s="113"/>
      <c r="H13" s="113"/>
      <c r="I13" s="113"/>
      <c r="J13" s="113"/>
      <c r="K13" s="99"/>
    </row>
    <row r="14">
      <c r="B14" t="s" s="17">
        <v>135</v>
      </c>
      <c r="C14" s="113"/>
      <c r="D14" s="113"/>
      <c r="E14" s="113"/>
      <c r="F14" s="113"/>
      <c r="G14" s="113"/>
      <c r="H14" s="113"/>
      <c r="I14" s="113"/>
      <c r="J14" s="113"/>
      <c r="K14" s="99"/>
    </row>
    <row r="15">
      <c r="B15" t="s" s="17">
        <v>136</v>
      </c>
      <c r="C15" s="113"/>
      <c r="D15" s="113"/>
      <c r="E15" s="113"/>
      <c r="F15" s="113"/>
      <c r="G15" s="113"/>
      <c r="H15" s="113"/>
      <c r="I15" s="113"/>
      <c r="J15" s="113"/>
      <c r="K15" s="99"/>
    </row>
    <row r="16">
      <c r="B16" t="s" s="17">
        <v>137</v>
      </c>
      <c r="C16" s="113"/>
      <c r="D16" s="113"/>
      <c r="E16" s="113"/>
      <c r="F16" s="113"/>
      <c r="G16" s="113"/>
      <c r="H16" s="113"/>
      <c r="I16" s="113"/>
      <c r="J16" s="113"/>
      <c r="K16" s="99"/>
    </row>
    <row r="17">
      <c r="B17" t="s" s="1">
        <v>138</v>
      </c>
      <c r="C17" s="112"/>
      <c r="D17" s="112"/>
      <c r="E17" s="112"/>
      <c r="F17" s="112"/>
      <c r="G17" s="112"/>
      <c r="H17" s="112"/>
      <c r="I17" s="112"/>
      <c r="J17" s="112"/>
      <c r="K17" s="99"/>
    </row>
    <row r="18">
      <c r="C18" s="51"/>
      <c r="D18" s="51"/>
      <c r="E18" s="51"/>
      <c r="F18" s="51"/>
      <c r="G18" s="51"/>
      <c r="H18" s="51"/>
      <c r="I18" s="51"/>
      <c r="J18" s="51"/>
      <c r="K18" s="99"/>
    </row>
    <row r="19">
      <c r="B19" t="s" s="5">
        <v>139</v>
      </c>
      <c r="C19" s="52"/>
      <c r="D19" s="52"/>
      <c r="E19" s="52"/>
      <c r="F19" s="52"/>
      <c r="G19" s="52"/>
      <c r="H19" s="52"/>
      <c r="I19" s="52"/>
      <c r="J19" s="52"/>
      <c r="K19" s="99"/>
    </row>
    <row r="20">
      <c r="B20" t="s" s="17">
        <v>140</v>
      </c>
      <c r="C20" s="113"/>
      <c r="D20" s="113"/>
      <c r="E20" s="113"/>
      <c r="F20" s="113"/>
      <c r="G20" s="113"/>
      <c r="H20" s="113"/>
      <c r="I20" s="113"/>
      <c r="J20" s="113"/>
      <c r="K20" s="99"/>
    </row>
    <row r="21">
      <c r="B21" t="s" s="17">
        <v>141</v>
      </c>
      <c r="C21" s="113"/>
      <c r="D21" s="113"/>
      <c r="E21" s="113"/>
      <c r="F21" s="113"/>
      <c r="G21" s="113"/>
      <c r="H21" s="113"/>
      <c r="I21" s="113"/>
      <c r="J21" s="113"/>
      <c r="K21" s="99"/>
    </row>
    <row r="22">
      <c r="B22" t="s" s="1">
        <v>142</v>
      </c>
      <c r="C22" s="112"/>
      <c r="D22" s="112"/>
      <c r="E22" s="112"/>
      <c r="F22" s="112"/>
      <c r="G22" s="112"/>
      <c r="H22" s="112"/>
      <c r="I22" s="112"/>
      <c r="J22" s="112"/>
      <c r="K22" s="99"/>
    </row>
    <row r="23">
      <c r="B23" t="s" s="1">
        <v>143</v>
      </c>
      <c r="C23" s="112"/>
      <c r="D23" s="112"/>
      <c r="E23" s="112"/>
      <c r="F23" s="112"/>
      <c r="G23" s="112"/>
      <c r="H23" s="112"/>
      <c r="I23" s="112"/>
      <c r="J23" s="112"/>
      <c r="K23" s="99"/>
    </row>
    <row r="24">
      <c r="B24" t="s" s="1">
        <v>144</v>
      </c>
      <c r="C24" s="112"/>
      <c r="D24" s="112"/>
      <c r="E24" s="112"/>
      <c r="F24" s="112"/>
      <c r="G24" s="112"/>
      <c r="H24" s="112"/>
      <c r="I24" s="112"/>
      <c r="J24" s="112"/>
      <c r="K24" s="99"/>
    </row>
    <row r="26">
      <c r="B26" t="s" s="5">
        <v>145</v>
      </c>
      <c r="C26" s="5"/>
      <c r="D26" s="5"/>
      <c r="E26" s="5"/>
      <c r="F26" s="5"/>
      <c r="G26" s="5"/>
      <c r="H26" s="5"/>
      <c r="I26" s="5"/>
      <c r="J26" s="5"/>
    </row>
    <row r="27">
      <c r="B27" t="s" s="17">
        <v>146</v>
      </c>
      <c r="C27" s="8"/>
      <c r="D27" t="e" s="8">
        <f>DCF!D40-D17</f>
        <v>#DIV/0!</v>
      </c>
      <c r="E27" t="e" s="8">
        <f>DCF!E40-E17</f>
        <v>#DIV/0!</v>
      </c>
      <c r="F27" t="e" s="8">
        <f>DCF!F40-F17</f>
        <v>#DIV/0!</v>
      </c>
      <c r="G27" t="e" s="8">
        <f>DCF!G40-G17</f>
        <v>#DIV/0!</v>
      </c>
      <c r="H27" t="e" s="8">
        <f>DCF!H40-H17</f>
        <v>#DIV/0!</v>
      </c>
      <c r="I27" t="e" s="8">
        <f>DCF!I40-I17</f>
        <v>#DIV/0!</v>
      </c>
      <c r="J27" t="e" s="8">
        <f>DCF!J40-J17</f>
        <v>#DIV/0!</v>
      </c>
    </row>
    <row r="28">
      <c r="B28" t="s" s="17">
        <v>141</v>
      </c>
      <c r="C28" s="8"/>
      <c r="D28" t="e" s="8">
        <f>DCF!D43-D21</f>
        <v>#DIV/0!</v>
      </c>
      <c r="E28" t="e" s="8">
        <f>DCF!E43-E21</f>
        <v>#DIV/0!</v>
      </c>
      <c r="F28" t="e" s="8">
        <f>DCF!F43-F21</f>
        <v>#DIV/0!</v>
      </c>
      <c r="G28" t="e" s="8">
        <f>DCF!G43-G21</f>
        <v>#DIV/0!</v>
      </c>
      <c r="H28" t="e" s="8">
        <f>DCF!H43-H21</f>
        <v>#DIV/0!</v>
      </c>
      <c r="I28" s="8"/>
      <c r="J28" s="8"/>
    </row>
    <row r="29">
      <c r="B29" t="s" s="17">
        <v>147</v>
      </c>
      <c r="C29" s="8"/>
      <c r="D29" t="e" s="8">
        <f>DCF!D48-D23</f>
        <v>#DIV/0!</v>
      </c>
      <c r="E29" t="e" s="8">
        <f>DCF!E48-E23</f>
        <v>#DIV/0!</v>
      </c>
      <c r="F29" t="e" s="8">
        <f>DCF!F48-F23</f>
        <v>#DIV/0!</v>
      </c>
      <c r="G29" t="e" s="8">
        <f>DCF!G48-G23</f>
        <v>#DIV/0!</v>
      </c>
      <c r="H29" t="e" s="8">
        <f>DCF!H48-H23</f>
        <v>#DIV/0!</v>
      </c>
      <c r="I29" s="8"/>
      <c r="J29" s="8"/>
    </row>
    <row r="30">
      <c r="B30" t="s" s="17">
        <v>148</v>
      </c>
      <c r="C30" s="8"/>
      <c r="D30" t="e" s="8">
        <f>DCF!D48-DCF!D68-D22</f>
        <v>#DIV/0!</v>
      </c>
      <c r="E30" t="e" s="8">
        <f>DCF!E48-DCF!E68-E22</f>
        <v>#DIV/0!</v>
      </c>
      <c r="F30" t="e" s="8">
        <f>DCF!F48-DCF!F68-F22</f>
        <v>#DIV/0!</v>
      </c>
      <c r="G30" t="e" s="8">
        <f>DCF!G48-DCF!G68-G22</f>
        <v>#DIV/0!</v>
      </c>
      <c r="H30" t="e" s="8">
        <f>DCF!H48-DCF!H68-H22</f>
        <v>#DIV/0!</v>
      </c>
      <c r="I30" s="8"/>
      <c r="J30" s="8"/>
    </row>
    <row r="31">
      <c r="B31" t="s" s="17">
        <v>149</v>
      </c>
      <c r="C31" s="8"/>
      <c r="D31" t="e" s="8">
        <f>DCF!D53-DCF!D68-D24</f>
        <v>#DIV/0!</v>
      </c>
      <c r="E31" t="e" s="8">
        <f>DCF!E53-DCF!E68-E24</f>
        <v>#DIV/0!</v>
      </c>
      <c r="F31" t="e" s="8">
        <f>DCF!F53-DCF!F68-F24</f>
        <v>#DIV/0!</v>
      </c>
      <c r="G31" t="e" s="8">
        <f>DCF!G53-DCF!G68-G24</f>
        <v>#DIV/0!</v>
      </c>
      <c r="H31" t="e" s="8">
        <f>DCF!H53-DCF!H68-H24</f>
        <v>#DIV/0!</v>
      </c>
      <c r="I31" s="8"/>
      <c r="J31" s="8"/>
    </row>
    <row r="32">
      <c r="B32" t="s" s="17">
        <v>150</v>
      </c>
      <c r="C32" s="8"/>
      <c r="D32" t="e" s="8">
        <f>-DCF!D68-D16</f>
        <v>#DIV/0!</v>
      </c>
      <c r="E32" t="e" s="8">
        <f>-DCF!E68-E16</f>
        <v>#DIV/0!</v>
      </c>
      <c r="F32" t="e" s="8">
        <f>-DCF!F68-F16</f>
        <v>#DIV/0!</v>
      </c>
      <c r="G32" t="e" s="8">
        <f>-DCF!G68-G16</f>
        <v>#DIV/0!</v>
      </c>
      <c r="H32" t="e" s="8">
        <f>-DCF!H68-H16</f>
        <v>#DIV/0!</v>
      </c>
      <c r="I32" t="e" s="8">
        <f>-DCF!I68-I16</f>
        <v>#DIV/0!</v>
      </c>
      <c r="J32" t="e" s="8">
        <f>-DCF!J68-J16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1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" sqref="A1"/>
    </sheetView>
  </sheetViews>
  <cols>
    <col min="1" max="1" width="2" customWidth="1"/>
    <col min="2" max="2" width="46" customWidth="1"/>
    <col min="3" max="14" width="10" customWidth="1"/>
  </cols>
  <sheetData>
    <row r="2">
      <c r="B2" t="s" s="2">
        <v>378</v>
      </c>
    </row>
    <row r="3">
      <c r="B3" t="s" s="4">
        <v>379</v>
      </c>
    </row>
    <row r="4">
      <c r="C4" t="s" s="49">
        <v>228</v>
      </c>
      <c r="D4" t="s" s="49">
        <v>229</v>
      </c>
      <c r="E4" s="49"/>
      <c r="F4" s="49"/>
      <c r="G4" s="49"/>
      <c r="H4" s="49"/>
      <c r="I4" t="s" s="49">
        <v>234</v>
      </c>
      <c r="J4" s="49"/>
      <c r="K4" t="s" s="49">
        <v>235</v>
      </c>
      <c r="L4" s="49"/>
      <c r="M4" s="49"/>
      <c r="N4" t="s" s="49">
        <v>236</v>
      </c>
    </row>
    <row r="5">
      <c r="C5" s="50">
        <f>DATE(2025,12,31)</f>
        <v>46022</v>
      </c>
      <c r="D5" s="50">
        <f>EDATE(C5,12)</f>
        <v>46387</v>
      </c>
      <c r="E5" s="50">
        <f>EDATE(D5,12)</f>
        <v>46752</v>
      </c>
      <c r="F5" s="50">
        <f>EDATE(E5,12)</f>
        <v>47118</v>
      </c>
      <c r="G5" s="50">
        <f>EDATE(F5,12)</f>
        <v>47483</v>
      </c>
      <c r="H5" s="56">
        <f>EDATE(G5,12)</f>
        <v>47848</v>
      </c>
      <c r="I5" s="50">
        <f>EDATE(H5,12)</f>
        <v>48213</v>
      </c>
      <c r="J5" s="50">
        <f>EDATE(I5,12)</f>
        <v>48579</v>
      </c>
      <c r="K5" s="50">
        <f>EDATE(J5,12)</f>
        <v>48944</v>
      </c>
      <c r="L5" s="50">
        <f>EDATE(K5,12)</f>
        <v>49309</v>
      </c>
      <c r="M5" s="50">
        <f>EDATE(L5,12)</f>
        <v>49674</v>
      </c>
      <c r="N5" t="s" s="30">
        <v>237</v>
      </c>
    </row>
    <row r="7">
      <c r="B7" t="s" s="5">
        <v>162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>
      <c r="B8" t="s" s="17">
        <v>112</v>
      </c>
      <c r="C8" t="e" s="41">
        <f>WACC!C43+Sensitivity!$C$6</f>
        <v>#DIV/0!</v>
      </c>
    </row>
    <row r="9">
      <c r="B9" t="s" s="17">
        <v>38</v>
      </c>
      <c r="C9" s="41">
        <f>Inputs!C45+Sensitivity!$C$7</f>
        <v>0.025</v>
      </c>
    </row>
    <row r="10">
      <c r="B10" t="s" s="17">
        <v>40</v>
      </c>
      <c r="C10" t="e" s="11">
        <f>Inputs!C47+Sensitivity!$C$8</f>
        <v>#NUM!</v>
      </c>
    </row>
    <row r="11">
      <c r="B11" t="s" s="17">
        <v>37</v>
      </c>
      <c r="C11" t="str" s="96">
        <f>Inputs!C44</f>
        <v>Perpetuity growth</v>
      </c>
    </row>
    <row r="12">
      <c r="B12" t="s" s="17">
        <v>100</v>
      </c>
      <c r="C12" s="47">
        <f>Inputs!C38</f>
        <v>0</v>
      </c>
    </row>
    <row r="14">
      <c r="B14" t="s" s="5">
        <v>163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>
      <c r="B15" t="s" s="61">
        <v>50</v>
      </c>
      <c r="C15" s="38"/>
      <c r="D15" t="e" s="38">
        <f>Projections!D8/Projections!C8-1</f>
        <v>#DIV/0!</v>
      </c>
      <c r="E15" t="e" s="38">
        <f>Projections!E8/Projections!D8-1</f>
        <v>#DIV/0!</v>
      </c>
      <c r="F15" t="e" s="38">
        <f>Projections!F8/Projections!E8-1</f>
        <v>#DIV/0!</v>
      </c>
      <c r="G15" t="e" s="38">
        <f>Projections!G8/Projections!F8-1</f>
        <v>#DIV/0!</v>
      </c>
      <c r="H15" t="e" s="38">
        <f>Projections!H8/Projections!G8-1</f>
        <v>#DIV/0!</v>
      </c>
      <c r="I15" t="e" s="38">
        <f>Projections!I8/Projections!H8-1</f>
        <v>#DIV/0!</v>
      </c>
      <c r="J15" t="e" s="38">
        <f>Projections!J8/Projections!I8-1</f>
        <v>#DIV/0!</v>
      </c>
      <c r="K15" t="e" s="38">
        <f>$J15+(Inputs!$C$59-$J15)*(YEAR(K$5)-YEAR($J$5))/(YEAR($M$5)-YEAR($J$5))</f>
        <v>#DIV/0!</v>
      </c>
      <c r="L15" t="e" s="38">
        <f>$J15+(Inputs!$C$59-$J15)*(YEAR(L$5)-YEAR($J$5))/(YEAR($M$5)-YEAR($J$5))</f>
        <v>#DIV/0!</v>
      </c>
      <c r="M15" t="e" s="38">
        <f>$J15+(Inputs!$C$59-$J15)*(YEAR(M$5)-YEAR($J$5))/(YEAR($M$5)-YEAR($J$5))</f>
        <v>#DIV/0!</v>
      </c>
      <c r="N15" s="38"/>
    </row>
    <row r="16">
      <c r="B16" t="s" s="61">
        <v>164</v>
      </c>
      <c r="C16" s="38"/>
      <c r="D16" s="38">
        <f>IF(YEAR(D$5)&gt;=Inputs!$C$55,Sensitivity!$C$9,0)</f>
        <v>0</v>
      </c>
      <c r="E16" s="38">
        <f>IF(YEAR(E$5)&gt;=Inputs!$C$55,Sensitivity!$C$9,0)</f>
        <v>0</v>
      </c>
      <c r="F16" s="38">
        <f>IF(YEAR(F$5)&gt;=Inputs!$C$55,Sensitivity!$C$9,0)</f>
        <v>0</v>
      </c>
      <c r="G16" s="38">
        <f>IF(YEAR(G$5)&gt;=Inputs!$C$55,Sensitivity!$C$9,0)</f>
        <v>0</v>
      </c>
      <c r="H16" s="38">
        <f>IF(YEAR(H$5)&gt;=Inputs!$C$55,Sensitivity!$C$9,0)</f>
        <v>0</v>
      </c>
      <c r="I16" s="38">
        <f>IF(YEAR(I$5)&gt;=Inputs!$C$55,Sensitivity!$C$9,0)</f>
        <v>0</v>
      </c>
      <c r="J16" s="38">
        <f>IF(YEAR(J$5)&gt;=Inputs!$C$55,Sensitivity!$C$9,0)</f>
        <v>0</v>
      </c>
      <c r="K16" s="38">
        <f>IF(YEAR(K$5)&gt;=Inputs!$C$55,Sensitivity!$C$9,0)</f>
        <v>0</v>
      </c>
      <c r="L16" s="38">
        <f>IF(YEAR(L$5)&gt;=Inputs!$C$55,Sensitivity!$C$9,0)</f>
        <v>0</v>
      </c>
      <c r="M16" s="38">
        <f>IF(YEAR(M$5)&gt;=Inputs!$C$55,Sensitivity!$C$9,0)</f>
        <v>0</v>
      </c>
      <c r="N16" s="38"/>
    </row>
    <row r="17">
      <c r="B17" t="s" s="61">
        <v>165</v>
      </c>
      <c r="C17" s="38"/>
      <c r="D17" t="e" s="38">
        <f>D15+D16</f>
        <v>#DIV/0!</v>
      </c>
      <c r="E17" t="e" s="38">
        <f>E15+E16</f>
        <v>#DIV/0!</v>
      </c>
      <c r="F17" t="e" s="38">
        <f>F15+F16</f>
        <v>#DIV/0!</v>
      </c>
      <c r="G17" t="e" s="38">
        <f>G15+G16</f>
        <v>#DIV/0!</v>
      </c>
      <c r="H17" t="e" s="38">
        <f>H15+H16</f>
        <v>#DIV/0!</v>
      </c>
      <c r="I17" t="e" s="38">
        <f>I15+I16</f>
        <v>#DIV/0!</v>
      </c>
      <c r="J17" t="e" s="38">
        <f>J15+J16</f>
        <v>#DIV/0!</v>
      </c>
      <c r="K17" t="e" s="38">
        <f>K15+K16</f>
        <v>#DIV/0!</v>
      </c>
      <c r="L17" t="e" s="38">
        <f>L15+L16</f>
        <v>#DIV/0!</v>
      </c>
      <c r="M17" t="e" s="38">
        <f>M15+M16</f>
        <v>#DIV/0!</v>
      </c>
      <c r="N17" s="38"/>
    </row>
    <row r="18">
      <c r="B18" t="s" s="61">
        <v>51</v>
      </c>
      <c r="C18" t="e" s="38">
        <f>Projections!C9/Projections!C8</f>
        <v>#DIV/0!</v>
      </c>
      <c r="D18" t="e" s="38">
        <f>Projections!D9/Projections!D8</f>
        <v>#DIV/0!</v>
      </c>
      <c r="E18" t="e" s="38">
        <f>Projections!E9/Projections!E8</f>
        <v>#DIV/0!</v>
      </c>
      <c r="F18" t="e" s="38">
        <f>Projections!F9/Projections!F8</f>
        <v>#DIV/0!</v>
      </c>
      <c r="G18" t="e" s="38">
        <f>Projections!G9/Projections!G8</f>
        <v>#DIV/0!</v>
      </c>
      <c r="H18" t="e" s="38">
        <f>Projections!H9/Projections!H8</f>
        <v>#DIV/0!</v>
      </c>
      <c r="I18" t="e" s="38">
        <f>Projections!I9/Projections!I8</f>
        <v>#DIV/0!</v>
      </c>
      <c r="J18" t="e" s="38">
        <f>Projections!J9/Projections!J8</f>
        <v>#DIV/0!</v>
      </c>
      <c r="K18" t="e" s="38">
        <f>$J18+(Inputs!$C$60-$J18)*(YEAR(K$5)-YEAR($J$5))/(YEAR($M$5)-YEAR($J$5))</f>
        <v>#DIV/0!</v>
      </c>
      <c r="L18" t="e" s="38">
        <f>$J18+(Inputs!$C$60-$J18)*(YEAR(L$5)-YEAR($J$5))/(YEAR($M$5)-YEAR($J$5))</f>
        <v>#DIV/0!</v>
      </c>
      <c r="M18" t="e" s="38">
        <f>$J18+(Inputs!$C$60-$J18)*(YEAR(M$5)-YEAR($J$5))/(YEAR($M$5)-YEAR($J$5))</f>
        <v>#DIV/0!</v>
      </c>
      <c r="N18" t="e" s="38">
        <f>M18</f>
        <v>#DIV/0!</v>
      </c>
    </row>
    <row r="19">
      <c r="B19" t="s" s="61">
        <v>166</v>
      </c>
      <c r="C19" s="38">
        <f>Sensitivity!$C$10*MIN(1,MAX(0,(YEAR(C$5)-Inputs!$C$55+1)/Inputs!$C$56))</f>
        <v>0</v>
      </c>
      <c r="D19" s="38">
        <f>Sensitivity!$C$10*MIN(1,MAX(0,(YEAR(D$5)-Inputs!$C$55+1)/Inputs!$C$56))</f>
        <v>0</v>
      </c>
      <c r="E19" s="38">
        <f>Sensitivity!$C$10*MIN(1,MAX(0,(YEAR(E$5)-Inputs!$C$55+1)/Inputs!$C$56))</f>
        <v>0</v>
      </c>
      <c r="F19" s="38">
        <f>Sensitivity!$C$10*MIN(1,MAX(0,(YEAR(F$5)-Inputs!$C$55+1)/Inputs!$C$56))</f>
        <v>0</v>
      </c>
      <c r="G19" s="38">
        <f>Sensitivity!$C$10*MIN(1,MAX(0,(YEAR(G$5)-Inputs!$C$55+1)/Inputs!$C$56))</f>
        <v>0</v>
      </c>
      <c r="H19" s="38">
        <f>Sensitivity!$C$10*MIN(1,MAX(0,(YEAR(H$5)-Inputs!$C$55+1)/Inputs!$C$56))</f>
        <v>0</v>
      </c>
      <c r="I19" s="38">
        <f>Sensitivity!$C$10*MIN(1,MAX(0,(YEAR(I$5)-Inputs!$C$55+1)/Inputs!$C$56))</f>
        <v>0</v>
      </c>
      <c r="J19" s="38">
        <f>Sensitivity!$C$10*MIN(1,MAX(0,(YEAR(J$5)-Inputs!$C$55+1)/Inputs!$C$56))</f>
        <v>0</v>
      </c>
      <c r="K19" s="38">
        <f>Sensitivity!$C$10*MIN(1,MAX(0,(YEAR(K$5)-Inputs!$C$55+1)/Inputs!$C$56))</f>
        <v>0</v>
      </c>
      <c r="L19" s="38">
        <f>Sensitivity!$C$10*MIN(1,MAX(0,(YEAR(L$5)-Inputs!$C$55+1)/Inputs!$C$56))</f>
        <v>0</v>
      </c>
      <c r="M19" s="38">
        <f>Sensitivity!$C$10*MIN(1,MAX(0,(YEAR(M$5)-Inputs!$C$55+1)/Inputs!$C$56))</f>
        <v>0</v>
      </c>
      <c r="N19" s="38">
        <f>M19</f>
        <v>0</v>
      </c>
    </row>
    <row r="20">
      <c r="B20" t="s" s="61">
        <v>167</v>
      </c>
      <c r="C20" t="e" s="38">
        <f>C18+C19</f>
        <v>#DIV/0!</v>
      </c>
      <c r="D20" t="e" s="38">
        <f>D18+D19</f>
        <v>#DIV/0!</v>
      </c>
      <c r="E20" t="e" s="38">
        <f>E18+E19</f>
        <v>#DIV/0!</v>
      </c>
      <c r="F20" t="e" s="38">
        <f>F18+F19</f>
        <v>#DIV/0!</v>
      </c>
      <c r="G20" t="e" s="38">
        <f>G18+G19</f>
        <v>#DIV/0!</v>
      </c>
      <c r="H20" t="e" s="38">
        <f>H18+H19</f>
        <v>#DIV/0!</v>
      </c>
      <c r="I20" t="e" s="38">
        <f>I18+I19</f>
        <v>#DIV/0!</v>
      </c>
      <c r="J20" t="e" s="38">
        <f>J18+J19</f>
        <v>#DIV/0!</v>
      </c>
      <c r="K20" t="e" s="38">
        <f>K18+K19</f>
        <v>#DIV/0!</v>
      </c>
      <c r="L20" t="e" s="38">
        <f>L18+L19</f>
        <v>#DIV/0!</v>
      </c>
      <c r="M20" t="e" s="38">
        <f>M18+M19</f>
        <v>#DIV/0!</v>
      </c>
      <c r="N20" t="e" s="38">
        <f>N18+N19</f>
        <v>#DIV/0!</v>
      </c>
    </row>
    <row r="21">
      <c r="B21" t="s" s="17">
        <v>52</v>
      </c>
      <c r="C21" s="62">
        <f>Projections!C10</f>
        <v>0</v>
      </c>
      <c r="D21" s="62">
        <f>Projections!D10</f>
        <v>0</v>
      </c>
      <c r="E21" s="62">
        <f>Projections!E10</f>
        <v>0</v>
      </c>
      <c r="F21" s="62">
        <f>Projections!F10</f>
        <v>0</v>
      </c>
      <c r="G21" s="62">
        <f>Projections!G10</f>
        <v>0</v>
      </c>
      <c r="H21" s="62">
        <f>Projections!H10</f>
        <v>0</v>
      </c>
      <c r="I21" s="62">
        <f>Projections!I10</f>
        <v>0</v>
      </c>
      <c r="J21" s="62">
        <f>Projections!J10</f>
        <v>0</v>
      </c>
      <c r="K21" s="62">
        <f>Inputs!$C$61</f>
        <v>0</v>
      </c>
      <c r="L21" s="62">
        <f>Inputs!$C$61</f>
        <v>0</v>
      </c>
      <c r="M21" s="62">
        <f>Inputs!$C$61</f>
        <v>0</v>
      </c>
      <c r="N21" s="62">
        <f>Inputs!$C$61</f>
        <v>0</v>
      </c>
    </row>
    <row r="22">
      <c r="B22" t="s" s="61">
        <v>53</v>
      </c>
      <c r="C22" t="e" s="38">
        <f>-Projections!C13/Projections!C8</f>
        <v>#DIV/0!</v>
      </c>
      <c r="D22" t="e" s="38">
        <f>-Projections!D13/Projections!D8</f>
        <v>#DIV/0!</v>
      </c>
      <c r="E22" t="e" s="38">
        <f>-Projections!E13/Projections!E8</f>
        <v>#DIV/0!</v>
      </c>
      <c r="F22" t="e" s="38">
        <f>-Projections!F13/Projections!F8</f>
        <v>#DIV/0!</v>
      </c>
      <c r="G22" t="e" s="38">
        <f>-Projections!G13/Projections!G8</f>
        <v>#DIV/0!</v>
      </c>
      <c r="H22" t="e" s="38">
        <f>-Projections!H13/Projections!H8</f>
        <v>#DIV/0!</v>
      </c>
      <c r="I22" s="63">
        <f>Inputs!$C$62</f>
        <v>0</v>
      </c>
      <c r="J22" s="63">
        <f>Inputs!$C$62</f>
        <v>0</v>
      </c>
      <c r="K22" s="63">
        <f>Inputs!$C$62</f>
        <v>0</v>
      </c>
      <c r="L22" s="63">
        <f>Inputs!$C$62</f>
        <v>0</v>
      </c>
      <c r="M22" s="63">
        <f>Inputs!$C$62</f>
        <v>0</v>
      </c>
      <c r="N22" s="63">
        <f>Inputs!$C$62</f>
        <v>0</v>
      </c>
    </row>
    <row r="23">
      <c r="B23" t="s" s="61">
        <v>54</v>
      </c>
      <c r="C23" t="e" s="38">
        <f>Projections!C11/Projections!C13</f>
        <v>#DIV/0!</v>
      </c>
      <c r="D23" t="e" s="38">
        <f>Projections!D11/Projections!D13</f>
        <v>#DIV/0!</v>
      </c>
      <c r="E23" t="e" s="38">
        <f>Projections!E11/Projections!E13</f>
        <v>#DIV/0!</v>
      </c>
      <c r="F23" t="e" s="38">
        <f>Projections!F11/Projections!F13</f>
        <v>#DIV/0!</v>
      </c>
      <c r="G23" t="e" s="38">
        <f>Projections!G11/Projections!G13</f>
        <v>#DIV/0!</v>
      </c>
      <c r="H23" t="e" s="38">
        <f>Projections!H11/Projections!H13</f>
        <v>#DIV/0!</v>
      </c>
      <c r="I23" t="e" s="38">
        <f>-Projections!I11/(Inputs!$C$62*Projections!I8)</f>
        <v>#DIV/0!</v>
      </c>
      <c r="J23" t="e" s="38">
        <f>-Projections!J11/(Inputs!$C$62*Projections!J8)</f>
        <v>#DIV/0!</v>
      </c>
      <c r="K23" t="e" s="38">
        <f>$J23+(Inputs!$C$63-$J23)*(YEAR(K$5)-YEAR($J$5))/(YEAR($M$5)-YEAR($J$5))</f>
        <v>#DIV/0!</v>
      </c>
      <c r="L23" t="e" s="38">
        <f>$J23+(Inputs!$C$63-$J23)*(YEAR(L$5)-YEAR($J$5))/(YEAR($M$5)-YEAR($J$5))</f>
        <v>#DIV/0!</v>
      </c>
      <c r="M23" t="e" s="38">
        <f>$J23+(Inputs!$C$63-$J23)*(YEAR(M$5)-YEAR($J$5))/(YEAR($M$5)-YEAR($J$5))</f>
        <v>#DIV/0!</v>
      </c>
      <c r="N23" s="63">
        <f>Inputs!$C$48</f>
        <v>1</v>
      </c>
    </row>
    <row r="24">
      <c r="B24" t="s" s="61">
        <v>55</v>
      </c>
      <c r="C24" s="38"/>
      <c r="D24" t="e" s="38">
        <f>Projections!D15/Projections!D8</f>
        <v>#DIV/0!</v>
      </c>
      <c r="E24" t="e" s="38">
        <f>Projections!E15/Projections!E8</f>
        <v>#DIV/0!</v>
      </c>
      <c r="F24" t="e" s="38">
        <f>Projections!F15/Projections!F8</f>
        <v>#DIV/0!</v>
      </c>
      <c r="G24" t="e" s="38">
        <f>Projections!G15/Projections!G8</f>
        <v>#DIV/0!</v>
      </c>
      <c r="H24" t="e" s="38">
        <f>Projections!H15/Projections!H8</f>
        <v>#DIV/0!</v>
      </c>
      <c r="I24" s="63">
        <f>Inputs!$C$64</f>
        <v>0</v>
      </c>
      <c r="J24" s="63">
        <f>Inputs!$C$64</f>
        <v>0</v>
      </c>
      <c r="K24" s="63">
        <f>Inputs!$C$64</f>
        <v>0</v>
      </c>
      <c r="L24" s="63">
        <f>Inputs!$C$64</f>
        <v>0</v>
      </c>
      <c r="M24" s="63">
        <f>Inputs!$C$64</f>
        <v>0</v>
      </c>
      <c r="N24" s="63">
        <f>Inputs!$C$64</f>
        <v>0</v>
      </c>
    </row>
    <row r="25">
      <c r="B25" t="s" s="61">
        <v>56</v>
      </c>
      <c r="C25" s="38"/>
      <c r="D25" t="e" s="38">
        <f>Projections!D12/Projections!D15</f>
        <v>#DIV/0!</v>
      </c>
      <c r="E25" t="e" s="38">
        <f>Projections!E12/Projections!E15</f>
        <v>#DIV/0!</v>
      </c>
      <c r="F25" t="e" s="38">
        <f>Projections!F12/Projections!F15</f>
        <v>#DIV/0!</v>
      </c>
      <c r="G25" t="e" s="38">
        <f>Projections!G12/Projections!G15</f>
        <v>#DIV/0!</v>
      </c>
      <c r="H25" t="e" s="38">
        <f>Projections!H12/Projections!H15</f>
        <v>#DIV/0!</v>
      </c>
      <c r="I25" t="e" s="38">
        <f>$H25+(Inputs!$C$65-$H25)*(YEAR(I$5)-YEAR($H$5))/(YEAR($M$5)-YEAR($H$5))</f>
        <v>#DIV/0!</v>
      </c>
      <c r="J25" t="e" s="38">
        <f>$H25+(Inputs!$C$65-$H25)*(YEAR(J$5)-YEAR($H$5))/(YEAR($M$5)-YEAR($H$5))</f>
        <v>#DIV/0!</v>
      </c>
      <c r="K25" t="e" s="38">
        <f>$H25+(Inputs!$C$65-$H25)*(YEAR(K$5)-YEAR($H$5))/(YEAR($M$5)-YEAR($H$5))</f>
        <v>#DIV/0!</v>
      </c>
      <c r="L25" t="e" s="38">
        <f>$H25+(Inputs!$C$65-$H25)*(YEAR(L$5)-YEAR($H$5))/(YEAR($M$5)-YEAR($H$5))</f>
        <v>#DIV/0!</v>
      </c>
      <c r="M25" t="e" s="38">
        <f>$H25+(Inputs!$C$65-$H25)*(YEAR(M$5)-YEAR($H$5))/(YEAR($M$5)-YEAR($H$5))</f>
        <v>#DIV/0!</v>
      </c>
      <c r="N25" t="e" s="38">
        <f>M25</f>
        <v>#DIV/0!</v>
      </c>
    </row>
    <row r="26">
      <c r="B26" t="s" s="61">
        <v>57</v>
      </c>
      <c r="C26" t="e" s="38">
        <f>-Projections!C14/Projections!C8</f>
        <v>#DIV/0!</v>
      </c>
      <c r="D26" t="e" s="38">
        <f>-Projections!D14/Projections!D8</f>
        <v>#DIV/0!</v>
      </c>
      <c r="E26" t="e" s="38">
        <f>-Projections!E14/Projections!E8</f>
        <v>#DIV/0!</v>
      </c>
      <c r="F26" t="e" s="38">
        <f>-Projections!F14/Projections!F8</f>
        <v>#DIV/0!</v>
      </c>
      <c r="G26" t="e" s="38">
        <f>-Projections!G14/Projections!G8</f>
        <v>#DIV/0!</v>
      </c>
      <c r="H26" t="e" s="38">
        <f>-Projections!H14/Projections!H8</f>
        <v>#DIV/0!</v>
      </c>
      <c r="I26" s="63">
        <f>Inputs!$C$66</f>
        <v>0</v>
      </c>
      <c r="J26" s="63">
        <f>Inputs!$C$66</f>
        <v>0</v>
      </c>
      <c r="K26" s="63">
        <f>Inputs!$C$66</f>
        <v>0</v>
      </c>
      <c r="L26" s="63">
        <f>Inputs!$C$66</f>
        <v>0</v>
      </c>
      <c r="M26" s="63">
        <f>Inputs!$C$66</f>
        <v>0</v>
      </c>
      <c r="N26" s="63">
        <f>Inputs!$C$66</f>
        <v>0</v>
      </c>
    </row>
    <row r="28">
      <c r="B28" t="s" s="5">
        <v>168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>
      <c r="B29" t="s" s="1">
        <v>129</v>
      </c>
      <c r="C29" s="64">
        <f>Projections!C8</f>
        <v>0</v>
      </c>
      <c r="D29" t="e" s="53">
        <f>C29*(1+D17)</f>
        <v>#DIV/0!</v>
      </c>
      <c r="E29" t="e" s="53">
        <f>D29*(1+E17)</f>
        <v>#DIV/0!</v>
      </c>
      <c r="F29" t="e" s="53">
        <f>E29*(1+F17)</f>
        <v>#DIV/0!</v>
      </c>
      <c r="G29" t="e" s="53">
        <f>F29*(1+G17)</f>
        <v>#DIV/0!</v>
      </c>
      <c r="H29" t="e" s="53">
        <f>G29*(1+H17)</f>
        <v>#DIV/0!</v>
      </c>
      <c r="I29" t="e" s="53">
        <f>H29*(1+I17)</f>
        <v>#DIV/0!</v>
      </c>
      <c r="J29" t="e" s="53">
        <f>I29*(1+J17)</f>
        <v>#DIV/0!</v>
      </c>
      <c r="K29" t="e" s="53">
        <f>J29*(1+K17)</f>
        <v>#DIV/0!</v>
      </c>
      <c r="L29" t="e" s="53">
        <f>K29*(1+L17)</f>
        <v>#DIV/0!</v>
      </c>
      <c r="M29" t="e" s="53">
        <f>L29*(1+M17)</f>
        <v>#DIV/0!</v>
      </c>
      <c r="N29" t="e" s="53">
        <f>M29</f>
        <v>#DIV/0!</v>
      </c>
    </row>
    <row r="30">
      <c r="B30" t="s" s="1">
        <v>130</v>
      </c>
      <c r="C30" s="64">
        <f>Projections!C9</f>
        <v>0</v>
      </c>
      <c r="D30" t="e" s="53">
        <f>D29*D20</f>
        <v>#DIV/0!</v>
      </c>
      <c r="E30" t="e" s="53">
        <f>E29*E20</f>
        <v>#DIV/0!</v>
      </c>
      <c r="F30" t="e" s="53">
        <f>F29*F20</f>
        <v>#DIV/0!</v>
      </c>
      <c r="G30" t="e" s="53">
        <f>G29*G20</f>
        <v>#DIV/0!</v>
      </c>
      <c r="H30" t="e" s="53">
        <f>H29*H20</f>
        <v>#DIV/0!</v>
      </c>
      <c r="I30" t="e" s="53">
        <f>I29*I20</f>
        <v>#DIV/0!</v>
      </c>
      <c r="J30" t="e" s="53">
        <f>J29*J20</f>
        <v>#DIV/0!</v>
      </c>
      <c r="K30" t="e" s="53">
        <f>K29*K20</f>
        <v>#DIV/0!</v>
      </c>
      <c r="L30" t="e" s="53">
        <f>L29*L20</f>
        <v>#DIV/0!</v>
      </c>
      <c r="M30" t="e" s="53">
        <f>M29*M20</f>
        <v>#DIV/0!</v>
      </c>
      <c r="N30" t="e" s="53">
        <f>N29*N20</f>
        <v>#DIV/0!</v>
      </c>
    </row>
    <row r="31">
      <c r="B31" t="s" s="17">
        <v>169</v>
      </c>
      <c r="C31" s="62">
        <f>Projections!C13</f>
        <v>0</v>
      </c>
      <c r="D31" t="e" s="51">
        <f>-D29*D22</f>
        <v>#DIV/0!</v>
      </c>
      <c r="E31" t="e" s="51">
        <f>-E29*E22</f>
        <v>#DIV/0!</v>
      </c>
      <c r="F31" t="e" s="51">
        <f>-F29*F22</f>
        <v>#DIV/0!</v>
      </c>
      <c r="G31" t="e" s="51">
        <f>-G29*G22</f>
        <v>#DIV/0!</v>
      </c>
      <c r="H31" t="e" s="51">
        <f>-H29*H22</f>
        <v>#DIV/0!</v>
      </c>
      <c r="I31" t="e" s="51">
        <f>-I29*I22</f>
        <v>#DIV/0!</v>
      </c>
      <c r="J31" t="e" s="51">
        <f>-J29*J22</f>
        <v>#DIV/0!</v>
      </c>
      <c r="K31" t="e" s="51">
        <f>-K29*K22</f>
        <v>#DIV/0!</v>
      </c>
      <c r="L31" t="e" s="51">
        <f>-L29*L22</f>
        <v>#DIV/0!</v>
      </c>
      <c r="M31" t="e" s="51">
        <f>-M29*M22</f>
        <v>#DIV/0!</v>
      </c>
      <c r="N31" t="e" s="51">
        <f>-N29*N22</f>
        <v>#DIV/0!</v>
      </c>
    </row>
    <row r="32">
      <c r="B32" t="s" s="17">
        <v>170</v>
      </c>
      <c r="C32" s="62">
        <f>Projections!C11</f>
        <v>0</v>
      </c>
      <c r="D32" t="e" s="51">
        <f>D31*D23</f>
        <v>#DIV/0!</v>
      </c>
      <c r="E32" t="e" s="51">
        <f>E31*E23</f>
        <v>#DIV/0!</v>
      </c>
      <c r="F32" t="e" s="51">
        <f>F31*F23</f>
        <v>#DIV/0!</v>
      </c>
      <c r="G32" t="e" s="51">
        <f>G31*G23</f>
        <v>#DIV/0!</v>
      </c>
      <c r="H32" t="e" s="51">
        <f>H31*H23</f>
        <v>#DIV/0!</v>
      </c>
      <c r="I32" t="e" s="51">
        <f>I31*I23</f>
        <v>#DIV/0!</v>
      </c>
      <c r="J32" t="e" s="51">
        <f>J31*J23</f>
        <v>#DIV/0!</v>
      </c>
      <c r="K32" t="e" s="51">
        <f>K31*K23</f>
        <v>#DIV/0!</v>
      </c>
      <c r="L32" t="e" s="51">
        <f>L31*L23</f>
        <v>#DIV/0!</v>
      </c>
      <c r="M32" t="e" s="51">
        <f>M31*M23</f>
        <v>#DIV/0!</v>
      </c>
      <c r="N32" t="e" s="51">
        <f>N31*N23</f>
        <v>#DIV/0!</v>
      </c>
    </row>
    <row r="33">
      <c r="B33" t="s" s="17">
        <v>171</v>
      </c>
      <c r="C33" s="62">
        <f>Projections!C12</f>
        <v>0</v>
      </c>
      <c r="D33" t="e" s="51">
        <f>D29*D24*D25</f>
        <v>#DIV/0!</v>
      </c>
      <c r="E33" t="e" s="51">
        <f>E29*E24*E25</f>
        <v>#DIV/0!</v>
      </c>
      <c r="F33" t="e" s="51">
        <f>F29*F24*F25</f>
        <v>#DIV/0!</v>
      </c>
      <c r="G33" t="e" s="51">
        <f>G29*G24*G25</f>
        <v>#DIV/0!</v>
      </c>
      <c r="H33" t="e" s="51">
        <f>H29*H24*H25</f>
        <v>#DIV/0!</v>
      </c>
      <c r="I33" t="e" s="51">
        <f>I29*I24*I25</f>
        <v>#DIV/0!</v>
      </c>
      <c r="J33" t="e" s="51">
        <f>J29*J24*J25</f>
        <v>#DIV/0!</v>
      </c>
      <c r="K33" t="e" s="51">
        <f>K29*K24*K25</f>
        <v>#DIV/0!</v>
      </c>
      <c r="L33" t="e" s="51">
        <f>L29*L24*L25</f>
        <v>#DIV/0!</v>
      </c>
      <c r="M33" t="e" s="51">
        <f>M29*M24*M25</f>
        <v>#DIV/0!</v>
      </c>
      <c r="N33" t="e" s="51">
        <f>N29*N24*N25</f>
        <v>#DIV/0!</v>
      </c>
    </row>
    <row r="34">
      <c r="B34" t="s" s="17">
        <v>172</v>
      </c>
      <c r="C34" s="62">
        <f>Projections!C14</f>
        <v>0</v>
      </c>
      <c r="D34" t="e" s="51">
        <f>-D29*D26</f>
        <v>#DIV/0!</v>
      </c>
      <c r="E34" t="e" s="51">
        <f>-E29*E26</f>
        <v>#DIV/0!</v>
      </c>
      <c r="F34" t="e" s="51">
        <f>-F29*F26</f>
        <v>#DIV/0!</v>
      </c>
      <c r="G34" t="e" s="51">
        <f>-G29*G26</f>
        <v>#DIV/0!</v>
      </c>
      <c r="H34" t="e" s="51">
        <f>-H29*H26</f>
        <v>#DIV/0!</v>
      </c>
      <c r="I34" t="e" s="51">
        <f>-I29*I26</f>
        <v>#DIV/0!</v>
      </c>
      <c r="J34" t="e" s="51">
        <f>-J29*J26</f>
        <v>#DIV/0!</v>
      </c>
      <c r="K34" t="e" s="51">
        <f>-K29*K26</f>
        <v>#DIV/0!</v>
      </c>
      <c r="L34" t="e" s="51">
        <f>-L29*L26</f>
        <v>#DIV/0!</v>
      </c>
      <c r="M34" t="e" s="51">
        <f>-M29*M26</f>
        <v>#DIV/0!</v>
      </c>
      <c r="N34" t="e" s="51">
        <f>-N29*N26</f>
        <v>#DIV/0!</v>
      </c>
    </row>
    <row r="35"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</row>
    <row r="36">
      <c r="B36" t="s" s="5">
        <v>173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  <row r="37">
      <c r="B37" t="s" s="17">
        <v>174</v>
      </c>
      <c r="C37" s="51">
        <f>C30</f>
        <v>0</v>
      </c>
      <c r="D37" t="e" s="51">
        <f>D30</f>
        <v>#DIV/0!</v>
      </c>
      <c r="E37" t="e" s="51">
        <f>E30</f>
        <v>#DIV/0!</v>
      </c>
      <c r="F37" t="e" s="51">
        <f>F30</f>
        <v>#DIV/0!</v>
      </c>
      <c r="G37" t="e" s="51">
        <f>G30</f>
        <v>#DIV/0!</v>
      </c>
      <c r="H37" t="e" s="51">
        <f>H30</f>
        <v>#DIV/0!</v>
      </c>
      <c r="I37" t="e" s="51">
        <f>I30</f>
        <v>#DIV/0!</v>
      </c>
      <c r="J37" t="e" s="51">
        <f>J30</f>
        <v>#DIV/0!</v>
      </c>
      <c r="K37" t="e" s="51">
        <f>K30</f>
        <v>#DIV/0!</v>
      </c>
      <c r="L37" t="e" s="51">
        <f>L30</f>
        <v>#DIV/0!</v>
      </c>
      <c r="M37" t="e" s="51">
        <f>M30</f>
        <v>#DIV/0!</v>
      </c>
      <c r="N37" t="e" s="51">
        <f>N30</f>
        <v>#DIV/0!</v>
      </c>
    </row>
    <row r="38">
      <c r="B38" t="s" s="17">
        <v>131</v>
      </c>
      <c r="C38" s="51">
        <f>C21</f>
        <v>0</v>
      </c>
      <c r="D38" s="51">
        <f>D21</f>
        <v>0</v>
      </c>
      <c r="E38" s="51">
        <f>E21</f>
        <v>0</v>
      </c>
      <c r="F38" s="51">
        <f>F21</f>
        <v>0</v>
      </c>
      <c r="G38" s="51">
        <f>G21</f>
        <v>0</v>
      </c>
      <c r="H38" s="51">
        <f>H21</f>
        <v>0</v>
      </c>
      <c r="I38" s="51">
        <f>I21</f>
        <v>0</v>
      </c>
      <c r="J38" s="51">
        <f>J21</f>
        <v>0</v>
      </c>
      <c r="K38" s="51">
        <f>K21</f>
        <v>0</v>
      </c>
      <c r="L38" s="51">
        <f>L21</f>
        <v>0</v>
      </c>
      <c r="M38" s="51">
        <f>M21</f>
        <v>0</v>
      </c>
      <c r="N38" s="51">
        <f>N21</f>
        <v>0</v>
      </c>
    </row>
    <row r="39">
      <c r="B39" t="s" s="17">
        <v>132</v>
      </c>
      <c r="C39" s="51">
        <f>C32</f>
        <v>0</v>
      </c>
      <c r="D39" t="e" s="51">
        <f>D32</f>
        <v>#DIV/0!</v>
      </c>
      <c r="E39" t="e" s="51">
        <f>E32</f>
        <v>#DIV/0!</v>
      </c>
      <c r="F39" t="e" s="51">
        <f>F32</f>
        <v>#DIV/0!</v>
      </c>
      <c r="G39" t="e" s="51">
        <f>G32</f>
        <v>#DIV/0!</v>
      </c>
      <c r="H39" t="e" s="51">
        <f>H32</f>
        <v>#DIV/0!</v>
      </c>
      <c r="I39" t="e" s="51">
        <f>I32</f>
        <v>#DIV/0!</v>
      </c>
      <c r="J39" t="e" s="51">
        <f>J32</f>
        <v>#DIV/0!</v>
      </c>
      <c r="K39" t="e" s="51">
        <f>K32</f>
        <v>#DIV/0!</v>
      </c>
      <c r="L39" t="e" s="51">
        <f>L32</f>
        <v>#DIV/0!</v>
      </c>
      <c r="M39" t="e" s="51">
        <f>M32</f>
        <v>#DIV/0!</v>
      </c>
      <c r="N39" t="e" s="51">
        <f>N32</f>
        <v>#DIV/0!</v>
      </c>
    </row>
    <row r="40">
      <c r="B40" t="s" s="14">
        <v>175</v>
      </c>
      <c r="C40" s="57">
        <f>SUM(C37:C39)</f>
        <v>0</v>
      </c>
      <c r="D40" t="e" s="57">
        <f>SUM(D37:D39)</f>
        <v>#DIV/0!</v>
      </c>
      <c r="E40" t="e" s="57">
        <f>SUM(E37:E39)</f>
        <v>#DIV/0!</v>
      </c>
      <c r="F40" t="e" s="57">
        <f>SUM(F37:F39)</f>
        <v>#DIV/0!</v>
      </c>
      <c r="G40" t="e" s="57">
        <f>SUM(G37:G39)</f>
        <v>#DIV/0!</v>
      </c>
      <c r="H40" t="e" s="57">
        <f>SUM(H37:H39)</f>
        <v>#DIV/0!</v>
      </c>
      <c r="I40" t="e" s="57">
        <f>SUM(I37:I39)</f>
        <v>#DIV/0!</v>
      </c>
      <c r="J40" t="e" s="57">
        <f>SUM(J37:J39)</f>
        <v>#DIV/0!</v>
      </c>
      <c r="K40" t="e" s="57">
        <f>SUM(K37:K39)</f>
        <v>#DIV/0!</v>
      </c>
      <c r="L40" t="e" s="57">
        <f>SUM(L37:L39)</f>
        <v>#DIV/0!</v>
      </c>
      <c r="M40" t="e" s="57">
        <f>SUM(M37:M39)</f>
        <v>#DIV/0!</v>
      </c>
      <c r="N40" t="e" s="57">
        <f>SUM(N37:N39)</f>
        <v>#DIV/0!</v>
      </c>
    </row>
    <row r="41">
      <c r="B41" t="s" s="17">
        <v>176</v>
      </c>
      <c r="C41" s="51">
        <f>-MAX(0,C40)*$C$12</f>
        <v>0</v>
      </c>
      <c r="D41" t="e" s="51">
        <f>-MAX(0,D40)*$C$12</f>
        <v>#DIV/0!</v>
      </c>
      <c r="E41" t="e" s="51">
        <f>-MAX(0,E40)*$C$12</f>
        <v>#DIV/0!</v>
      </c>
      <c r="F41" t="e" s="51">
        <f>-MAX(0,F40)*$C$12</f>
        <v>#DIV/0!</v>
      </c>
      <c r="G41" t="e" s="51">
        <f>-MAX(0,G40)*$C$12</f>
        <v>#DIV/0!</v>
      </c>
      <c r="H41" t="e" s="51">
        <f>-MAX(0,H40)*$C$12</f>
        <v>#DIV/0!</v>
      </c>
      <c r="I41" t="e" s="51">
        <f>-MAX(0,I40)*$C$12</f>
        <v>#DIV/0!</v>
      </c>
      <c r="J41" t="e" s="51">
        <f>-MAX(0,J40)*$C$12</f>
        <v>#DIV/0!</v>
      </c>
      <c r="K41" t="e" s="51">
        <f>-MAX(0,K40)*$C$12</f>
        <v>#DIV/0!</v>
      </c>
      <c r="L41" t="e" s="51">
        <f>-MAX(0,L40)*$C$12</f>
        <v>#DIV/0!</v>
      </c>
      <c r="M41" t="e" s="51">
        <f>-MAX(0,M40)*$C$12</f>
        <v>#DIV/0!</v>
      </c>
      <c r="N41" t="e" s="51">
        <f>-MAX(0,N40)*$C$12</f>
        <v>#DIV/0!</v>
      </c>
    </row>
    <row r="42">
      <c r="B42" t="s" s="17">
        <v>177</v>
      </c>
      <c r="C42" s="51">
        <f>-Inputs!$C$41</f>
        <v>0</v>
      </c>
      <c r="D42" s="51">
        <f>-Inputs!$C$41</f>
        <v>0</v>
      </c>
      <c r="E42" s="51">
        <f>-Inputs!$C$41</f>
        <v>0</v>
      </c>
      <c r="F42" s="51">
        <f>-Inputs!$C$41</f>
        <v>0</v>
      </c>
      <c r="G42" s="51">
        <f>-Inputs!$C$41</f>
        <v>0</v>
      </c>
      <c r="H42" s="51">
        <f>-Inputs!$C$41</f>
        <v>0</v>
      </c>
      <c r="I42" s="51">
        <f>-Inputs!$C$41</f>
        <v>0</v>
      </c>
      <c r="J42" s="51">
        <f>-Inputs!$C$41</f>
        <v>0</v>
      </c>
      <c r="K42" s="51">
        <f>-Inputs!$C$41</f>
        <v>0</v>
      </c>
      <c r="L42" s="51">
        <f>-Inputs!$C$41</f>
        <v>0</v>
      </c>
      <c r="M42" s="51">
        <f>-Inputs!$C$41</f>
        <v>0</v>
      </c>
      <c r="N42" s="51">
        <f>-Inputs!$C$41</f>
        <v>0</v>
      </c>
    </row>
    <row r="43">
      <c r="B43" t="s" s="14">
        <v>178</v>
      </c>
      <c r="C43" s="57">
        <f>SUM(C40:C42)</f>
        <v>0</v>
      </c>
      <c r="D43" t="e" s="57">
        <f>SUM(D40:D42)</f>
        <v>#DIV/0!</v>
      </c>
      <c r="E43" t="e" s="57">
        <f>SUM(E40:E42)</f>
        <v>#DIV/0!</v>
      </c>
      <c r="F43" t="e" s="57">
        <f>SUM(F40:F42)</f>
        <v>#DIV/0!</v>
      </c>
      <c r="G43" t="e" s="57">
        <f>SUM(G40:G42)</f>
        <v>#DIV/0!</v>
      </c>
      <c r="H43" t="e" s="57">
        <f>SUM(H40:H42)</f>
        <v>#DIV/0!</v>
      </c>
      <c r="I43" t="e" s="57">
        <f>SUM(I40:I42)</f>
        <v>#DIV/0!</v>
      </c>
      <c r="J43" t="e" s="57">
        <f>SUM(J40:J42)</f>
        <v>#DIV/0!</v>
      </c>
      <c r="K43" t="e" s="57">
        <f>SUM(K40:K42)</f>
        <v>#DIV/0!</v>
      </c>
      <c r="L43" t="e" s="57">
        <f>SUM(L40:L42)</f>
        <v>#DIV/0!</v>
      </c>
      <c r="M43" t="e" s="57">
        <f>SUM(M40:M42)</f>
        <v>#DIV/0!</v>
      </c>
      <c r="N43" t="e" s="57">
        <f>SUM(N40:N42)</f>
        <v>#DIV/0!</v>
      </c>
    </row>
    <row r="44">
      <c r="B44" t="s" s="17">
        <v>179</v>
      </c>
      <c r="C44" s="51">
        <f>-C39</f>
        <v>0</v>
      </c>
      <c r="D44" t="e" s="51">
        <f>-D39</f>
        <v>#DIV/0!</v>
      </c>
      <c r="E44" t="e" s="51">
        <f>-E39</f>
        <v>#DIV/0!</v>
      </c>
      <c r="F44" t="e" s="51">
        <f>-F39</f>
        <v>#DIV/0!</v>
      </c>
      <c r="G44" t="e" s="51">
        <f>-G39</f>
        <v>#DIV/0!</v>
      </c>
      <c r="H44" t="e" s="51">
        <f>-H39</f>
        <v>#DIV/0!</v>
      </c>
      <c r="I44" t="e" s="51">
        <f>-I39</f>
        <v>#DIV/0!</v>
      </c>
      <c r="J44" t="e" s="51">
        <f>-J39</f>
        <v>#DIV/0!</v>
      </c>
      <c r="K44" t="e" s="51">
        <f>-K39</f>
        <v>#DIV/0!</v>
      </c>
      <c r="L44" t="e" s="51">
        <f>-L39</f>
        <v>#DIV/0!</v>
      </c>
      <c r="M44" t="e" s="51">
        <f>-M39</f>
        <v>#DIV/0!</v>
      </c>
      <c r="N44" t="e" s="51">
        <f>-N39</f>
        <v>#DIV/0!</v>
      </c>
    </row>
    <row r="45">
      <c r="B45" t="s" s="17">
        <v>133</v>
      </c>
      <c r="C45" s="51">
        <f>C33</f>
        <v>0</v>
      </c>
      <c r="D45" t="e" s="51">
        <f>D33</f>
        <v>#DIV/0!</v>
      </c>
      <c r="E45" t="e" s="51">
        <f>E33</f>
        <v>#DIV/0!</v>
      </c>
      <c r="F45" t="e" s="51">
        <f>F33</f>
        <v>#DIV/0!</v>
      </c>
      <c r="G45" t="e" s="51">
        <f>G33</f>
        <v>#DIV/0!</v>
      </c>
      <c r="H45" t="e" s="51">
        <f>H33</f>
        <v>#DIV/0!</v>
      </c>
      <c r="I45" t="e" s="51">
        <f>I33</f>
        <v>#DIV/0!</v>
      </c>
      <c r="J45" t="e" s="51">
        <f>J33</f>
        <v>#DIV/0!</v>
      </c>
      <c r="K45" t="e" s="51">
        <f>K33</f>
        <v>#DIV/0!</v>
      </c>
      <c r="L45" t="e" s="51">
        <f>L33</f>
        <v>#DIV/0!</v>
      </c>
      <c r="M45" t="e" s="51">
        <f>M33</f>
        <v>#DIV/0!</v>
      </c>
      <c r="N45" t="e" s="51">
        <f>N33</f>
        <v>#DIV/0!</v>
      </c>
    </row>
    <row r="46">
      <c r="B46" t="s" s="17">
        <v>134</v>
      </c>
      <c r="C46" s="51">
        <f>C31</f>
        <v>0</v>
      </c>
      <c r="D46" t="e" s="51">
        <f>D31</f>
        <v>#DIV/0!</v>
      </c>
      <c r="E46" t="e" s="51">
        <f>E31</f>
        <v>#DIV/0!</v>
      </c>
      <c r="F46" t="e" s="51">
        <f>F31</f>
        <v>#DIV/0!</v>
      </c>
      <c r="G46" t="e" s="51">
        <f>G31</f>
        <v>#DIV/0!</v>
      </c>
      <c r="H46" t="e" s="51">
        <f>H31</f>
        <v>#DIV/0!</v>
      </c>
      <c r="I46" t="e" s="51">
        <f>I31</f>
        <v>#DIV/0!</v>
      </c>
      <c r="J46" t="e" s="51">
        <f>J31</f>
        <v>#DIV/0!</v>
      </c>
      <c r="K46" t="e" s="51">
        <f>K31</f>
        <v>#DIV/0!</v>
      </c>
      <c r="L46" t="e" s="51">
        <f>L31</f>
        <v>#DIV/0!</v>
      </c>
      <c r="M46" t="e" s="51">
        <f>M31</f>
        <v>#DIV/0!</v>
      </c>
      <c r="N46" t="e" s="51">
        <f>N31</f>
        <v>#DIV/0!</v>
      </c>
    </row>
    <row r="47">
      <c r="B47" t="s" s="17">
        <v>180</v>
      </c>
      <c r="C47" s="51">
        <f>C34</f>
        <v>0</v>
      </c>
      <c r="D47" t="e" s="51">
        <f>D34</f>
        <v>#DIV/0!</v>
      </c>
      <c r="E47" t="e" s="51">
        <f>E34</f>
        <v>#DIV/0!</v>
      </c>
      <c r="F47" t="e" s="51">
        <f>F34</f>
        <v>#DIV/0!</v>
      </c>
      <c r="G47" t="e" s="51">
        <f>G34</f>
        <v>#DIV/0!</v>
      </c>
      <c r="H47" t="e" s="51">
        <f>H34</f>
        <v>#DIV/0!</v>
      </c>
      <c r="I47" t="e" s="51">
        <f>I34</f>
        <v>#DIV/0!</v>
      </c>
      <c r="J47" t="e" s="51">
        <f>J34</f>
        <v>#DIV/0!</v>
      </c>
      <c r="K47" t="e" s="51">
        <f>K34</f>
        <v>#DIV/0!</v>
      </c>
      <c r="L47" t="e" s="51">
        <f>L34</f>
        <v>#DIV/0!</v>
      </c>
      <c r="M47" t="e" s="51">
        <f>M34</f>
        <v>#DIV/0!</v>
      </c>
      <c r="N47" t="e" s="51">
        <f>N34</f>
        <v>#DIV/0!</v>
      </c>
    </row>
    <row r="48">
      <c r="B48" t="s" s="14">
        <v>181</v>
      </c>
      <c r="C48" s="57">
        <f>SUM(C43:C47)</f>
        <v>0</v>
      </c>
      <c r="D48" t="e" s="57">
        <f>SUM(D43:D47)</f>
        <v>#DIV/0!</v>
      </c>
      <c r="E48" t="e" s="57">
        <f>SUM(E43:E47)</f>
        <v>#DIV/0!</v>
      </c>
      <c r="F48" t="e" s="57">
        <f>SUM(F43:F47)</f>
        <v>#DIV/0!</v>
      </c>
      <c r="G48" t="e" s="57">
        <f>SUM(G43:G47)</f>
        <v>#DIV/0!</v>
      </c>
      <c r="H48" t="e" s="57">
        <f>SUM(H43:H47)</f>
        <v>#DIV/0!</v>
      </c>
      <c r="I48" t="e" s="57">
        <f>SUM(I43:I47)</f>
        <v>#DIV/0!</v>
      </c>
      <c r="J48" t="e" s="57">
        <f>SUM(J43:J47)</f>
        <v>#DIV/0!</v>
      </c>
      <c r="K48" t="e" s="57">
        <f>SUM(K43:K47)</f>
        <v>#DIV/0!</v>
      </c>
      <c r="L48" t="e" s="57">
        <f>SUM(L43:L47)</f>
        <v>#DIV/0!</v>
      </c>
      <c r="M48" t="e" s="57">
        <f>SUM(M43:M47)</f>
        <v>#DIV/0!</v>
      </c>
      <c r="N48" t="e" s="57">
        <f>SUM(N43:N47)</f>
        <v>#DIV/0!</v>
      </c>
    </row>
    <row r="49"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</row>
    <row r="50">
      <c r="B50" t="s" s="5">
        <v>380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</row>
    <row r="51">
      <c r="B51" t="s" s="17">
        <v>183</v>
      </c>
      <c r="C51" s="51">
        <f>C48</f>
        <v>0</v>
      </c>
      <c r="D51" t="e" s="51">
        <f>D48</f>
        <v>#DIV/0!</v>
      </c>
      <c r="E51" t="e" s="51">
        <f>E48</f>
        <v>#DIV/0!</v>
      </c>
      <c r="F51" t="e" s="51">
        <f>F48</f>
        <v>#DIV/0!</v>
      </c>
      <c r="G51" t="e" s="51">
        <f>G48</f>
        <v>#DIV/0!</v>
      </c>
      <c r="H51" t="e" s="51">
        <f>H48</f>
        <v>#DIV/0!</v>
      </c>
      <c r="I51" t="e" s="51">
        <f>I48</f>
        <v>#DIV/0!</v>
      </c>
      <c r="J51" t="e" s="51">
        <f>J48</f>
        <v>#DIV/0!</v>
      </c>
      <c r="K51" t="e" s="51">
        <f>K48</f>
        <v>#DIV/0!</v>
      </c>
      <c r="L51" t="e" s="51">
        <f>L48</f>
        <v>#DIV/0!</v>
      </c>
      <c r="M51" t="e" s="51">
        <f>M48</f>
        <v>#DIV/0!</v>
      </c>
      <c r="N51" t="e" s="51">
        <f>N48</f>
        <v>#DIV/0!</v>
      </c>
    </row>
    <row r="52">
      <c r="B52" t="s" s="17">
        <v>184</v>
      </c>
      <c r="C52" s="51">
        <f>-C21</f>
        <v>0</v>
      </c>
      <c r="D52" s="51">
        <f>-D21</f>
        <v>0</v>
      </c>
      <c r="E52" s="51">
        <f>-E21</f>
        <v>0</v>
      </c>
      <c r="F52" s="51">
        <f>-F21</f>
        <v>0</v>
      </c>
      <c r="G52" s="51">
        <f>-G21</f>
        <v>0</v>
      </c>
      <c r="H52" s="51">
        <f>-H21</f>
        <v>0</v>
      </c>
      <c r="I52" s="51">
        <f>-I21</f>
        <v>0</v>
      </c>
      <c r="J52" s="51">
        <f>-J21</f>
        <v>0</v>
      </c>
      <c r="K52" s="51">
        <f>-K21</f>
        <v>0</v>
      </c>
      <c r="L52" s="51">
        <f>-L21</f>
        <v>0</v>
      </c>
      <c r="M52" s="51">
        <f>-M21</f>
        <v>0</v>
      </c>
      <c r="N52" s="51">
        <f>-N21</f>
        <v>0</v>
      </c>
    </row>
    <row r="53">
      <c r="B53" t="s" s="14">
        <v>185</v>
      </c>
      <c r="C53" s="57">
        <f>C51+C52</f>
        <v>0</v>
      </c>
      <c r="D53" t="e" s="57">
        <f>D51+D52</f>
        <v>#DIV/0!</v>
      </c>
      <c r="E53" t="e" s="57">
        <f>E51+E52</f>
        <v>#DIV/0!</v>
      </c>
      <c r="F53" t="e" s="57">
        <f>F51+F52</f>
        <v>#DIV/0!</v>
      </c>
      <c r="G53" t="e" s="57">
        <f>G51+G52</f>
        <v>#DIV/0!</v>
      </c>
      <c r="H53" t="e" s="57">
        <f>H51+H52</f>
        <v>#DIV/0!</v>
      </c>
      <c r="I53" t="e" s="57">
        <f>I51+I52</f>
        <v>#DIV/0!</v>
      </c>
      <c r="J53" t="e" s="57">
        <f>J51+J52</f>
        <v>#DIV/0!</v>
      </c>
      <c r="K53" t="e" s="57">
        <f>K51+K52</f>
        <v>#DIV/0!</v>
      </c>
      <c r="L53" t="e" s="57">
        <f>L51+L52</f>
        <v>#DIV/0!</v>
      </c>
      <c r="M53" t="e" s="57">
        <f>M51+M52</f>
        <v>#DIV/0!</v>
      </c>
      <c r="N53" t="e" s="57">
        <f>N51+N52</f>
        <v>#DIV/0!</v>
      </c>
    </row>
    <row r="54"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>
      <c r="B55" t="s" s="5">
        <v>381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>
      <c r="B56" t="s" s="17">
        <v>174</v>
      </c>
      <c r="C56" s="51">
        <f>C30</f>
        <v>0</v>
      </c>
      <c r="D56" t="e" s="51">
        <f>D30</f>
        <v>#DIV/0!</v>
      </c>
      <c r="E56" t="e" s="51">
        <f>E30</f>
        <v>#DIV/0!</v>
      </c>
      <c r="F56" t="e" s="51">
        <f>F30</f>
        <v>#DIV/0!</v>
      </c>
      <c r="G56" t="e" s="51">
        <f>G30</f>
        <v>#DIV/0!</v>
      </c>
      <c r="H56" t="e" s="51">
        <f>H30</f>
        <v>#DIV/0!</v>
      </c>
      <c r="I56" t="e" s="51">
        <f>I30</f>
        <v>#DIV/0!</v>
      </c>
      <c r="J56" t="e" s="51">
        <f>J30</f>
        <v>#DIV/0!</v>
      </c>
      <c r="K56" t="e" s="51">
        <f>K30</f>
        <v>#DIV/0!</v>
      </c>
      <c r="L56" t="e" s="51">
        <f>L30</f>
        <v>#DIV/0!</v>
      </c>
      <c r="M56" t="e" s="51">
        <f>M30</f>
        <v>#DIV/0!</v>
      </c>
      <c r="N56" t="e" s="51">
        <f>N30</f>
        <v>#DIV/0!</v>
      </c>
    </row>
    <row r="57">
      <c r="B57" t="s" s="17">
        <v>382</v>
      </c>
      <c r="C57" s="51">
        <f>C21</f>
        <v>0</v>
      </c>
      <c r="D57" s="51">
        <f>-Inputs!$C$53</f>
        <v>0</v>
      </c>
      <c r="E57" s="51">
        <f>-Inputs!$C$53</f>
        <v>0</v>
      </c>
      <c r="F57" s="51">
        <f>-Inputs!$C$53</f>
        <v>0</v>
      </c>
      <c r="G57" s="51">
        <f>-Inputs!$C$53</f>
        <v>0</v>
      </c>
      <c r="H57" s="51">
        <f>-Inputs!$C$53</f>
        <v>0</v>
      </c>
      <c r="I57" s="51">
        <f>-Inputs!$C$53</f>
        <v>0</v>
      </c>
      <c r="J57" s="51">
        <f>-Inputs!$C$53</f>
        <v>0</v>
      </c>
      <c r="K57" s="51">
        <f>-Inputs!$C$53</f>
        <v>0</v>
      </c>
      <c r="L57" s="51">
        <f>-Inputs!$C$53</f>
        <v>0</v>
      </c>
      <c r="M57" s="51">
        <f>-Inputs!$C$53</f>
        <v>0</v>
      </c>
      <c r="N57" s="51">
        <f>-Inputs!$C$53</f>
        <v>0</v>
      </c>
    </row>
    <row r="58">
      <c r="B58" t="s" s="17">
        <v>132</v>
      </c>
      <c r="C58" s="51">
        <f>C32</f>
        <v>0</v>
      </c>
      <c r="D58" t="e" s="51">
        <f>D32</f>
        <v>#DIV/0!</v>
      </c>
      <c r="E58" t="e" s="51">
        <f>E32</f>
        <v>#DIV/0!</v>
      </c>
      <c r="F58" t="e" s="51">
        <f>F32</f>
        <v>#DIV/0!</v>
      </c>
      <c r="G58" t="e" s="51">
        <f>G32</f>
        <v>#DIV/0!</v>
      </c>
      <c r="H58" t="e" s="51">
        <f>H32</f>
        <v>#DIV/0!</v>
      </c>
      <c r="I58" t="e" s="51">
        <f>I32</f>
        <v>#DIV/0!</v>
      </c>
      <c r="J58" t="e" s="51">
        <f>J32</f>
        <v>#DIV/0!</v>
      </c>
      <c r="K58" t="e" s="51">
        <f>K32</f>
        <v>#DIV/0!</v>
      </c>
      <c r="L58" t="e" s="51">
        <f>L32</f>
        <v>#DIV/0!</v>
      </c>
      <c r="M58" t="e" s="51">
        <f>M32</f>
        <v>#DIV/0!</v>
      </c>
      <c r="N58" t="e" s="51">
        <f>N32</f>
        <v>#DIV/0!</v>
      </c>
    </row>
    <row r="59">
      <c r="B59" t="s" s="14">
        <v>175</v>
      </c>
      <c r="C59" s="57">
        <f>SUM(C56:C58)</f>
        <v>0</v>
      </c>
      <c r="D59" t="e" s="57">
        <f>SUM(D56:D58)</f>
        <v>#DIV/0!</v>
      </c>
      <c r="E59" t="e" s="57">
        <f>SUM(E56:E58)</f>
        <v>#DIV/0!</v>
      </c>
      <c r="F59" t="e" s="57">
        <f>SUM(F56:F58)</f>
        <v>#DIV/0!</v>
      </c>
      <c r="G59" t="e" s="57">
        <f>SUM(G56:G58)</f>
        <v>#DIV/0!</v>
      </c>
      <c r="H59" t="e" s="57">
        <f>SUM(H56:H58)</f>
        <v>#DIV/0!</v>
      </c>
      <c r="I59" t="e" s="57">
        <f>SUM(I56:I58)</f>
        <v>#DIV/0!</v>
      </c>
      <c r="J59" t="e" s="57">
        <f>SUM(J56:J58)</f>
        <v>#DIV/0!</v>
      </c>
      <c r="K59" t="e" s="57">
        <f>SUM(K56:K58)</f>
        <v>#DIV/0!</v>
      </c>
      <c r="L59" t="e" s="57">
        <f>SUM(L56:L58)</f>
        <v>#DIV/0!</v>
      </c>
      <c r="M59" t="e" s="57">
        <f>SUM(M56:M58)</f>
        <v>#DIV/0!</v>
      </c>
      <c r="N59" t="e" s="57">
        <f>SUM(N56:N58)</f>
        <v>#DIV/0!</v>
      </c>
    </row>
    <row r="60">
      <c r="B60" t="s" s="17">
        <v>176</v>
      </c>
      <c r="C60" s="51">
        <f>-MAX(0,C59)*$C$12</f>
        <v>0</v>
      </c>
      <c r="D60" t="e" s="51">
        <f>-MAX(0,D59)*$C$12</f>
        <v>#DIV/0!</v>
      </c>
      <c r="E60" t="e" s="51">
        <f>-MAX(0,E59)*$C$12</f>
        <v>#DIV/0!</v>
      </c>
      <c r="F60" t="e" s="51">
        <f>-MAX(0,F59)*$C$12</f>
        <v>#DIV/0!</v>
      </c>
      <c r="G60" t="e" s="51">
        <f>-MAX(0,G59)*$C$12</f>
        <v>#DIV/0!</v>
      </c>
      <c r="H60" t="e" s="51">
        <f>-MAX(0,H59)*$C$12</f>
        <v>#DIV/0!</v>
      </c>
      <c r="I60" t="e" s="51">
        <f>-MAX(0,I59)*$C$12</f>
        <v>#DIV/0!</v>
      </c>
      <c r="J60" t="e" s="51">
        <f>-MAX(0,J59)*$C$12</f>
        <v>#DIV/0!</v>
      </c>
      <c r="K60" t="e" s="51">
        <f>-MAX(0,K59)*$C$12</f>
        <v>#DIV/0!</v>
      </c>
      <c r="L60" t="e" s="51">
        <f>-MAX(0,L59)*$C$12</f>
        <v>#DIV/0!</v>
      </c>
      <c r="M60" t="e" s="51">
        <f>-MAX(0,M59)*$C$12</f>
        <v>#DIV/0!</v>
      </c>
      <c r="N60" t="e" s="51">
        <f>-MAX(0,N59)*$C$12</f>
        <v>#DIV/0!</v>
      </c>
    </row>
    <row r="61">
      <c r="B61" t="s" s="17">
        <v>177</v>
      </c>
      <c r="C61" s="51">
        <f>-Inputs!$C$41</f>
        <v>0</v>
      </c>
      <c r="D61" s="51">
        <f>-Inputs!$C$41</f>
        <v>0</v>
      </c>
      <c r="E61" s="51">
        <f>-Inputs!$C$41</f>
        <v>0</v>
      </c>
      <c r="F61" s="51">
        <f>-Inputs!$C$41</f>
        <v>0</v>
      </c>
      <c r="G61" s="51">
        <f>-Inputs!$C$41</f>
        <v>0</v>
      </c>
      <c r="H61" s="51">
        <f>-Inputs!$C$41</f>
        <v>0</v>
      </c>
      <c r="I61" s="51">
        <f>-Inputs!$C$41</f>
        <v>0</v>
      </c>
      <c r="J61" s="51">
        <f>-Inputs!$C$41</f>
        <v>0</v>
      </c>
      <c r="K61" s="51">
        <f>-Inputs!$C$41</f>
        <v>0</v>
      </c>
      <c r="L61" s="51">
        <f>-Inputs!$C$41</f>
        <v>0</v>
      </c>
      <c r="M61" s="51">
        <f>-Inputs!$C$41</f>
        <v>0</v>
      </c>
      <c r="N61" s="51">
        <f>-Inputs!$C$41</f>
        <v>0</v>
      </c>
    </row>
    <row r="62">
      <c r="B62" t="s" s="14">
        <v>178</v>
      </c>
      <c r="C62" s="57">
        <f>SUM(C59:C61)</f>
        <v>0</v>
      </c>
      <c r="D62" t="e" s="57">
        <f>SUM(D59:D61)</f>
        <v>#DIV/0!</v>
      </c>
      <c r="E62" t="e" s="57">
        <f>SUM(E59:E61)</f>
        <v>#DIV/0!</v>
      </c>
      <c r="F62" t="e" s="57">
        <f>SUM(F59:F61)</f>
        <v>#DIV/0!</v>
      </c>
      <c r="G62" t="e" s="57">
        <f>SUM(G59:G61)</f>
        <v>#DIV/0!</v>
      </c>
      <c r="H62" t="e" s="57">
        <f>SUM(H59:H61)</f>
        <v>#DIV/0!</v>
      </c>
      <c r="I62" t="e" s="57">
        <f>SUM(I59:I61)</f>
        <v>#DIV/0!</v>
      </c>
      <c r="J62" t="e" s="57">
        <f>SUM(J59:J61)</f>
        <v>#DIV/0!</v>
      </c>
      <c r="K62" t="e" s="57">
        <f>SUM(K59:K61)</f>
        <v>#DIV/0!</v>
      </c>
      <c r="L62" t="e" s="57">
        <f>SUM(L59:L61)</f>
        <v>#DIV/0!</v>
      </c>
      <c r="M62" t="e" s="57">
        <f>SUM(M59:M61)</f>
        <v>#DIV/0!</v>
      </c>
      <c r="N62" t="e" s="57">
        <f>SUM(N59:N61)</f>
        <v>#DIV/0!</v>
      </c>
    </row>
    <row r="63">
      <c r="B63" t="s" s="17">
        <v>188</v>
      </c>
      <c r="C63" s="51">
        <f>SUM(C44:C47)</f>
        <v>0</v>
      </c>
      <c r="D63" t="e" s="51">
        <f>SUM(D44:D47)</f>
        <v>#DIV/0!</v>
      </c>
      <c r="E63" t="e" s="51">
        <f>SUM(E44:E47)</f>
        <v>#DIV/0!</v>
      </c>
      <c r="F63" t="e" s="51">
        <f>SUM(F44:F47)</f>
        <v>#DIV/0!</v>
      </c>
      <c r="G63" t="e" s="51">
        <f>SUM(G44:G47)</f>
        <v>#DIV/0!</v>
      </c>
      <c r="H63" t="e" s="51">
        <f>SUM(H44:H47)</f>
        <v>#DIV/0!</v>
      </c>
      <c r="I63" t="e" s="51">
        <f>SUM(I44:I47)</f>
        <v>#DIV/0!</v>
      </c>
      <c r="J63" t="e" s="51">
        <f>SUM(J44:J47)</f>
        <v>#DIV/0!</v>
      </c>
      <c r="K63" t="e" s="51">
        <f>SUM(K44:K47)</f>
        <v>#DIV/0!</v>
      </c>
      <c r="L63" t="e" s="51">
        <f>SUM(L44:L47)</f>
        <v>#DIV/0!</v>
      </c>
      <c r="M63" t="e" s="51">
        <f>SUM(M44:M47)</f>
        <v>#DIV/0!</v>
      </c>
      <c r="N63" t="e" s="51">
        <f>SUM(N44:N47)</f>
        <v>#DIV/0!</v>
      </c>
    </row>
    <row r="64">
      <c r="B64" t="s" s="14">
        <v>383</v>
      </c>
      <c r="C64" s="57">
        <f>C62+C63</f>
        <v>0</v>
      </c>
      <c r="D64" t="e" s="57">
        <f>D62+D63</f>
        <v>#DIV/0!</v>
      </c>
      <c r="E64" t="e" s="57">
        <f>E62+E63</f>
        <v>#DIV/0!</v>
      </c>
      <c r="F64" t="e" s="57">
        <f>F62+F63</f>
        <v>#DIV/0!</v>
      </c>
      <c r="G64" t="e" s="57">
        <f>G62+G63</f>
        <v>#DIV/0!</v>
      </c>
      <c r="H64" t="e" s="57">
        <f>H62+H63</f>
        <v>#DIV/0!</v>
      </c>
      <c r="I64" t="e" s="57">
        <f>I62+I63</f>
        <v>#DIV/0!</v>
      </c>
      <c r="J64" t="e" s="57">
        <f>J62+J63</f>
        <v>#DIV/0!</v>
      </c>
      <c r="K64" t="e" s="57">
        <f>K62+K63</f>
        <v>#DIV/0!</v>
      </c>
      <c r="L64" t="e" s="57">
        <f>L62+L63</f>
        <v>#DIV/0!</v>
      </c>
      <c r="M64" t="e" s="57">
        <f>M62+M63</f>
        <v>#DIV/0!</v>
      </c>
      <c r="N64" t="e" s="57">
        <f>N62+N63</f>
        <v>#DIV/0!</v>
      </c>
    </row>
    <row r="66">
      <c r="B66" t="s" s="5">
        <v>190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>
      <c r="B67" t="s" s="17">
        <v>191</v>
      </c>
      <c r="C67" s="51"/>
      <c r="D67" s="62">
        <f>Inputs!$C$40</f>
        <v>0</v>
      </c>
      <c r="E67" t="e" s="51">
        <f>D69</f>
        <v>#DIV/0!</v>
      </c>
      <c r="F67" t="e" s="51">
        <f>E69</f>
        <v>#DIV/0!</v>
      </c>
      <c r="G67" t="e" s="51">
        <f>F69</f>
        <v>#DIV/0!</v>
      </c>
      <c r="H67" t="e" s="51">
        <f>G69</f>
        <v>#DIV/0!</v>
      </c>
      <c r="I67" t="e" s="51">
        <f>H69</f>
        <v>#DIV/0!</v>
      </c>
      <c r="J67" t="e" s="51">
        <f>I69</f>
        <v>#DIV/0!</v>
      </c>
      <c r="K67" t="e" s="51">
        <f>J69</f>
        <v>#DIV/0!</v>
      </c>
      <c r="L67" t="e" s="51">
        <f>K69</f>
        <v>#DIV/0!</v>
      </c>
      <c r="M67" t="e" s="51">
        <f>L69</f>
        <v>#DIV/0!</v>
      </c>
      <c r="N67" s="51"/>
    </row>
    <row r="68">
      <c r="B68" t="s" s="17">
        <v>192</v>
      </c>
      <c r="C68" s="51"/>
      <c r="D68" t="e" s="51">
        <f>-MIN(D67,Inputs!$C$39*$C$12*MAX(0,D40))</f>
        <v>#DIV/0!</v>
      </c>
      <c r="E68" t="e" s="51">
        <f>-MIN(E67,Inputs!$C$39*$C$12*MAX(0,E40))</f>
        <v>#DIV/0!</v>
      </c>
      <c r="F68" t="e" s="51">
        <f>-MIN(F67,Inputs!$C$39*$C$12*MAX(0,F40))</f>
        <v>#DIV/0!</v>
      </c>
      <c r="G68" t="e" s="51">
        <f>-MIN(G67,Inputs!$C$39*$C$12*MAX(0,G40))</f>
        <v>#DIV/0!</v>
      </c>
      <c r="H68" t="e" s="51">
        <f>-MIN(H67,Inputs!$C$39*$C$12*MAX(0,H40))</f>
        <v>#DIV/0!</v>
      </c>
      <c r="I68" t="e" s="51">
        <f>-MIN(I67,Inputs!$C$39*$C$12*MAX(0,I40))</f>
        <v>#DIV/0!</v>
      </c>
      <c r="J68" t="e" s="51">
        <f>-MIN(J67,Inputs!$C$39*$C$12*MAX(0,J40))</f>
        <v>#DIV/0!</v>
      </c>
      <c r="K68" t="e" s="51">
        <f>-MIN(K67,Inputs!$C$39*$C$12*MAX(0,K40))</f>
        <v>#DIV/0!</v>
      </c>
      <c r="L68" t="e" s="51">
        <f>-MIN(L67,Inputs!$C$39*$C$12*MAX(0,L40))</f>
        <v>#DIV/0!</v>
      </c>
      <c r="M68" t="e" s="51">
        <f>-MIN(M67,Inputs!$C$39*$C$12*MAX(0,M40))</f>
        <v>#DIV/0!</v>
      </c>
      <c r="N68" s="51"/>
    </row>
    <row r="69">
      <c r="B69" t="s" s="17">
        <v>193</v>
      </c>
      <c r="C69" s="51"/>
      <c r="D69" t="e" s="51">
        <f>D67+D68</f>
        <v>#DIV/0!</v>
      </c>
      <c r="E69" t="e" s="51">
        <f>E67+E68</f>
        <v>#DIV/0!</v>
      </c>
      <c r="F69" t="e" s="51">
        <f>F67+F68</f>
        <v>#DIV/0!</v>
      </c>
      <c r="G69" t="e" s="51">
        <f>G67+G68</f>
        <v>#DIV/0!</v>
      </c>
      <c r="H69" t="e" s="51">
        <f>H67+H68</f>
        <v>#DIV/0!</v>
      </c>
      <c r="I69" t="e" s="51">
        <f>I67+I68</f>
        <v>#DIV/0!</v>
      </c>
      <c r="J69" t="e" s="51">
        <f>J67+J68</f>
        <v>#DIV/0!</v>
      </c>
      <c r="K69" t="e" s="51">
        <f>K67+K68</f>
        <v>#DIV/0!</v>
      </c>
      <c r="L69" t="e" s="51">
        <f>L67+L68</f>
        <v>#DIV/0!</v>
      </c>
      <c r="M69" t="e" s="51">
        <f>M67+M68</f>
        <v>#DIV/0!</v>
      </c>
      <c r="N69" s="51"/>
    </row>
    <row r="70">
      <c r="B70" t="s" s="17">
        <v>384</v>
      </c>
      <c r="C70" s="51"/>
      <c r="D70" s="62">
        <f>Inputs!$C$40</f>
        <v>0</v>
      </c>
      <c r="E70" t="e" s="51">
        <f>D72</f>
        <v>#DIV/0!</v>
      </c>
      <c r="F70" t="e" s="51">
        <f>E72</f>
        <v>#DIV/0!</v>
      </c>
      <c r="G70" t="e" s="51">
        <f>F72</f>
        <v>#DIV/0!</v>
      </c>
      <c r="H70" t="e" s="51">
        <f>G72</f>
        <v>#DIV/0!</v>
      </c>
      <c r="I70" t="e" s="51">
        <f>H72</f>
        <v>#DIV/0!</v>
      </c>
      <c r="J70" t="e" s="51">
        <f>I72</f>
        <v>#DIV/0!</v>
      </c>
      <c r="K70" t="e" s="51">
        <f>J72</f>
        <v>#DIV/0!</v>
      </c>
      <c r="L70" t="e" s="51">
        <f>K72</f>
        <v>#DIV/0!</v>
      </c>
      <c r="M70" t="e" s="51">
        <f>L72</f>
        <v>#DIV/0!</v>
      </c>
      <c r="N70" s="51"/>
    </row>
    <row r="71">
      <c r="B71" t="s" s="17">
        <v>192</v>
      </c>
      <c r="C71" s="51"/>
      <c r="D71" t="e" s="51">
        <f>-MIN(D70,Inputs!$C$39*$C$12*MAX(0,D59))</f>
        <v>#DIV/0!</v>
      </c>
      <c r="E71" t="e" s="51">
        <f>-MIN(E70,Inputs!$C$39*$C$12*MAX(0,E59))</f>
        <v>#DIV/0!</v>
      </c>
      <c r="F71" t="e" s="51">
        <f>-MIN(F70,Inputs!$C$39*$C$12*MAX(0,F59))</f>
        <v>#DIV/0!</v>
      </c>
      <c r="G71" t="e" s="51">
        <f>-MIN(G70,Inputs!$C$39*$C$12*MAX(0,G59))</f>
        <v>#DIV/0!</v>
      </c>
      <c r="H71" t="e" s="51">
        <f>-MIN(H70,Inputs!$C$39*$C$12*MAX(0,H59))</f>
        <v>#DIV/0!</v>
      </c>
      <c r="I71" t="e" s="51">
        <f>-MIN(I70,Inputs!$C$39*$C$12*MAX(0,I59))</f>
        <v>#DIV/0!</v>
      </c>
      <c r="J71" t="e" s="51">
        <f>-MIN(J70,Inputs!$C$39*$C$12*MAX(0,J59))</f>
        <v>#DIV/0!</v>
      </c>
      <c r="K71" t="e" s="51">
        <f>-MIN(K70,Inputs!$C$39*$C$12*MAX(0,K59))</f>
        <v>#DIV/0!</v>
      </c>
      <c r="L71" t="e" s="51">
        <f>-MIN(L70,Inputs!$C$39*$C$12*MAX(0,L59))</f>
        <v>#DIV/0!</v>
      </c>
      <c r="M71" t="e" s="51">
        <f>-MIN(M70,Inputs!$C$39*$C$12*MAX(0,M59))</f>
        <v>#DIV/0!</v>
      </c>
      <c r="N71" s="51"/>
    </row>
    <row r="72">
      <c r="B72" t="s" s="17">
        <v>193</v>
      </c>
      <c r="C72" s="51"/>
      <c r="D72" t="e" s="51">
        <f>D70+D71</f>
        <v>#DIV/0!</v>
      </c>
      <c r="E72" t="e" s="51">
        <f>E70+E71</f>
        <v>#DIV/0!</v>
      </c>
      <c r="F72" t="e" s="51">
        <f>F70+F71</f>
        <v>#DIV/0!</v>
      </c>
      <c r="G72" t="e" s="51">
        <f>G70+G71</f>
        <v>#DIV/0!</v>
      </c>
      <c r="H72" t="e" s="51">
        <f>H70+H71</f>
        <v>#DIV/0!</v>
      </c>
      <c r="I72" t="e" s="51">
        <f>I70+I71</f>
        <v>#DIV/0!</v>
      </c>
      <c r="J72" t="e" s="51">
        <f>J70+J71</f>
        <v>#DIV/0!</v>
      </c>
      <c r="K72" t="e" s="51">
        <f>K70+K71</f>
        <v>#DIV/0!</v>
      </c>
      <c r="L72" t="e" s="51">
        <f>L70+L71</f>
        <v>#DIV/0!</v>
      </c>
      <c r="M72" t="e" s="51">
        <f>M70+M71</f>
        <v>#DIV/0!</v>
      </c>
      <c r="N72" s="51"/>
    </row>
    <row r="74">
      <c r="B74" t="s" s="5">
        <v>195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>
      <c r="B75" t="s" s="17">
        <v>196</v>
      </c>
      <c r="C75" s="32">
        <f>MAX(0,MIN(1,(C$5-Inputs!$C$6)/(C$5-EDATE(C$5,-12))))</f>
        <v>1</v>
      </c>
      <c r="D75" s="32">
        <f>MAX(0,MIN(1,(D$5-Inputs!$C$6)/(D$5-EDATE(D$5,-12))))</f>
        <v>1</v>
      </c>
      <c r="E75" s="32">
        <f>MAX(0,MIN(1,(E$5-Inputs!$C$6)/(E$5-EDATE(E$5,-12))))</f>
        <v>1</v>
      </c>
      <c r="F75" s="32">
        <f>MAX(0,MIN(1,(F$5-Inputs!$C$6)/(F$5-EDATE(F$5,-12))))</f>
        <v>1</v>
      </c>
      <c r="G75" s="32">
        <f>MAX(0,MIN(1,(G$5-Inputs!$C$6)/(G$5-EDATE(G$5,-12))))</f>
        <v>1</v>
      </c>
      <c r="H75" s="32">
        <f>MAX(0,MIN(1,(H$5-Inputs!$C$6)/(H$5-EDATE(H$5,-12))))</f>
        <v>1</v>
      </c>
      <c r="I75" s="32">
        <f>MAX(0,MIN(1,(I$5-Inputs!$C$6)/(I$5-EDATE(I$5,-12))))</f>
        <v>1</v>
      </c>
      <c r="J75" s="32">
        <f>MAX(0,MIN(1,(J$5-Inputs!$C$6)/(J$5-EDATE(J$5,-12))))</f>
        <v>1</v>
      </c>
      <c r="K75" s="32">
        <f>MAX(0,MIN(1,(K$5-Inputs!$C$6)/(K$5-EDATE(K$5,-12))))</f>
        <v>1</v>
      </c>
      <c r="L75" s="32">
        <f>MAX(0,MIN(1,(L$5-Inputs!$C$6)/(L$5-EDATE(L$5,-12))))</f>
        <v>1</v>
      </c>
      <c r="M75" s="32">
        <f>MAX(0,MIN(1,(M$5-Inputs!$C$6)/(M$5-EDATE(M$5,-12))))</f>
        <v>1</v>
      </c>
    </row>
    <row r="76">
      <c r="B76" t="s" s="17">
        <v>197</v>
      </c>
      <c r="C76" s="58">
        <f>(C$5-Inputs!$C$6)/365</f>
        <v>126.08767123287672</v>
      </c>
      <c r="D76" s="58">
        <f>(D$5-Inputs!$C$6)/365</f>
        <v>127.08767123287672</v>
      </c>
      <c r="E76" s="58">
        <f>(E$5-Inputs!$C$6)/365</f>
        <v>128.08767123287672</v>
      </c>
      <c r="F76" s="58">
        <f>(F$5-Inputs!$C$6)/365</f>
        <v>129.0904109589041</v>
      </c>
      <c r="G76" s="58">
        <f>(G$5-Inputs!$C$6)/365</f>
        <v>130.0904109589041</v>
      </c>
      <c r="H76" s="58">
        <f>(H$5-Inputs!$C$6)/365</f>
        <v>131.0904109589041</v>
      </c>
      <c r="I76" s="58">
        <f>(I$5-Inputs!$C$6)/365</f>
        <v>132.0904109589041</v>
      </c>
      <c r="J76" s="58">
        <f>(J$5-Inputs!$C$6)/365</f>
        <v>133.09315068493152</v>
      </c>
      <c r="K76" s="58">
        <f>(K$5-Inputs!$C$6)/365</f>
        <v>134.09315068493152</v>
      </c>
      <c r="L76" s="58">
        <f>(L$5-Inputs!$C$6)/365</f>
        <v>135.09315068493152</v>
      </c>
      <c r="M76" s="58">
        <f>(M$5-Inputs!$C$6)/365</f>
        <v>136.09315068493152</v>
      </c>
    </row>
    <row r="77">
      <c r="B77" t="s" s="17">
        <v>198</v>
      </c>
      <c r="C77" s="58">
        <f>C76-0.5*C75*Inputs!$C$54</f>
        <v>125.58767123287672</v>
      </c>
      <c r="D77" s="58">
        <f>D76-0.5*D75*Inputs!$C$54</f>
        <v>126.58767123287672</v>
      </c>
      <c r="E77" s="58">
        <f>E76-0.5*E75*Inputs!$C$54</f>
        <v>127.58767123287672</v>
      </c>
      <c r="F77" s="58">
        <f>F76-0.5*F75*Inputs!$C$54</f>
        <v>128.5904109589041</v>
      </c>
      <c r="G77" s="58">
        <f>G76-0.5*G75*Inputs!$C$54</f>
        <v>129.5904109589041</v>
      </c>
      <c r="H77" s="58">
        <f>H76-0.5*H75*Inputs!$C$54</f>
        <v>130.5904109589041</v>
      </c>
      <c r="I77" s="58">
        <f>I76-0.5*I75*Inputs!$C$54</f>
        <v>131.5904109589041</v>
      </c>
      <c r="J77" s="58">
        <f>J76-0.5*J75*Inputs!$C$54</f>
        <v>132.59315068493152</v>
      </c>
      <c r="K77" s="58">
        <f>K76-0.5*K75*Inputs!$C$54</f>
        <v>133.59315068493152</v>
      </c>
      <c r="L77" s="58">
        <f>L76-0.5*L75*Inputs!$C$54</f>
        <v>134.59315068493152</v>
      </c>
      <c r="M77" s="58">
        <f>M76-0.5*M75*Inputs!$C$54</f>
        <v>135.59315068493152</v>
      </c>
    </row>
    <row r="78">
      <c r="B78" t="s" s="17">
        <v>199</v>
      </c>
      <c r="C78" t="e" s="32">
        <f>1/(1+$C$8)^C77</f>
        <v>#DIV/0!</v>
      </c>
      <c r="D78" t="e" s="32">
        <f>1/(1+$C$8)^D77</f>
        <v>#DIV/0!</v>
      </c>
      <c r="E78" t="e" s="32">
        <f>1/(1+$C$8)^E77</f>
        <v>#DIV/0!</v>
      </c>
      <c r="F78" t="e" s="32">
        <f>1/(1+$C$8)^F77</f>
        <v>#DIV/0!</v>
      </c>
      <c r="G78" t="e" s="32">
        <f>1/(1+$C$8)^G77</f>
        <v>#DIV/0!</v>
      </c>
      <c r="H78" t="e" s="32">
        <f>1/(1+$C$8)^H77</f>
        <v>#DIV/0!</v>
      </c>
      <c r="I78" t="e" s="32">
        <f>1/(1+$C$8)^I77</f>
        <v>#DIV/0!</v>
      </c>
      <c r="J78" t="e" s="32">
        <f>1/(1+$C$8)^J77</f>
        <v>#DIV/0!</v>
      </c>
      <c r="K78" t="e" s="32">
        <f>1/(1+$C$8)^K77</f>
        <v>#DIV/0!</v>
      </c>
      <c r="L78" t="e" s="32">
        <f>1/(1+$C$8)^L77</f>
        <v>#DIV/0!</v>
      </c>
      <c r="M78" t="e" s="32">
        <f>1/(1+$C$8)^M77</f>
        <v>#DIV/0!</v>
      </c>
    </row>
    <row r="79">
      <c r="B79" t="s" s="17">
        <v>200</v>
      </c>
      <c r="C79" t="e" s="8">
        <f>C53*C75*C78</f>
        <v>#DIV/0!</v>
      </c>
      <c r="D79" t="e" s="8">
        <f>D53*D75*D78</f>
        <v>#DIV/0!</v>
      </c>
      <c r="E79" t="e" s="8">
        <f>E53*E75*E78</f>
        <v>#DIV/0!</v>
      </c>
      <c r="F79" t="e" s="8">
        <f>F53*F75*F78</f>
        <v>#DIV/0!</v>
      </c>
      <c r="G79" t="e" s="8">
        <f>G53*G75*G78</f>
        <v>#DIV/0!</v>
      </c>
      <c r="H79" t="e" s="8">
        <f>H53*H75*H78</f>
        <v>#DIV/0!</v>
      </c>
      <c r="I79" t="e" s="8">
        <f>I53*I75*I78</f>
        <v>#DIV/0!</v>
      </c>
      <c r="J79" t="e" s="8">
        <f>J53*J75*J78</f>
        <v>#DIV/0!</v>
      </c>
      <c r="K79" t="e" s="8">
        <f>K53*K75*K78</f>
        <v>#DIV/0!</v>
      </c>
      <c r="L79" t="e" s="8">
        <f>L53*L75*L78</f>
        <v>#DIV/0!</v>
      </c>
      <c r="M79" t="e" s="8">
        <f>M53*M75*M78</f>
        <v>#DIV/0!</v>
      </c>
    </row>
    <row r="80">
      <c r="B80" t="s" s="17">
        <v>201</v>
      </c>
      <c r="C80" t="e" s="8">
        <f>C48*C75*C78</f>
        <v>#DIV/0!</v>
      </c>
      <c r="D80" t="e" s="8">
        <f>D48*D75*D78</f>
        <v>#DIV/0!</v>
      </c>
      <c r="E80" t="e" s="8">
        <f>E48*E75*E78</f>
        <v>#DIV/0!</v>
      </c>
      <c r="F80" t="e" s="8">
        <f>F48*F75*F78</f>
        <v>#DIV/0!</v>
      </c>
      <c r="G80" t="e" s="8">
        <f>G48*G75*G78</f>
        <v>#DIV/0!</v>
      </c>
      <c r="H80" t="e" s="8">
        <f>H48*H75*H78</f>
        <v>#DIV/0!</v>
      </c>
      <c r="I80" t="e" s="8">
        <f>I48*I75*I78</f>
        <v>#DIV/0!</v>
      </c>
      <c r="J80" t="e" s="8">
        <f>J48*J75*J78</f>
        <v>#DIV/0!</v>
      </c>
      <c r="K80" t="e" s="8">
        <f>K48*K75*K78</f>
        <v>#DIV/0!</v>
      </c>
      <c r="L80" t="e" s="8">
        <f>L48*L75*L78</f>
        <v>#DIV/0!</v>
      </c>
      <c r="M80" t="e" s="8">
        <f>M48*M75*M78</f>
        <v>#DIV/0!</v>
      </c>
    </row>
    <row r="81">
      <c r="B81" t="s" s="17">
        <v>385</v>
      </c>
      <c r="C81" t="e" s="8">
        <f>C64*C75*C78</f>
        <v>#DIV/0!</v>
      </c>
      <c r="D81" t="e" s="8">
        <f>D64*D75*D78</f>
        <v>#DIV/0!</v>
      </c>
      <c r="E81" t="e" s="8">
        <f>E64*E75*E78</f>
        <v>#DIV/0!</v>
      </c>
      <c r="F81" t="e" s="8">
        <f>F64*F75*F78</f>
        <v>#DIV/0!</v>
      </c>
      <c r="G81" t="e" s="8">
        <f>G64*G75*G78</f>
        <v>#DIV/0!</v>
      </c>
      <c r="H81" t="e" s="8">
        <f>H64*H75*H78</f>
        <v>#DIV/0!</v>
      </c>
      <c r="I81" t="e" s="8">
        <f>I64*I75*I78</f>
        <v>#DIV/0!</v>
      </c>
      <c r="J81" t="e" s="8">
        <f>J64*J75*J78</f>
        <v>#DIV/0!</v>
      </c>
      <c r="K81" t="e" s="8">
        <f>K64*K75*K78</f>
        <v>#DIV/0!</v>
      </c>
      <c r="L81" t="e" s="8">
        <f>L64*L75*L78</f>
        <v>#DIV/0!</v>
      </c>
      <c r="M81" t="e" s="8">
        <f>M64*M75*M78</f>
        <v>#DIV/0!</v>
      </c>
    </row>
    <row r="82">
      <c r="B82" t="s" s="17">
        <v>203</v>
      </c>
      <c r="C82" s="8"/>
      <c r="D82" t="e" s="8">
        <f>-D68*D78</f>
        <v>#DIV/0!</v>
      </c>
      <c r="E82" t="e" s="8">
        <f>-E68*E78</f>
        <v>#DIV/0!</v>
      </c>
      <c r="F82" t="e" s="8">
        <f>-F68*F78</f>
        <v>#DIV/0!</v>
      </c>
      <c r="G82" t="e" s="8">
        <f>-G68*G78</f>
        <v>#DIV/0!</v>
      </c>
      <c r="H82" t="e" s="8">
        <f>-H68*H78</f>
        <v>#DIV/0!</v>
      </c>
      <c r="I82" t="e" s="8">
        <f>-I68*I78</f>
        <v>#DIV/0!</v>
      </c>
      <c r="J82" t="e" s="8">
        <f>-J68*J78</f>
        <v>#DIV/0!</v>
      </c>
      <c r="K82" t="e" s="8">
        <f>-K68*K78</f>
        <v>#DIV/0!</v>
      </c>
      <c r="L82" t="e" s="8">
        <f>-L68*L78</f>
        <v>#DIV/0!</v>
      </c>
      <c r="M82" t="e" s="8">
        <f>-M68*M78</f>
        <v>#DIV/0!</v>
      </c>
    </row>
    <row r="83">
      <c r="B83" t="s" s="17">
        <v>386</v>
      </c>
      <c r="C83" s="8"/>
      <c r="D83" t="e" s="8">
        <f>-D71*D78</f>
        <v>#DIV/0!</v>
      </c>
      <c r="E83" t="e" s="8">
        <f>-E71*E78</f>
        <v>#DIV/0!</v>
      </c>
      <c r="F83" t="e" s="8">
        <f>-F71*F78</f>
        <v>#DIV/0!</v>
      </c>
      <c r="G83" t="e" s="8">
        <f>-G71*G78</f>
        <v>#DIV/0!</v>
      </c>
      <c r="H83" t="e" s="8">
        <f>-H71*H78</f>
        <v>#DIV/0!</v>
      </c>
      <c r="I83" t="e" s="8">
        <f>-I71*I78</f>
        <v>#DIV/0!</v>
      </c>
      <c r="J83" t="e" s="8">
        <f>-J71*J78</f>
        <v>#DIV/0!</v>
      </c>
      <c r="K83" t="e" s="8">
        <f>-K71*K78</f>
        <v>#DIV/0!</v>
      </c>
      <c r="L83" t="e" s="8">
        <f>-L71*L78</f>
        <v>#DIV/0!</v>
      </c>
      <c r="M83" t="e" s="8">
        <f>-M71*M78</f>
        <v>#DIV/0!</v>
      </c>
    </row>
    <row r="85">
      <c r="B85" t="s" s="5">
        <v>205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>
      <c r="D86" t="s" s="97">
        <v>230</v>
      </c>
      <c r="E86" s="97"/>
      <c r="F86" t="s" s="97">
        <v>59</v>
      </c>
      <c r="G86" s="97"/>
      <c r="H86" t="s" s="97">
        <v>345</v>
      </c>
      <c r="I86" s="97"/>
    </row>
    <row r="87">
      <c r="D87" t="s" s="98">
        <v>231</v>
      </c>
      <c r="E87" t="s" s="98">
        <v>232</v>
      </c>
      <c r="F87" t="s" s="98">
        <v>231</v>
      </c>
      <c r="G87" t="s" s="98">
        <v>232</v>
      </c>
      <c r="H87" t="s" s="98">
        <v>231</v>
      </c>
      <c r="I87" t="s" s="98">
        <v>232</v>
      </c>
    </row>
    <row r="88">
      <c r="B88" t="s" s="17">
        <v>206</v>
      </c>
      <c r="D88" t="e" s="51">
        <f>$N$53</f>
        <v>#DIV/0!</v>
      </c>
      <c r="E88" t="e" s="51">
        <f>$N$53</f>
        <v>#DIV/0!</v>
      </c>
      <c r="F88" t="e" s="51">
        <f>$N$48</f>
        <v>#DIV/0!</v>
      </c>
      <c r="G88" t="e" s="51">
        <f>$N$48</f>
        <v>#DIV/0!</v>
      </c>
      <c r="H88" t="e" s="51">
        <f>$N$64</f>
        <v>#DIV/0!</v>
      </c>
      <c r="I88" t="e" s="51">
        <f>$N$64</f>
        <v>#DIV/0!</v>
      </c>
    </row>
    <row r="89">
      <c r="B89" t="s" s="17">
        <v>207</v>
      </c>
      <c r="D89" t="e" s="51">
        <f>$N$30</f>
        <v>#DIV/0!</v>
      </c>
      <c r="E89" t="e" s="51">
        <f>$N$30</f>
        <v>#DIV/0!</v>
      </c>
      <c r="F89" t="e" s="51">
        <f>$N$30</f>
        <v>#DIV/0!</v>
      </c>
      <c r="G89" t="e" s="51">
        <f>$N$30</f>
        <v>#DIV/0!</v>
      </c>
      <c r="H89" t="e" s="51">
        <f>$N$30</f>
        <v>#DIV/0!</v>
      </c>
      <c r="I89" t="e" s="51">
        <f>$N$30</f>
        <v>#DIV/0!</v>
      </c>
    </row>
    <row r="90">
      <c r="B90" t="s" s="17">
        <v>208</v>
      </c>
      <c r="D90" t="e" s="51">
        <f>D88*(1+$C$9)/($C$8-$C$9)</f>
        <v>#DIV/0!</v>
      </c>
      <c r="E90" t="e" s="51">
        <f>E89*$C$10</f>
        <v>#DIV/0!</v>
      </c>
      <c r="F90" t="e" s="51">
        <f>F88*(1+$C$9)/($C$8-$C$9)</f>
        <v>#DIV/0!</v>
      </c>
      <c r="G90" t="e" s="51">
        <f>G89*$C$10</f>
        <v>#DIV/0!</v>
      </c>
      <c r="H90" t="e" s="51">
        <f>H88*(1+$C$9)/($C$8-$C$9)</f>
        <v>#DIV/0!</v>
      </c>
      <c r="I90" t="e" s="51">
        <f>I89*$C$10</f>
        <v>#DIV/0!</v>
      </c>
    </row>
    <row r="91">
      <c r="B91" t="s" s="17">
        <v>209</v>
      </c>
      <c r="D91" t="e" s="32">
        <f>$M$78</f>
        <v>#DIV/0!</v>
      </c>
      <c r="E91" t="e" s="32">
        <f>$M$78</f>
        <v>#DIV/0!</v>
      </c>
      <c r="F91" t="e" s="32">
        <f>$M$78</f>
        <v>#DIV/0!</v>
      </c>
      <c r="G91" t="e" s="32">
        <f>$M$78</f>
        <v>#DIV/0!</v>
      </c>
      <c r="H91" t="e" s="32">
        <f>$M$78</f>
        <v>#DIV/0!</v>
      </c>
      <c r="I91" t="e" s="32">
        <f>$M$78</f>
        <v>#DIV/0!</v>
      </c>
    </row>
    <row r="92">
      <c r="B92" t="s" s="17">
        <v>210</v>
      </c>
      <c r="D92" t="e" s="51">
        <f>D90*D91</f>
        <v>#DIV/0!</v>
      </c>
      <c r="E92" t="e" s="51">
        <f>E90*E91</f>
        <v>#DIV/0!</v>
      </c>
      <c r="F92" t="e" s="51">
        <f>F90*F91</f>
        <v>#DIV/0!</v>
      </c>
      <c r="G92" t="e" s="51">
        <f>G90*G91</f>
        <v>#DIV/0!</v>
      </c>
      <c r="H92" t="e" s="51">
        <f>H90*H91</f>
        <v>#DIV/0!</v>
      </c>
      <c r="I92" t="e" s="51">
        <f>I90*I91</f>
        <v>#DIV/0!</v>
      </c>
    </row>
    <row r="93">
      <c r="B93" t="s" s="17">
        <v>339</v>
      </c>
      <c r="D93" t="e" s="51">
        <f>SUM($C$79:$M$79)</f>
        <v>#DIV/0!</v>
      </c>
      <c r="E93" t="e" s="51">
        <f>SUM($C$79:$M$79)</f>
        <v>#DIV/0!</v>
      </c>
      <c r="F93" t="e" s="51">
        <f>SUM($C$80:$M$80)</f>
        <v>#DIV/0!</v>
      </c>
      <c r="G93" t="e" s="51">
        <f>SUM($C$80:$M$80)</f>
        <v>#DIV/0!</v>
      </c>
      <c r="H93" t="e" s="51">
        <f>SUM($C$81:$M$81)</f>
        <v>#DIV/0!</v>
      </c>
      <c r="I93" t="e" s="51">
        <f>SUM($C$81:$M$81)</f>
        <v>#DIV/0!</v>
      </c>
    </row>
    <row r="94">
      <c r="B94" t="s" s="14">
        <v>212</v>
      </c>
      <c r="C94" s="14"/>
      <c r="D94" t="e" s="57">
        <f>D92+D93</f>
        <v>#DIV/0!</v>
      </c>
      <c r="E94" t="e" s="57">
        <f>E92+E93</f>
        <v>#DIV/0!</v>
      </c>
      <c r="F94" t="e" s="57">
        <f>F92+F93</f>
        <v>#DIV/0!</v>
      </c>
      <c r="G94" t="e" s="57">
        <f>G92+G93</f>
        <v>#DIV/0!</v>
      </c>
      <c r="H94" t="e" s="57">
        <f>H92+H93</f>
        <v>#DIV/0!</v>
      </c>
      <c r="I94" t="e" s="57">
        <f>I92+I93</f>
        <v>#DIV/0!</v>
      </c>
    </row>
    <row r="95">
      <c r="B95" t="s" s="17">
        <v>213</v>
      </c>
      <c r="D95" s="51">
        <f>-Inputs!$C$27</f>
        <v>0</v>
      </c>
      <c r="E95" s="51">
        <f>-Inputs!$C$27</f>
        <v>0</v>
      </c>
      <c r="F95" s="51">
        <f>-Inputs!$C$27</f>
        <v>0</v>
      </c>
      <c r="G95" s="51">
        <f>-Inputs!$C$27</f>
        <v>0</v>
      </c>
      <c r="H95" s="51">
        <f>-Inputs!$C$27</f>
        <v>0</v>
      </c>
      <c r="I95" s="51">
        <f>-Inputs!$C$27</f>
        <v>0</v>
      </c>
    </row>
    <row r="96">
      <c r="B96" t="s" s="17">
        <v>214</v>
      </c>
      <c r="D96" s="62">
        <f>Inputs!$C$28</f>
        <v>0</v>
      </c>
      <c r="E96" s="62">
        <f>Inputs!$C$28</f>
        <v>0</v>
      </c>
      <c r="F96" s="62">
        <f>Inputs!$C$28</f>
        <v>0</v>
      </c>
      <c r="G96" s="62">
        <f>Inputs!$C$28</f>
        <v>0</v>
      </c>
      <c r="H96" s="62">
        <f>Inputs!$C$28</f>
        <v>0</v>
      </c>
      <c r="I96" s="62">
        <f>Inputs!$C$28</f>
        <v>0</v>
      </c>
    </row>
    <row r="97">
      <c r="B97" t="s" s="17">
        <v>215</v>
      </c>
      <c r="D97" t="e" s="51">
        <f>SUM($D$82:$M$82)</f>
        <v>#DIV/0!</v>
      </c>
      <c r="E97" t="e" s="51">
        <f>SUM($D$82:$M$82)</f>
        <v>#DIV/0!</v>
      </c>
      <c r="F97" t="e" s="51">
        <f>SUM($D$82:$M$82)</f>
        <v>#DIV/0!</v>
      </c>
      <c r="G97" t="e" s="51">
        <f>SUM($D$82:$M$82)</f>
        <v>#DIV/0!</v>
      </c>
      <c r="H97" t="e" s="51">
        <f>SUM($D$83:$M$83)</f>
        <v>#DIV/0!</v>
      </c>
      <c r="I97" t="e" s="51">
        <f>SUM($D$83:$M$83)</f>
        <v>#DIV/0!</v>
      </c>
    </row>
    <row r="98">
      <c r="B98" t="s" s="14">
        <v>216</v>
      </c>
      <c r="C98" s="14"/>
      <c r="D98" t="e" s="57">
        <f>SUM(D94:D97)</f>
        <v>#DIV/0!</v>
      </c>
      <c r="E98" t="e" s="57">
        <f>SUM(E94:E97)</f>
        <v>#DIV/0!</v>
      </c>
      <c r="F98" t="e" s="57">
        <f>SUM(F94:F97)</f>
        <v>#DIV/0!</v>
      </c>
      <c r="G98" t="e" s="57">
        <f>SUM(G94:G97)</f>
        <v>#DIV/0!</v>
      </c>
      <c r="H98" t="e" s="57">
        <f>SUM(H94:H97)</f>
        <v>#DIV/0!</v>
      </c>
      <c r="I98" t="e" s="57">
        <f>SUM(I94:I97)</f>
        <v>#DIV/0!</v>
      </c>
    </row>
    <row r="99">
      <c r="B99" t="s" s="17">
        <v>217</v>
      </c>
      <c r="D99" t="e" s="65">
        <f>Inputs!$C$21</f>
        <v>#DIV/0!</v>
      </c>
      <c r="E99" t="e" s="65">
        <f>Inputs!$C$21</f>
        <v>#DIV/0!</v>
      </c>
      <c r="F99" t="e" s="65">
        <f>Inputs!$C$21</f>
        <v>#DIV/0!</v>
      </c>
      <c r="G99" t="e" s="65">
        <f>Inputs!$C$21</f>
        <v>#DIV/0!</v>
      </c>
      <c r="H99" t="e" s="65">
        <f>Inputs!$C$21</f>
        <v>#DIV/0!</v>
      </c>
      <c r="I99" t="e" s="65">
        <f>Inputs!$C$21</f>
        <v>#DIV/0!</v>
      </c>
    </row>
    <row r="100">
      <c r="B100" t="s" s="14">
        <v>218</v>
      </c>
      <c r="C100" s="14"/>
      <c r="D100" t="e" s="60">
        <f>D98/D99</f>
        <v>#DIV/0!</v>
      </c>
      <c r="E100" t="e" s="60">
        <f>E98/E99</f>
        <v>#DIV/0!</v>
      </c>
      <c r="F100" t="e" s="60">
        <f>F98/F99</f>
        <v>#DIV/0!</v>
      </c>
      <c r="G100" t="e" s="60">
        <f>G98/G99</f>
        <v>#DIV/0!</v>
      </c>
      <c r="H100" t="e" s="60">
        <f>H98/H99</f>
        <v>#DIV/0!</v>
      </c>
      <c r="I100" t="e" s="60">
        <f>I98/I99</f>
        <v>#DIV/0!</v>
      </c>
    </row>
    <row r="101">
      <c r="B101" t="s" s="61">
        <v>219</v>
      </c>
      <c r="C101" s="3"/>
      <c r="D101" t="e" s="38">
        <f>Inputs!$C$7/D100-1</f>
        <v>#DIV/0!</v>
      </c>
      <c r="E101" t="e" s="38">
        <f>Inputs!$C$7/E100-1</f>
        <v>#DIV/0!</v>
      </c>
      <c r="F101" t="e" s="38">
        <f>Inputs!$C$7/F100-1</f>
        <v>#DIV/0!</v>
      </c>
      <c r="G101" t="e" s="38">
        <f>Inputs!$C$7/G100-1</f>
        <v>#DIV/0!</v>
      </c>
      <c r="H101" t="e" s="38">
        <f>Inputs!$C$7/H100-1</f>
        <v>#DIV/0!</v>
      </c>
      <c r="I101" t="e" s="38">
        <f>Inputs!$C$7/I100-1</f>
        <v>#DIV/0!</v>
      </c>
    </row>
    <row r="102">
      <c r="B102" t="s" s="61">
        <v>220</v>
      </c>
      <c r="C102" s="3"/>
      <c r="D102" t="e" s="38">
        <f>D100/Inputs!$C$8-1</f>
        <v>#DIV/0!</v>
      </c>
      <c r="E102" t="e" s="38">
        <f>E100/Inputs!$C$8-1</f>
        <v>#DIV/0!</v>
      </c>
      <c r="F102" t="e" s="38">
        <f>F100/Inputs!$C$8-1</f>
        <v>#DIV/0!</v>
      </c>
      <c r="G102" t="e" s="38">
        <f>G100/Inputs!$C$8-1</f>
        <v>#DIV/0!</v>
      </c>
      <c r="H102" t="e" s="38">
        <f>H100/Inputs!$C$8-1</f>
        <v>#DIV/0!</v>
      </c>
      <c r="I102" t="e" s="38">
        <f>I100/Inputs!$C$8-1</f>
        <v>#DIV/0!</v>
      </c>
    </row>
    <row r="103">
      <c r="B103" t="s" s="61">
        <v>221</v>
      </c>
      <c r="C103" s="3"/>
      <c r="D103" t="e" s="38">
        <f>D92/D94</f>
        <v>#DIV/0!</v>
      </c>
      <c r="E103" t="e" s="38">
        <f>E92/E94</f>
        <v>#DIV/0!</v>
      </c>
      <c r="F103" t="e" s="38">
        <f>F92/F94</f>
        <v>#DIV/0!</v>
      </c>
      <c r="G103" t="e" s="38">
        <f>G92/G94</f>
        <v>#DIV/0!</v>
      </c>
      <c r="H103" t="e" s="38">
        <f>H92/H94</f>
        <v>#DIV/0!</v>
      </c>
      <c r="I103" t="e" s="38">
        <f>I92/I94</f>
        <v>#DIV/0!</v>
      </c>
    </row>
    <row r="104">
      <c r="B104" t="s" s="17">
        <v>222</v>
      </c>
      <c r="D104" t="e" s="11">
        <f>D90/D89</f>
        <v>#DIV/0!</v>
      </c>
      <c r="E104" t="e" s="11">
        <f>E90/E89</f>
        <v>#DIV/0!</v>
      </c>
      <c r="F104" t="e" s="11">
        <f>F90/F89</f>
        <v>#DIV/0!</v>
      </c>
      <c r="G104" t="e" s="11">
        <f>G90/G89</f>
        <v>#DIV/0!</v>
      </c>
      <c r="H104" t="e" s="11">
        <f>H90/H89</f>
        <v>#DIV/0!</v>
      </c>
      <c r="I104" t="e" s="11">
        <f>I90/I89</f>
        <v>#DIV/0!</v>
      </c>
    </row>
    <row r="105">
      <c r="B105" t="s" s="17">
        <v>223</v>
      </c>
      <c r="D105" t="e" s="10">
        <f>(D90*$C$8-D88)/(D90+D88)</f>
        <v>#DIV/0!</v>
      </c>
      <c r="E105" t="e" s="10">
        <f>(E90*$C$8-E88)/(E90+E88)</f>
        <v>#DIV/0!</v>
      </c>
      <c r="F105" t="e" s="10">
        <f>(F90*$C$8-F88)/(F90+F88)</f>
        <v>#DIV/0!</v>
      </c>
      <c r="G105" t="e" s="10">
        <f>(G90*$C$8-G88)/(G90+G88)</f>
        <v>#DIV/0!</v>
      </c>
      <c r="H105" t="e" s="10">
        <f>(H90*$C$8-H88)/(H90+H88)</f>
        <v>#DIV/0!</v>
      </c>
      <c r="I105" t="e" s="10">
        <f>(I90*$C$8-I88)/(I90+I88)</f>
        <v>#DIV/0!</v>
      </c>
    </row>
    <row r="106">
      <c r="B106" t="s" s="17">
        <v>224</v>
      </c>
      <c r="D106" t="e" s="11">
        <f>D94/$D$30</f>
        <v>#DIV/0!</v>
      </c>
      <c r="E106" t="e" s="11">
        <f>E94/$D$30</f>
        <v>#DIV/0!</v>
      </c>
      <c r="F106" t="e" s="11">
        <f>F94/$D$30</f>
        <v>#DIV/0!</v>
      </c>
      <c r="G106" t="e" s="11">
        <f>G94/$D$30</f>
        <v>#DIV/0!</v>
      </c>
      <c r="H106" t="e" s="11">
        <f>H94/$D$30</f>
        <v>#DIV/0!</v>
      </c>
      <c r="I106" t="e" s="11">
        <f>I94/$D$30</f>
        <v>#DIV/0!</v>
      </c>
    </row>
    <row r="108">
      <c r="B108" t="s" s="5">
        <v>225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ht="40" customHeight="1">
      <c r="D109" t="s" s="101">
        <v>230</v>
      </c>
      <c r="E109" t="s" s="101">
        <v>59</v>
      </c>
      <c r="F109" t="s" s="101">
        <v>345</v>
      </c>
    </row>
    <row r="110">
      <c r="B110" t="s" s="1">
        <v>218</v>
      </c>
      <c r="C110" s="1"/>
      <c r="D110" t="e" s="59">
        <f>IF($C$11="Perpetuity growth",D100,E100)</f>
        <v>#DIV/0!</v>
      </c>
      <c r="E110" t="e" s="59">
        <f>IF($C$11="Perpetuity growth",F100,G100)</f>
        <v>#DIV/0!</v>
      </c>
      <c r="F110" t="e" s="59">
        <f>IF($C$11="Perpetuity growth",H100,I100)</f>
        <v>#DIV/0!</v>
      </c>
    </row>
    <row r="111">
      <c r="B111" t="s" s="17">
        <v>212</v>
      </c>
      <c r="D111" t="e" s="51">
        <f>IF($C$11="Perpetuity growth",D94,E94)</f>
        <v>#DIV/0!</v>
      </c>
      <c r="E111" t="e" s="51">
        <f>IF($C$11="Perpetuity growth",F94,G94)</f>
        <v>#DIV/0!</v>
      </c>
      <c r="F111" t="e" s="51">
        <f>IF($C$11="Perpetuity growth",H94,I94)</f>
        <v>#DIV/0!</v>
      </c>
    </row>
    <row r="112">
      <c r="B112" t="s" s="61">
        <v>219</v>
      </c>
      <c r="C112" s="3"/>
      <c r="D112" t="e" s="38">
        <f>Inputs!$C$7/D110-1</f>
        <v>#DIV/0!</v>
      </c>
      <c r="E112" t="e" s="38">
        <f>Inputs!$C$7/E110-1</f>
        <v>#DIV/0!</v>
      </c>
      <c r="F112" t="e" s="38">
        <f>Inputs!$C$7/F110-1</f>
        <v>#DIV/0!</v>
      </c>
    </row>
    <row r="113">
      <c r="B113" t="s" s="17">
        <v>226</v>
      </c>
      <c r="C113" t="e" s="7">
        <f>CHOOSE(Inputs!$C$52,D100,F100,H100)</f>
        <v>#DIV/0!</v>
      </c>
    </row>
    <row r="114">
      <c r="B114" t="s" s="17">
        <v>227</v>
      </c>
      <c r="C114" t="e" s="7">
        <f>CHOOSE(Inputs!$C$52,E100,G100,I100)</f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22"/>
  <sheetViews>
    <sheetView showGridLines="0" workbookViewId="0">
      <selection activeCell="A1" sqref="A1"/>
    </sheetView>
  </sheetViews>
  <cols>
    <col min="1" max="1" width="2" customWidth="1"/>
    <col min="2" max="2" width="46" customWidth="1"/>
    <col min="3" max="13" width="11" customWidth="1"/>
  </cols>
  <sheetData>
    <row r="2">
      <c r="B2" t="s" s="2">
        <v>387</v>
      </c>
    </row>
    <row r="3">
      <c r="B3" t="s" s="4">
        <v>239</v>
      </c>
    </row>
    <row r="5">
      <c r="B5" t="s" s="5">
        <v>240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>
      <c r="B6" t="s" s="17">
        <v>241</v>
      </c>
      <c r="C6" s="66">
        <v>0</v>
      </c>
    </row>
    <row r="7">
      <c r="B7" t="s" s="17">
        <v>242</v>
      </c>
      <c r="C7" s="66">
        <v>0</v>
      </c>
    </row>
    <row r="8">
      <c r="B8" t="s" s="17">
        <v>243</v>
      </c>
      <c r="C8" s="67">
        <v>0</v>
      </c>
    </row>
    <row r="9">
      <c r="B9" t="s" s="17">
        <v>244</v>
      </c>
      <c r="C9" s="27">
        <v>0</v>
      </c>
    </row>
    <row r="10">
      <c r="B10" t="s" s="17">
        <v>245</v>
      </c>
      <c r="C10" s="27">
        <v>0</v>
      </c>
    </row>
    <row r="12">
      <c r="B12" t="str" s="5">
        <f>"IMPLIED VALUE PER SHARE – PERPETUITY GROWTH"&amp;IF(Inputs!$C$44="Perpetuity growth"," (LIVE)","")&amp;" – "&amp;UPPER(Inputs!$C$51)</f>
        <v>IMPLIED VALUE PER SHARE – PERPETUITY GROWTH (LIVE) – SBC AS CASH COST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>
      <c r="B13" t="s" s="3">
        <v>246</v>
      </c>
      <c r="E13" s="68">
        <f>Inputs!$C$45+E14</f>
        <v>0.015000000000000001</v>
      </c>
      <c r="F13" s="68">
        <f>Inputs!$C$45+F14</f>
        <v>0.0175</v>
      </c>
      <c r="G13" s="68">
        <f>Inputs!$C$45+G14</f>
        <v>0.02</v>
      </c>
      <c r="H13" s="68">
        <f>Inputs!$C$45+H14</f>
        <v>0.022500000000000003</v>
      </c>
      <c r="I13" s="68">
        <f>Inputs!$C$45+I14</f>
        <v>0.025</v>
      </c>
      <c r="J13" s="68">
        <f>Inputs!$C$45+J14</f>
        <v>0.0275</v>
      </c>
      <c r="K13" s="68">
        <f>Inputs!$C$45+K14</f>
        <v>0.030000000000000002</v>
      </c>
      <c r="L13" s="68">
        <f>Inputs!$C$45+L14</f>
        <v>0.0325</v>
      </c>
      <c r="M13" s="68">
        <f>Inputs!$C$45+M14</f>
        <v>0.035</v>
      </c>
    </row>
    <row r="14">
      <c r="D14" t="e" s="69">
        <f>DCF!$C$113</f>
        <v>#DIV/0!</v>
      </c>
      <c r="E14" s="70">
        <v>-0.01</v>
      </c>
      <c r="F14" s="70">
        <v>-0.0075</v>
      </c>
      <c r="G14" s="70">
        <v>-0.005</v>
      </c>
      <c r="H14" s="70">
        <v>-0.0025</v>
      </c>
      <c r="I14" s="70">
        <v>0</v>
      </c>
      <c r="J14" s="70">
        <v>0.0025</v>
      </c>
      <c r="K14" s="70">
        <v>0.005</v>
      </c>
      <c r="L14" s="70">
        <v>0.0075</v>
      </c>
      <c r="M14" s="70">
        <v>0.01</v>
      </c>
    </row>
    <row r="15">
      <c r="C15" t="e" s="42">
        <f>WACC!$C$43+D15</f>
        <v>#DIV/0!</v>
      </c>
      <c r="D15" s="70">
        <v>-0.01</v>
      </c>
      <c r="E15" s="7">
        <f t="dataTable" ref="E15:M19" dt2D="1" dtr="1" r1="C7" r2="C6"/>
        <v>20.876710444422912</v>
      </c>
      <c r="F15" s="7">
        <v>21.308572864328873</v>
      </c>
      <c r="G15" s="7">
        <v>21.76744322102107</v>
      </c>
      <c r="H15" s="7">
        <v>22.25593683867957</v>
      </c>
      <c r="I15" s="7">
        <v>22.777017979253802</v>
      </c>
      <c r="J15" s="7">
        <v>23.33406004481868</v>
      </c>
      <c r="K15" s="7">
        <v>23.930918689468484</v>
      </c>
      <c r="L15" s="7">
        <v>24.572021190096223</v>
      </c>
      <c r="M15" s="7">
        <v>25.262476456751624</v>
      </c>
    </row>
    <row r="16">
      <c r="C16" t="e" s="42">
        <f>WACC!$C$43+D16</f>
        <v>#DIV/0!</v>
      </c>
      <c r="D16" s="70">
        <v>-0.005</v>
      </c>
      <c r="E16" s="7">
        <v>19.366033345317085</v>
      </c>
      <c r="F16" s="7">
        <v>19.735969379659924</v>
      </c>
      <c r="G16" s="7">
        <v>20.127678903801726</v>
      </c>
      <c r="H16" s="7">
        <v>20.54314250176799</v>
      </c>
      <c r="I16" s="7">
        <v>20.984588482256214</v>
      </c>
      <c r="J16" s="7">
        <v>21.454532859495963</v>
      </c>
      <c r="K16" s="7">
        <v>21.955827335506353</v>
      </c>
      <c r="L16" s="7">
        <v>22.491717216428473</v>
      </c>
      <c r="M16" s="7">
        <v>23.065911748190402</v>
      </c>
    </row>
    <row r="17">
      <c r="C17" t="e" s="42">
        <f>WACC!$C$43+D17</f>
        <v>#DIV/0!</v>
      </c>
      <c r="D17" s="70">
        <v>0</v>
      </c>
      <c r="E17" s="7">
        <v>18.01959978915458</v>
      </c>
      <c r="F17" s="7">
        <v>18.33856971477912</v>
      </c>
      <c r="G17" s="7">
        <v>18.67526984095719</v>
      </c>
      <c r="H17" s="7">
        <v>19.031220750340065</v>
      </c>
      <c r="I17" s="71">
        <v>19.408122020798604</v>
      </c>
      <c r="J17" s="7">
        <v>19.80787936202188</v>
      </c>
      <c r="K17" s="7">
        <v>20.232636843345194</v>
      </c>
      <c r="L17" s="7">
        <v>20.68481536316691</v>
      </c>
      <c r="M17" s="7">
        <v>21.16715881727646</v>
      </c>
    </row>
    <row r="18">
      <c r="C18" t="e" s="42">
        <f>WACC!$C$43+D18</f>
        <v>#DIV/0!</v>
      </c>
      <c r="D18" s="70">
        <v>0.005</v>
      </c>
      <c r="E18" s="7">
        <v>16.812599984891047</v>
      </c>
      <c r="F18" s="7">
        <v>17.089247104739275</v>
      </c>
      <c r="G18" s="7">
        <v>17.380462110180964</v>
      </c>
      <c r="H18" s="7">
        <v>17.687426806908636</v>
      </c>
      <c r="I18" s="7">
        <v>18.011454383859824</v>
      </c>
      <c r="J18" s="7">
        <v>18.354008192764272</v>
      </c>
      <c r="K18" s="7">
        <v>18.71672384363966</v>
      </c>
      <c r="L18" s="7">
        <v>19.101435320036675</v>
      </c>
      <c r="M18" s="7">
        <v>19.51020599389231</v>
      </c>
    </row>
    <row r="19">
      <c r="C19" t="e" s="42">
        <f>WACC!$C$43+D19</f>
        <v>#DIV/0!</v>
      </c>
      <c r="D19" s="70">
        <v>0.01</v>
      </c>
      <c r="E19" s="7">
        <v>15.724958179815568</v>
      </c>
      <c r="F19" s="7">
        <v>15.966176376995158</v>
      </c>
      <c r="G19" s="7">
        <v>16.219461394338232</v>
      </c>
      <c r="H19" s="7">
        <v>16.485741915311017</v>
      </c>
      <c r="I19" s="7">
        <v>16.7660444299609</v>
      </c>
      <c r="J19" s="7">
        <v>17.061506459024287</v>
      </c>
      <c r="K19" s="7">
        <v>17.373391983252578</v>
      </c>
      <c r="L19" s="7">
        <v>17.703109519246922</v>
      </c>
      <c r="M19" s="7">
        <v>18.052233386985254</v>
      </c>
    </row>
    <row r="21">
      <c r="B21" t="str" s="5">
        <f>"IMPLIED VALUE PER SHARE – EXIT MULTIPLE"&amp;IF(Inputs!$C$44="Exit multiple"," (LIVE)","")&amp;" – "&amp;UPPER(Inputs!$C$51)</f>
        <v>IMPLIED VALUE PER SHARE – EXIT MULTIPLE – SBC AS CASH COST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>
      <c r="B22" t="s" s="3">
        <v>247</v>
      </c>
      <c r="E22" t="e" s="72">
        <f>Inputs!$C$47+E23</f>
        <v>#NUM!</v>
      </c>
      <c r="F22" t="e" s="72">
        <f>Inputs!$C$47+F23</f>
        <v>#NUM!</v>
      </c>
      <c r="G22" t="e" s="72">
        <f>Inputs!$C$47+G23</f>
        <v>#NUM!</v>
      </c>
      <c r="H22" t="e" s="72">
        <f>Inputs!$C$47+H23</f>
        <v>#NUM!</v>
      </c>
      <c r="I22" t="e" s="72">
        <f>Inputs!$C$47+I23</f>
        <v>#NUM!</v>
      </c>
      <c r="J22" t="e" s="72">
        <f>Inputs!$C$47+J23</f>
        <v>#NUM!</v>
      </c>
      <c r="K22" t="e" s="72">
        <f>Inputs!$C$47+K23</f>
        <v>#NUM!</v>
      </c>
    </row>
    <row r="23">
      <c r="D23" t="e" s="69">
        <f>DCF!$C$114</f>
        <v>#DIV/0!</v>
      </c>
      <c r="E23" s="70">
        <v>-1.5</v>
      </c>
      <c r="F23" s="70">
        <v>-1</v>
      </c>
      <c r="G23" s="70">
        <v>-0.5</v>
      </c>
      <c r="H23" s="70">
        <v>0</v>
      </c>
      <c r="I23" s="70">
        <v>0.5</v>
      </c>
      <c r="J23" s="70">
        <v>1</v>
      </c>
      <c r="K23" s="70">
        <v>1.5</v>
      </c>
    </row>
    <row r="24">
      <c r="C24" t="e" s="42">
        <f>WACC!$C$43+D24</f>
        <v>#DIV/0!</v>
      </c>
      <c r="D24" s="70">
        <v>-0.01</v>
      </c>
      <c r="E24" s="7">
        <f t="dataTable" ref="E24:K28" dt2D="1" dtr="1" r1="C8" r2="C6"/>
        <v>41.27466121034323</v>
      </c>
      <c r="F24" s="7">
        <v>42.13248574902876</v>
      </c>
      <c r="G24" s="7">
        <v>42.9903102877143</v>
      </c>
      <c r="H24" s="7">
        <v>43.84813482639983</v>
      </c>
      <c r="I24" s="7">
        <v>44.70595936508536</v>
      </c>
      <c r="J24" s="7">
        <v>45.5637839037709</v>
      </c>
      <c r="K24" s="7">
        <v>46.42160844245643</v>
      </c>
    </row>
    <row r="25">
      <c r="C25" t="e" s="42">
        <f>WACC!$C$43+D25</f>
        <v>#DIV/0!</v>
      </c>
      <c r="D25" s="70">
        <v>-0.005</v>
      </c>
      <c r="E25" s="7">
        <v>39.600270932428536</v>
      </c>
      <c r="F25" s="7">
        <v>40.421787542721525</v>
      </c>
      <c r="G25" s="7">
        <v>41.24330415301449</v>
      </c>
      <c r="H25" s="7">
        <v>42.06482076330748</v>
      </c>
      <c r="I25" s="7">
        <v>42.886337373600455</v>
      </c>
      <c r="J25" s="7">
        <v>43.707853983893436</v>
      </c>
      <c r="K25" s="7">
        <v>44.52937059418641</v>
      </c>
    </row>
    <row r="26">
      <c r="C26" t="e" s="42">
        <f>WACC!$C$43+D26</f>
        <v>#DIV/0!</v>
      </c>
      <c r="D26" s="70">
        <v>0</v>
      </c>
      <c r="E26" s="7">
        <v>38.000775994614266</v>
      </c>
      <c r="F26" s="7">
        <v>38.78767506370044</v>
      </c>
      <c r="G26" s="7">
        <v>39.57457413278663</v>
      </c>
      <c r="H26" s="71">
        <v>40.361473201872805</v>
      </c>
      <c r="I26" s="7">
        <v>41.14837227095898</v>
      </c>
      <c r="J26" s="7">
        <v>41.93527134004517</v>
      </c>
      <c r="K26" s="7">
        <v>42.722170409131344</v>
      </c>
    </row>
    <row r="27">
      <c r="C27" t="e" s="42">
        <f>WACC!$C$43+D27</f>
        <v>#DIV/0!</v>
      </c>
      <c r="D27" s="70">
        <v>0.005</v>
      </c>
      <c r="E27" s="7">
        <v>36.472457179591764</v>
      </c>
      <c r="F27" s="7">
        <v>37.2263433058023</v>
      </c>
      <c r="G27" s="7">
        <v>37.980229432012834</v>
      </c>
      <c r="H27" s="7">
        <v>38.73411555822336</v>
      </c>
      <c r="I27" s="7">
        <v>39.4880016844339</v>
      </c>
      <c r="J27" s="7">
        <v>40.241887810644435</v>
      </c>
      <c r="K27" s="7">
        <v>40.99577393685496</v>
      </c>
    </row>
    <row r="28">
      <c r="C28" t="e" s="42">
        <f>WACC!$C$43+D28</f>
        <v>#DIV/0!</v>
      </c>
      <c r="D28" s="70">
        <v>0.01</v>
      </c>
      <c r="E28" s="7">
        <v>35.01179672366064</v>
      </c>
      <c r="F28" s="7">
        <v>35.734193426983055</v>
      </c>
      <c r="G28" s="7">
        <v>36.45659013030547</v>
      </c>
      <c r="H28" s="7">
        <v>37.17898683362789</v>
      </c>
      <c r="I28" s="7">
        <v>37.9013835369503</v>
      </c>
      <c r="J28" s="7">
        <v>38.62378024027272</v>
      </c>
      <c r="K28" s="7">
        <v>39.34617694359514</v>
      </c>
    </row>
    <row r="30">
      <c r="B30" t="s" s="5">
        <v>248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ht="40" customHeight="1">
      <c r="B31" t="s" s="102">
        <v>58</v>
      </c>
      <c r="C31" s="100"/>
      <c r="D31" s="100"/>
      <c r="E31" t="s" s="101">
        <v>230</v>
      </c>
      <c r="F31" t="s" s="101">
        <v>59</v>
      </c>
      <c r="G31" t="s" s="101">
        <v>345</v>
      </c>
    </row>
    <row r="32">
      <c r="E32" t="e" s="69">
        <f>DCF!$D$100</f>
        <v>#DIV/0!</v>
      </c>
      <c r="F32" t="e" s="69">
        <f>DCF!$F$100</f>
        <v>#DIV/0!</v>
      </c>
      <c r="G32" t="e" s="69">
        <f>DCF!$H$100</f>
        <v>#DIV/0!</v>
      </c>
    </row>
    <row r="33">
      <c r="C33" s="42">
        <f>Inputs!$C$45+D33</f>
        <v>0.015000000000000001</v>
      </c>
      <c r="D33" s="70">
        <v>-0.01</v>
      </c>
      <c r="E33" s="7">
        <f t="dataTable" ref="E33:G41" r1="C7"/>
        <v>22.17007767114609</v>
      </c>
      <c r="F33" s="7">
        <v>18.01959978915458</v>
      </c>
      <c r="G33" s="7">
        <v>20.42724504419764</v>
      </c>
    </row>
    <row r="34">
      <c r="C34" s="42">
        <f>Inputs!$C$45+D34</f>
        <v>0.0175</v>
      </c>
      <c r="D34" s="70">
        <v>-0.0075</v>
      </c>
      <c r="E34" s="7">
        <v>22.536766793279916</v>
      </c>
      <c r="F34" s="7">
        <v>18.33856971477912</v>
      </c>
      <c r="G34" s="7">
        <v>20.772986566289003</v>
      </c>
    </row>
    <row r="35">
      <c r="C35" s="42">
        <f>Inputs!$C$45+D35</f>
        <v>0.02</v>
      </c>
      <c r="D35" s="70">
        <v>-0.005</v>
      </c>
      <c r="E35" s="7">
        <v>22.92383862598904</v>
      </c>
      <c r="F35" s="7">
        <v>18.67526984095719</v>
      </c>
      <c r="G35" s="7">
        <v>21.137946409713823</v>
      </c>
    </row>
    <row r="36">
      <c r="C36" s="42">
        <f>Inputs!$C$45+D36</f>
        <v>0.022500000000000003</v>
      </c>
      <c r="D36" s="70">
        <v>-0.0025</v>
      </c>
      <c r="E36" s="7">
        <v>23.33304123726589</v>
      </c>
      <c r="F36" s="7">
        <v>19.031220750340065</v>
      </c>
      <c r="G36" s="7">
        <v>21.523772781773438</v>
      </c>
    </row>
    <row r="37">
      <c r="C37" s="42">
        <f>Inputs!$C$45+D37</f>
        <v>0.025</v>
      </c>
      <c r="D37" s="70">
        <v>0</v>
      </c>
      <c r="E37" s="59">
        <v>23.76632846873437</v>
      </c>
      <c r="F37" s="59">
        <v>19.408122020798604</v>
      </c>
      <c r="G37" s="59">
        <v>21.932307908310392</v>
      </c>
    </row>
    <row r="38">
      <c r="C38" s="42">
        <f>Inputs!$C$45+D38</f>
        <v>0.0275</v>
      </c>
      <c r="D38" s="70">
        <v>0.0025</v>
      </c>
      <c r="E38" s="7">
        <v>24.225891131993915</v>
      </c>
      <c r="F38" s="7">
        <v>19.80787936202188</v>
      </c>
      <c r="G38" s="7">
        <v>22.365617447920158</v>
      </c>
    </row>
    <row r="39">
      <c r="C39" s="42">
        <f>Inputs!$C$45+D39</f>
        <v>0.030000000000000002</v>
      </c>
      <c r="D39" s="70">
        <v>0.005</v>
      </c>
      <c r="E39" s="7">
        <v>24.714194057861476</v>
      </c>
      <c r="F39" s="7">
        <v>20.232636843345194</v>
      </c>
      <c r="G39" s="7">
        <v>22.82602542470629</v>
      </c>
    </row>
    <row r="40">
      <c r="C40" s="42">
        <f>Inputs!$C$45+D40</f>
        <v>0.0325</v>
      </c>
      <c r="D40" s="70">
        <v>0.0075</v>
      </c>
      <c r="E40" s="7">
        <v>25.234020320969343</v>
      </c>
      <c r="F40" s="7">
        <v>20.68481536316691</v>
      </c>
      <c r="G40" s="7">
        <v>23.31615592648972</v>
      </c>
    </row>
    <row r="41">
      <c r="C41" s="42">
        <f>Inputs!$C$45+D41</f>
        <v>0.035</v>
      </c>
      <c r="D41" s="70">
        <v>0.01</v>
      </c>
      <c r="E41" s="7">
        <v>25.788524315062556</v>
      </c>
      <c r="F41" s="7">
        <v>21.16715881727646</v>
      </c>
      <c r="G41" s="7">
        <v>23.838983148109794</v>
      </c>
    </row>
    <row r="43">
      <c r="B43" t="s" s="5">
        <v>249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ht="40" customHeight="1">
      <c r="B44" t="s" s="102">
        <v>250</v>
      </c>
      <c r="C44" s="101"/>
      <c r="D44" s="101"/>
      <c r="E44" t="s" s="101">
        <v>230</v>
      </c>
      <c r="F44" t="s" s="101">
        <v>59</v>
      </c>
      <c r="G44" t="s" s="101">
        <v>345</v>
      </c>
    </row>
    <row r="45">
      <c r="E45" t="e" s="69">
        <f>DCF!$D$110</f>
        <v>#DIV/0!</v>
      </c>
      <c r="F45" t="e" s="69">
        <f>DCF!$E$110</f>
        <v>#DIV/0!</v>
      </c>
      <c r="G45" t="e" s="69">
        <f>DCF!$F$110</f>
        <v>#DIV/0!</v>
      </c>
    </row>
    <row r="46">
      <c r="D46" s="24">
        <v>-0.1</v>
      </c>
      <c r="E46" s="7">
        <f t="dataTable" ref="E46:G66" r1="C10"/>
        <v>18.530594528584196</v>
      </c>
      <c r="F46" s="7">
        <v>14.172388080648432</v>
      </c>
      <c r="G46" s="7">
        <v>16.714821316439338</v>
      </c>
    </row>
    <row r="47">
      <c r="D47" s="24">
        <v>-0.09</v>
      </c>
      <c r="E47" s="7">
        <v>19.05483772500791</v>
      </c>
      <c r="F47" s="7">
        <v>14.696631277072148</v>
      </c>
      <c r="G47" s="7">
        <v>17.236569975626438</v>
      </c>
    </row>
    <row r="48">
      <c r="D48" s="24">
        <v>-0.08</v>
      </c>
      <c r="E48" s="7">
        <v>19.57908092143164</v>
      </c>
      <c r="F48" s="7">
        <v>15.220874473495874</v>
      </c>
      <c r="G48" s="7">
        <v>17.758318634813545</v>
      </c>
    </row>
    <row r="49">
      <c r="D49" s="24">
        <v>-0.07</v>
      </c>
      <c r="E49" s="7">
        <v>20.10332411785536</v>
      </c>
      <c r="F49" s="7">
        <v>15.7451176699196</v>
      </c>
      <c r="G49" s="7">
        <v>18.280067294000652</v>
      </c>
    </row>
    <row r="50">
      <c r="D50" s="24">
        <v>-0.06</v>
      </c>
      <c r="E50" s="7">
        <v>20.627567314279087</v>
      </c>
      <c r="F50" s="7">
        <v>16.269360866343323</v>
      </c>
      <c r="G50" s="7">
        <v>18.801815953187756</v>
      </c>
    </row>
    <row r="51">
      <c r="D51" s="24">
        <v>-0.05</v>
      </c>
      <c r="E51" s="7">
        <v>21.15181051070281</v>
      </c>
      <c r="F51" s="7">
        <v>16.793604062767045</v>
      </c>
      <c r="G51" s="7">
        <v>19.323564612374863</v>
      </c>
    </row>
    <row r="52">
      <c r="D52" s="24">
        <v>-0.04</v>
      </c>
      <c r="E52" s="7">
        <v>21.67605370712653</v>
      </c>
      <c r="F52" s="7">
        <v>17.31784725919077</v>
      </c>
      <c r="G52" s="7">
        <v>19.845313271561974</v>
      </c>
    </row>
    <row r="53">
      <c r="D53" s="24">
        <v>-0.03</v>
      </c>
      <c r="E53" s="7">
        <v>22.200296903550253</v>
      </c>
      <c r="F53" s="7">
        <v>17.842090455614493</v>
      </c>
      <c r="G53" s="7">
        <v>20.367061930749077</v>
      </c>
    </row>
    <row r="54">
      <c r="D54" s="24">
        <v>-0.02</v>
      </c>
      <c r="E54" s="7">
        <v>22.722831150360157</v>
      </c>
      <c r="F54" s="7">
        <v>18.364624702424393</v>
      </c>
      <c r="G54" s="7">
        <v>20.88881058993618</v>
      </c>
    </row>
    <row r="55">
      <c r="D55" s="24">
        <v>-0.01</v>
      </c>
      <c r="E55" s="7">
        <v>23.24457980954726</v>
      </c>
      <c r="F55" s="7">
        <v>18.886373361611497</v>
      </c>
      <c r="G55" s="7">
        <v>21.410559249123285</v>
      </c>
    </row>
    <row r="56">
      <c r="D56" s="24">
        <v>0</v>
      </c>
      <c r="E56" s="7">
        <v>23.76632846873437</v>
      </c>
      <c r="F56" s="7">
        <v>19.408122020798604</v>
      </c>
      <c r="G56" s="7">
        <v>21.932307908310392</v>
      </c>
    </row>
    <row r="57">
      <c r="D57" s="24">
        <v>0.01</v>
      </c>
      <c r="E57" s="7">
        <v>24.288077127921472</v>
      </c>
      <c r="F57" s="7">
        <v>19.92987067998571</v>
      </c>
      <c r="G57" s="7">
        <v>22.4540565674975</v>
      </c>
    </row>
    <row r="58">
      <c r="D58" s="24">
        <v>0.02</v>
      </c>
      <c r="E58" s="7">
        <v>24.80982578710858</v>
      </c>
      <c r="F58" s="7">
        <v>20.45161933917282</v>
      </c>
      <c r="G58" s="7">
        <v>22.975191471712275</v>
      </c>
    </row>
    <row r="59">
      <c r="D59" s="24">
        <v>0.03</v>
      </c>
      <c r="E59" s="7">
        <v>25.331574446295683</v>
      </c>
      <c r="F59" s="7">
        <v>20.973367998359915</v>
      </c>
      <c r="G59" s="7">
        <v>23.495020063022338</v>
      </c>
    </row>
    <row r="60">
      <c r="D60" s="24">
        <v>0.04</v>
      </c>
      <c r="E60" s="7">
        <v>25.853323105482783</v>
      </c>
      <c r="F60" s="7">
        <v>21.495116657547026</v>
      </c>
      <c r="G60" s="7">
        <v>24.014848654332415</v>
      </c>
    </row>
    <row r="61">
      <c r="D61" s="24">
        <v>0.05</v>
      </c>
      <c r="E61" s="7">
        <v>26.37507176466989</v>
      </c>
      <c r="F61" s="7">
        <v>22.01686531673413</v>
      </c>
      <c r="G61" s="7">
        <v>24.53467724564248</v>
      </c>
    </row>
    <row r="62">
      <c r="D62" s="24">
        <v>0.06</v>
      </c>
      <c r="E62" s="7">
        <v>26.896820423857005</v>
      </c>
      <c r="F62" s="7">
        <v>22.53861397592124</v>
      </c>
      <c r="G62" s="7">
        <v>25.054505836952558</v>
      </c>
    </row>
    <row r="63">
      <c r="D63" s="24">
        <v>0.07</v>
      </c>
      <c r="E63" s="7">
        <v>27.418569083044115</v>
      </c>
      <c r="F63" s="7">
        <v>23.060362635108344</v>
      </c>
      <c r="G63" s="7">
        <v>25.574334428262627</v>
      </c>
    </row>
    <row r="64">
      <c r="D64" s="24">
        <v>0.08</v>
      </c>
      <c r="E64" s="7">
        <v>27.940317742231212</v>
      </c>
      <c r="F64" s="7">
        <v>23.58211129429545</v>
      </c>
      <c r="G64" s="7">
        <v>26.094163019572697</v>
      </c>
    </row>
    <row r="65">
      <c r="D65" s="24">
        <v>0.09</v>
      </c>
      <c r="E65" s="7">
        <v>28.462066401418323</v>
      </c>
      <c r="F65" s="7">
        <v>24.10385995348256</v>
      </c>
      <c r="G65" s="7">
        <v>26.61399161088277</v>
      </c>
    </row>
    <row r="66">
      <c r="D66" s="24">
        <v>0.1</v>
      </c>
      <c r="E66" s="7">
        <v>28.983815060605433</v>
      </c>
      <c r="F66" s="7">
        <v>24.625608612669666</v>
      </c>
      <c r="G66" s="7">
        <v>27.133820202192833</v>
      </c>
    </row>
    <row r="68" ht="40" customHeight="1">
      <c r="B68" t="s" s="102">
        <v>251</v>
      </c>
      <c r="C68" s="101"/>
      <c r="D68" s="101"/>
      <c r="E68" t="s" s="101">
        <v>230</v>
      </c>
      <c r="F68" t="s" s="101">
        <v>59</v>
      </c>
      <c r="G68" t="s" s="101">
        <v>345</v>
      </c>
    </row>
    <row r="69">
      <c r="E69" t="e" s="69">
        <f>DCF!$D$110</f>
        <v>#DIV/0!</v>
      </c>
      <c r="F69" t="e" s="69">
        <f>DCF!$E$110</f>
        <v>#DIV/0!</v>
      </c>
      <c r="G69" t="e" s="69">
        <f>DCF!$F$110</f>
        <v>#DIV/0!</v>
      </c>
    </row>
    <row r="70">
      <c r="D70" s="24">
        <v>-0.06</v>
      </c>
      <c r="E70" s="7">
        <f t="dataTable" ref="E70:G94" r1="C9"/>
        <v>17.05245145861698</v>
      </c>
      <c r="F70" s="7">
        <v>12.694245010681215</v>
      </c>
      <c r="G70" s="7">
        <v>15.230693824294438</v>
      </c>
    </row>
    <row r="71">
      <c r="D71" s="24">
        <v>-0.055</v>
      </c>
      <c r="E71" s="7">
        <v>17.52860191648949</v>
      </c>
      <c r="F71" s="7">
        <v>13.170395468553725</v>
      </c>
      <c r="G71" s="7">
        <v>15.705371509753816</v>
      </c>
    </row>
    <row r="72">
      <c r="D72" s="24">
        <v>-0.05</v>
      </c>
      <c r="E72" s="7">
        <v>18.018710664148706</v>
      </c>
      <c r="F72" s="7">
        <v>13.660504216212944</v>
      </c>
      <c r="G72" s="7">
        <v>16.193988645046147</v>
      </c>
    </row>
    <row r="73">
      <c r="D73" s="24">
        <v>-0.045</v>
      </c>
      <c r="E73" s="7">
        <v>18.52314718631483</v>
      </c>
      <c r="F73" s="7">
        <v>14.164940738379066</v>
      </c>
      <c r="G73" s="7">
        <v>16.696914517077367</v>
      </c>
    </row>
    <row r="74">
      <c r="D74" s="24">
        <v>-0.04</v>
      </c>
      <c r="E74" s="7">
        <v>19.042289279787823</v>
      </c>
      <c r="F74" s="7">
        <v>14.68408283185206</v>
      </c>
      <c r="G74" s="7">
        <v>17.21452672337708</v>
      </c>
    </row>
    <row r="75">
      <c r="D75" s="24">
        <v>-0.035</v>
      </c>
      <c r="E75" s="7">
        <v>19.576523204183008</v>
      </c>
      <c r="F75" s="7">
        <v>15.218316756247242</v>
      </c>
      <c r="G75" s="7">
        <v>17.747211322828626</v>
      </c>
    </row>
    <row r="76">
      <c r="D76" s="24">
        <v>-0.03</v>
      </c>
      <c r="E76" s="7">
        <v>20.126243834721045</v>
      </c>
      <c r="F76" s="7">
        <v>15.768037386785283</v>
      </c>
      <c r="G76" s="7">
        <v>18.295362988453544</v>
      </c>
    </row>
    <row r="77">
      <c r="D77" s="24">
        <v>-0.025</v>
      </c>
      <c r="E77" s="7">
        <v>20.69185481709164</v>
      </c>
      <c r="F77" s="7">
        <v>16.33364836915588</v>
      </c>
      <c r="G77" s="7">
        <v>18.85938516226973</v>
      </c>
    </row>
    <row r="78">
      <c r="D78" s="24">
        <v>-0.02</v>
      </c>
      <c r="E78" s="7">
        <v>21.273710772665464</v>
      </c>
      <c r="F78" s="7">
        <v>16.9155043247297</v>
      </c>
      <c r="G78" s="7">
        <v>19.439690212241484</v>
      </c>
    </row>
    <row r="79">
      <c r="D79" s="24">
        <v>-0.015</v>
      </c>
      <c r="E79" s="7">
        <v>21.870720151764736</v>
      </c>
      <c r="F79" s="7">
        <v>17.512513703828972</v>
      </c>
      <c r="G79" s="7">
        <v>20.036699591340764</v>
      </c>
    </row>
    <row r="80">
      <c r="D80" s="24">
        <v>-0.01</v>
      </c>
      <c r="E80" s="7">
        <v>22.484864559162105</v>
      </c>
      <c r="F80" s="7">
        <v>18.126658111226334</v>
      </c>
      <c r="G80" s="7">
        <v>20.650843998738125</v>
      </c>
    </row>
    <row r="81">
      <c r="D81" s="24">
        <v>-0.005</v>
      </c>
      <c r="E81" s="7">
        <v>23.11658410356674</v>
      </c>
      <c r="F81" s="7">
        <v>18.758377655630976</v>
      </c>
      <c r="G81" s="7">
        <v>21.282563543142764</v>
      </c>
    </row>
    <row r="82">
      <c r="D82" s="24">
        <v>0</v>
      </c>
      <c r="E82" s="7">
        <v>23.76632846873437</v>
      </c>
      <c r="F82" s="7">
        <v>19.408122020798604</v>
      </c>
      <c r="G82" s="7">
        <v>21.932307908310392</v>
      </c>
    </row>
    <row r="83">
      <c r="D83" s="24">
        <v>0.005</v>
      </c>
      <c r="E83" s="7">
        <v>24.434557081162303</v>
      </c>
      <c r="F83" s="7">
        <v>20.076350633226532</v>
      </c>
      <c r="G83" s="7">
        <v>22.600536520738324</v>
      </c>
    </row>
    <row r="84">
      <c r="D84" s="24">
        <v>0.01</v>
      </c>
      <c r="E84" s="7">
        <v>25.121739279990987</v>
      </c>
      <c r="F84" s="7">
        <v>20.763532832055226</v>
      </c>
      <c r="G84" s="7">
        <v>23.287718719567017</v>
      </c>
    </row>
    <row r="85">
      <c r="D85" s="24">
        <v>0.015</v>
      </c>
      <c r="E85" s="7">
        <v>25.828354489131264</v>
      </c>
      <c r="F85" s="7">
        <v>21.4701480411955</v>
      </c>
      <c r="G85" s="7">
        <v>23.994121305495074</v>
      </c>
    </row>
    <row r="86">
      <c r="D86" s="24">
        <v>0.02</v>
      </c>
      <c r="E86" s="7">
        <v>26.554892391636788</v>
      </c>
      <c r="F86" s="7">
        <v>22.196685943701024</v>
      </c>
      <c r="G86" s="7">
        <v>24.719491732818994</v>
      </c>
    </row>
    <row r="87">
      <c r="D87" s="24">
        <v>0.025</v>
      </c>
      <c r="E87" s="7">
        <v>27.301853106341174</v>
      </c>
      <c r="F87" s="7">
        <v>22.94364665840541</v>
      </c>
      <c r="G87" s="7">
        <v>25.465274284913672</v>
      </c>
    </row>
    <row r="88">
      <c r="D88" s="24">
        <v>0.03</v>
      </c>
      <c r="E88" s="7">
        <v>28.06974736677944</v>
      </c>
      <c r="F88" s="7">
        <v>23.711540918843678</v>
      </c>
      <c r="G88" s="7">
        <v>26.231979624645795</v>
      </c>
    </row>
    <row r="89">
      <c r="D89" s="24">
        <v>0.035</v>
      </c>
      <c r="E89" s="7">
        <v>28.859096702413307</v>
      </c>
      <c r="F89" s="7">
        <v>24.50089025447754</v>
      </c>
      <c r="G89" s="7">
        <v>27.02012921056438</v>
      </c>
    </row>
    <row r="90">
      <c r="D90" s="24">
        <v>0.04</v>
      </c>
      <c r="E90" s="7">
        <v>29.67043362218044</v>
      </c>
      <c r="F90" s="7">
        <v>25.31222717424468</v>
      </c>
      <c r="G90" s="7">
        <v>27.830255480449996</v>
      </c>
    </row>
    <row r="91">
      <c r="D91" s="24">
        <v>0.045</v>
      </c>
      <c r="E91" s="7">
        <v>30.504301800387005</v>
      </c>
      <c r="F91" s="7">
        <v>26.14609535245124</v>
      </c>
      <c r="G91" s="7">
        <v>28.662902037207342</v>
      </c>
    </row>
    <row r="92">
      <c r="D92" s="24">
        <v>0.05</v>
      </c>
      <c r="E92" s="7">
        <v>31.36125626496402</v>
      </c>
      <c r="F92" s="7">
        <v>27.00304981702826</v>
      </c>
      <c r="G92" s="7">
        <v>29.518623837121595</v>
      </c>
    </row>
    <row r="93">
      <c r="D93" s="24">
        <v>0.055</v>
      </c>
      <c r="E93" s="7">
        <v>32.241863588106895</v>
      </c>
      <c r="F93" s="7">
        <v>27.883657140171124</v>
      </c>
      <c r="G93" s="7">
        <v>30.397987380497945</v>
      </c>
    </row>
    <row r="94">
      <c r="D94" s="24">
        <v>0.06</v>
      </c>
      <c r="E94" s="7">
        <v>33.146702079318985</v>
      </c>
      <c r="F94" s="7">
        <v>28.788495631383224</v>
      </c>
      <c r="G94" s="7">
        <v>31.30157090470515</v>
      </c>
    </row>
    <row r="96" ht="40" customHeight="1">
      <c r="B96" t="s" s="102">
        <v>241</v>
      </c>
      <c r="C96" t="s" s="101">
        <v>112</v>
      </c>
      <c r="D96" s="101"/>
      <c r="E96" t="s" s="101">
        <v>230</v>
      </c>
      <c r="F96" t="s" s="101">
        <v>59</v>
      </c>
      <c r="G96" t="s" s="101">
        <v>345</v>
      </c>
    </row>
    <row r="97">
      <c r="E97" t="e" s="69">
        <f>DCF!$D$110</f>
        <v>#DIV/0!</v>
      </c>
      <c r="F97" t="e" s="69">
        <f>DCF!$E$110</f>
        <v>#DIV/0!</v>
      </c>
      <c r="G97" t="e" s="69">
        <f>DCF!$F$110</f>
        <v>#DIV/0!</v>
      </c>
    </row>
    <row r="98">
      <c r="C98" t="e" s="41">
        <f>WACC!$C$43+D98</f>
        <v>#DIV/0!</v>
      </c>
      <c r="D98" s="48">
        <v>-0.03</v>
      </c>
      <c r="E98" s="7">
        <f t="dataTable" ref="E98:G122" r1="C6"/>
        <v>39.79938521335598</v>
      </c>
      <c r="F98" s="7">
        <v>33.29069988275547</v>
      </c>
      <c r="G98" s="7">
        <v>37.00639658683483</v>
      </c>
    </row>
    <row r="99">
      <c r="C99" t="e" s="41">
        <f>WACC!$C$43+D99</f>
        <v>#DIV/0!</v>
      </c>
      <c r="D99" s="48">
        <v>-0.0275</v>
      </c>
      <c r="E99" s="7">
        <v>37.81353044350137</v>
      </c>
      <c r="F99" s="7">
        <v>31.56894860248831</v>
      </c>
      <c r="G99" s="7">
        <v>35.13790930588818</v>
      </c>
    </row>
    <row r="100">
      <c r="C100" t="e" s="41">
        <f>WACC!$C$43+D100</f>
        <v>#DIV/0!</v>
      </c>
      <c r="D100" s="48">
        <v>-0.025</v>
      </c>
      <c r="E100" s="7">
        <v>35.995179993543736</v>
      </c>
      <c r="F100" s="7">
        <v>29.99283844546046</v>
      </c>
      <c r="G100" s="7">
        <v>33.42729256176521</v>
      </c>
    </row>
    <row r="101">
      <c r="C101" t="e" s="41">
        <f>WACC!$C$43+D101</f>
        <v>#DIV/0!</v>
      </c>
      <c r="D101" s="48">
        <v>-0.0225</v>
      </c>
      <c r="E101" s="7">
        <v>34.324187460807224</v>
      </c>
      <c r="F101" s="7">
        <v>28.544845793179643</v>
      </c>
      <c r="G101" s="7">
        <v>31.855552108878225</v>
      </c>
    </row>
    <row r="102">
      <c r="C102" t="e" s="41">
        <f>WACC!$C$43+D102</f>
        <v>#DIV/0!</v>
      </c>
      <c r="D102" s="48">
        <v>-0.02</v>
      </c>
      <c r="E102" s="7">
        <v>32.78350881881045</v>
      </c>
      <c r="F102" s="7">
        <v>27.210145654674996</v>
      </c>
      <c r="G102" s="7">
        <v>30.40661882258281</v>
      </c>
    </row>
    <row r="103">
      <c r="C103" t="e" s="41">
        <f>WACC!$C$43+D103</f>
        <v>#DIV/0!</v>
      </c>
      <c r="D103" s="48">
        <v>-0.0175</v>
      </c>
      <c r="E103" s="7">
        <v>31.358627472296245</v>
      </c>
      <c r="F103" s="7">
        <v>25.976111542617193</v>
      </c>
      <c r="G103" s="7">
        <v>29.06680659937845</v>
      </c>
    </row>
    <row r="104">
      <c r="C104" t="e" s="41">
        <f>WACC!$C$43+D104</f>
        <v>#DIV/0!</v>
      </c>
      <c r="D104" s="48">
        <v>-0.015</v>
      </c>
      <c r="E104" s="7">
        <v>30.03710260138045</v>
      </c>
      <c r="F104" s="7">
        <v>24.831922594280165</v>
      </c>
      <c r="G104" s="7">
        <v>27.824386503156443</v>
      </c>
    </row>
    <row r="105">
      <c r="C105" t="e" s="41">
        <f>WACC!$C$43+D105</f>
        <v>#DIV/0!</v>
      </c>
      <c r="D105" s="48">
        <v>-0.0125</v>
      </c>
      <c r="E105" s="7">
        <v>28.80821101524747</v>
      </c>
      <c r="F105" s="7">
        <v>23.76825203314553</v>
      </c>
      <c r="G105" s="7">
        <v>26.669249079120465</v>
      </c>
    </row>
    <row r="106">
      <c r="C106" t="e" s="41">
        <f>WACC!$C$43+D106</f>
        <v>#DIV/0!</v>
      </c>
      <c r="D106" s="48">
        <v>-0.01</v>
      </c>
      <c r="E106" s="7">
        <v>27.66266068223094</v>
      </c>
      <c r="F106" s="7">
        <v>22.777017979253802</v>
      </c>
      <c r="G106" s="7">
        <v>25.592634249467327</v>
      </c>
    </row>
    <row r="107">
      <c r="C107" t="e" s="41">
        <f>WACC!$C$43+D107</f>
        <v>#DIV/0!</v>
      </c>
      <c r="D107" s="48">
        <v>-0.0075</v>
      </c>
      <c r="E107" s="7">
        <v>26.592359741044348</v>
      </c>
      <c r="F107" s="7">
        <v>21.851182520638712</v>
      </c>
      <c r="G107" s="7">
        <v>24.586913520766785</v>
      </c>
    </row>
    <row r="108">
      <c r="C108" t="e" s="41">
        <f>WACC!$C$43+D108</f>
        <v>#DIV/0!</v>
      </c>
      <c r="D108" s="48">
        <v>-0.005</v>
      </c>
      <c r="E108" s="7">
        <v>25.5902288492166</v>
      </c>
      <c r="F108" s="7">
        <v>20.984588482256214</v>
      </c>
      <c r="G108" s="7">
        <v>23.645413052835544</v>
      </c>
    </row>
    <row r="109">
      <c r="C109" t="e" s="41">
        <f>WACC!$C$43+D109</f>
        <v>#DIV/0!</v>
      </c>
      <c r="D109" s="48">
        <v>-0.0025</v>
      </c>
      <c r="E109" s="7">
        <v>24.650047670522838</v>
      </c>
      <c r="F109" s="7">
        <v>20.171825891210187</v>
      </c>
      <c r="G109" s="7">
        <v>22.762268916355243</v>
      </c>
    </row>
    <row r="110">
      <c r="C110" t="e" s="41">
        <f>WACC!$C$43+D110</f>
        <v>#DIV/0!</v>
      </c>
      <c r="D110" s="48">
        <v>0</v>
      </c>
      <c r="E110" s="7">
        <v>23.76632846873437</v>
      </c>
      <c r="F110" s="7">
        <v>19.408122020798604</v>
      </c>
      <c r="G110" s="7">
        <v>21.932307908310392</v>
      </c>
    </row>
    <row r="111">
      <c r="C111" t="e" s="41">
        <f>WACC!$C$43+D111</f>
        <v>#DIV/0!</v>
      </c>
      <c r="D111" s="48">
        <v>0.0025</v>
      </c>
      <c r="E111" s="7">
        <v>22.93421138338001</v>
      </c>
      <c r="F111" s="7">
        <v>18.68925029496639</v>
      </c>
      <c r="G111" s="7">
        <v>21.150948810809226</v>
      </c>
    </row>
    <row r="112">
      <c r="C112" t="e" s="41">
        <f>WACC!$C$43+D112</f>
        <v>#DIV/0!</v>
      </c>
      <c r="D112" s="48">
        <v>0.005</v>
      </c>
      <c r="E112" s="7">
        <v>22.149377169270213</v>
      </c>
      <c r="F112" s="7">
        <v>18.011454383859824</v>
      </c>
      <c r="G112" s="7">
        <v>20.414120116012484</v>
      </c>
    </row>
    <row r="113">
      <c r="C113" t="e" s="41">
        <f>WACC!$C$43+D113</f>
        <v>#DIV/0!</v>
      </c>
      <c r="D113" s="48">
        <v>0.0075</v>
      </c>
      <c r="E113" s="7">
        <v>21.407974094071598</v>
      </c>
      <c r="F113" s="7">
        <v>17.371384614960153</v>
      </c>
      <c r="G113" s="7">
        <v>19.71819110030137</v>
      </c>
    </row>
    <row r="114">
      <c r="C114" t="e" s="41">
        <f>WACC!$C$43+D114</f>
        <v>#DIV/0!</v>
      </c>
      <c r="D114" s="48">
        <v>0.01</v>
      </c>
      <c r="E114" s="7">
        <v>20.706556384519487</v>
      </c>
      <c r="F114" s="7">
        <v>16.7660444299609</v>
      </c>
      <c r="G114" s="7">
        <v>19.0599137873387</v>
      </c>
    </row>
    <row r="115">
      <c r="C115" t="e" s="41">
        <f>WACC!$C$43+D115</f>
        <v>#DIV/0!</v>
      </c>
      <c r="D115" s="48">
        <v>0.0125</v>
      </c>
      <c r="E115" s="7">
        <v>20.042032147387957</v>
      </c>
      <c r="F115" s="7">
        <v>16.19274508339368</v>
      </c>
      <c r="G115" s="7">
        <v>18.43637384461635</v>
      </c>
    </row>
    <row r="116">
      <c r="C116" t="e" s="41">
        <f>WACC!$C$43+D116</f>
        <v>#DIV/0!</v>
      </c>
      <c r="D116" s="48">
        <v>0.015</v>
      </c>
      <c r="E116" s="7">
        <v>19.411619106317495</v>
      </c>
      <c r="F116" s="7">
        <v>15.64906713998432</v>
      </c>
      <c r="G116" s="7">
        <v>17.84494884935631</v>
      </c>
    </row>
    <row r="117">
      <c r="C117" t="e" s="41">
        <f>WACC!$C$43+D117</f>
        <v>#DIV/0!</v>
      </c>
      <c r="D117" s="48">
        <v>0.0175</v>
      </c>
      <c r="E117" s="7">
        <v>18.81280681944209</v>
      </c>
      <c r="F117" s="7">
        <v>15.1328276094195</v>
      </c>
      <c r="G117" s="7">
        <v>17.283272664974525</v>
      </c>
    </row>
    <row r="118">
      <c r="C118" t="e" s="41">
        <f>WACC!$C$43+D118</f>
        <v>#DIV/0!</v>
      </c>
      <c r="D118" s="48">
        <v>0.02</v>
      </c>
      <c r="E118" s="7">
        <v>18.24332429717437</v>
      </c>
      <c r="F118" s="7">
        <v>14.642051778512341</v>
      </c>
      <c r="G118" s="7">
        <v>16.749204909199463</v>
      </c>
    </row>
    <row r="119">
      <c r="C119" t="e" s="41">
        <f>WACC!$C$43+D119</f>
        <v>#DIV/0!</v>
      </c>
      <c r="D119" s="48">
        <v>0.0225</v>
      </c>
      <c r="E119" s="7">
        <v>17.701112140647652</v>
      </c>
      <c r="F119" s="7">
        <v>14.174948975720161</v>
      </c>
      <c r="G119" s="7">
        <v>16.240804684587374</v>
      </c>
    </row>
    <row r="120">
      <c r="C120" t="e" s="41">
        <f>WACC!$C$43+D120</f>
        <v>#DIV/0!</v>
      </c>
      <c r="D120" s="48">
        <v>0.025</v>
      </c>
      <c r="E120" s="7">
        <v>17.184298481295077</v>
      </c>
      <c r="F120" s="7">
        <v>13.729891642129733</v>
      </c>
      <c r="G120" s="7">
        <v>15.756307893018223</v>
      </c>
    </row>
    <row r="121">
      <c r="C121" t="e" s="41">
        <f>WACC!$C$43+D121</f>
        <v>#DIV/0!</v>
      </c>
      <c r="D121" s="48">
        <v>0.0275</v>
      </c>
      <c r="E121" s="7">
        <v>16.691178130016453</v>
      </c>
      <c r="F121" s="7">
        <v>13.305397194342277</v>
      </c>
      <c r="G121" s="7">
        <v>15.294107576416197</v>
      </c>
    </row>
    <row r="122">
      <c r="C122" t="e" s="41">
        <f>WACC!$C$43+D122</f>
        <v>#DIV/0!</v>
      </c>
      <c r="D122" s="48">
        <v>0.03</v>
      </c>
      <c r="E122" s="7">
        <v>16.220194447304948</v>
      </c>
      <c r="F122" s="7">
        <v>12.900112254218337</v>
      </c>
      <c r="G122" s="7">
        <v>14.852736822980985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"/>
  <sheetViews>
    <sheetView showGridLines="0" workbookViewId="0">
      <selection activeCell="A1" sqref="A1"/>
    </sheetView>
  </sheetViews>
  <cols>
    <col min="1" max="1" width="2" customWidth="1"/>
    <col min="2" max="2" width="52" customWidth="1"/>
    <col min="3" max="3" width="2" customWidth="1"/>
    <col min="4" max="6" width="18" customWidth="1"/>
  </cols>
  <sheetData>
    <row r="2">
      <c r="B2" t="s" s="2">
        <v>388</v>
      </c>
    </row>
    <row r="3">
      <c r="B3" t="s" s="4">
        <v>389</v>
      </c>
    </row>
    <row r="5">
      <c r="B5" t="s" s="5">
        <v>254</v>
      </c>
      <c r="C5" s="5"/>
      <c r="D5" s="5"/>
      <c r="E5" s="5"/>
      <c r="F5" s="5"/>
    </row>
    <row r="6">
      <c r="D6" t="s" s="30">
        <v>230</v>
      </c>
      <c r="E6" t="s" s="30">
        <v>59</v>
      </c>
      <c r="F6" t="s" s="30">
        <v>345</v>
      </c>
    </row>
    <row r="7">
      <c r="B7" t="s" s="17">
        <v>255</v>
      </c>
      <c r="D7" s="73">
        <f>Inputs!$C$7</f>
        <v>0</v>
      </c>
      <c r="E7" s="73">
        <f>Inputs!$C$7</f>
        <v>0</v>
      </c>
      <c r="F7" s="73">
        <f>Inputs!$C$7</f>
        <v>0</v>
      </c>
    </row>
    <row r="8">
      <c r="B8" t="s" s="17">
        <v>256</v>
      </c>
      <c r="D8" t="e" s="51">
        <f>D7*Inputs!$C$21</f>
        <v>#DIV/0!</v>
      </c>
      <c r="E8" t="e" s="51">
        <f>E7*Inputs!$C$21</f>
        <v>#DIV/0!</v>
      </c>
      <c r="F8" t="e" s="51">
        <f>F7*Inputs!$C$21</f>
        <v>#DIV/0!</v>
      </c>
    </row>
    <row r="9">
      <c r="B9" t="s" s="17">
        <v>257</v>
      </c>
      <c r="D9" s="62">
        <f>Inputs!$C$27</f>
        <v>0</v>
      </c>
      <c r="E9" s="62">
        <f>Inputs!$C$27</f>
        <v>0</v>
      </c>
      <c r="F9" s="62">
        <f>Inputs!$C$27</f>
        <v>0</v>
      </c>
    </row>
    <row r="10">
      <c r="B10" t="s" s="17">
        <v>258</v>
      </c>
      <c r="D10" s="51">
        <f>-Inputs!$C$28</f>
        <v>0</v>
      </c>
      <c r="E10" s="51">
        <f>-Inputs!$C$28</f>
        <v>0</v>
      </c>
      <c r="F10" s="51">
        <f>-Inputs!$C$28</f>
        <v>0</v>
      </c>
    </row>
    <row r="11">
      <c r="B11" t="s" s="17">
        <v>259</v>
      </c>
      <c r="D11" t="e" s="51">
        <f>-DCF!$D$97</f>
        <v>#DIV/0!</v>
      </c>
      <c r="E11" t="e" s="51">
        <f>-DCF!$F$97</f>
        <v>#DIV/0!</v>
      </c>
      <c r="F11" t="e" s="51">
        <f>-DCF!$H$97</f>
        <v>#DIV/0!</v>
      </c>
    </row>
    <row r="12">
      <c r="B12" t="s" s="14">
        <v>260</v>
      </c>
      <c r="C12" s="14"/>
      <c r="D12" t="e" s="57">
        <f>SUM(D8:D11)</f>
        <v>#DIV/0!</v>
      </c>
      <c r="E12" t="e" s="57">
        <f>SUM(E8:E11)</f>
        <v>#DIV/0!</v>
      </c>
      <c r="F12" t="e" s="57">
        <f>SUM(F8:F11)</f>
        <v>#DIV/0!</v>
      </c>
    </row>
    <row r="13">
      <c r="B13" t="s" s="17">
        <v>340</v>
      </c>
      <c r="D13" t="e" s="51">
        <f>-DCF!$D$93</f>
        <v>#DIV/0!</v>
      </c>
      <c r="E13" t="e" s="51">
        <f>-DCF!$F$93</f>
        <v>#DIV/0!</v>
      </c>
      <c r="F13" t="e" s="51">
        <f>-DCF!$H$93</f>
        <v>#DIV/0!</v>
      </c>
    </row>
    <row r="14">
      <c r="B14" t="s" s="17">
        <v>262</v>
      </c>
      <c r="D14" t="e" s="51">
        <f>D12+D13</f>
        <v>#DIV/0!</v>
      </c>
      <c r="E14" t="e" s="51">
        <f>E12+E13</f>
        <v>#DIV/0!</v>
      </c>
      <c r="F14" t="e" s="51">
        <f>F12+F13</f>
        <v>#DIV/0!</v>
      </c>
    </row>
    <row r="15">
      <c r="B15" t="s" s="1">
        <v>263</v>
      </c>
      <c r="C15" s="1"/>
      <c r="D15" t="e" s="53">
        <f>D14/DCF!$M$78</f>
        <v>#DIV/0!</v>
      </c>
      <c r="E15" t="e" s="53">
        <f>E14/DCF!$M$78</f>
        <v>#DIV/0!</v>
      </c>
      <c r="F15" t="e" s="53">
        <f>F14/DCF!$M$78</f>
        <v>#DIV/0!</v>
      </c>
    </row>
    <row r="16">
      <c r="B16" t="s" s="17">
        <v>206</v>
      </c>
      <c r="D16" t="e" s="62">
        <f>DCF!$D$88</f>
        <v>#DIV/0!</v>
      </c>
      <c r="E16" t="e" s="62">
        <f>DCF!$F$88</f>
        <v>#DIV/0!</v>
      </c>
      <c r="F16" t="e" s="62">
        <f>DCF!$H$88</f>
        <v>#DIV/0!</v>
      </c>
    </row>
    <row r="17">
      <c r="B17" t="s" s="1">
        <v>223</v>
      </c>
      <c r="C17" s="1"/>
      <c r="D17" t="e" s="42">
        <f>(D15*DCF!$C$8-D16)/(D15+D16)</f>
        <v>#DIV/0!</v>
      </c>
      <c r="E17" t="e" s="42">
        <f>(E15*DCF!$C$8-E16)/(E15+E16)</f>
        <v>#DIV/0!</v>
      </c>
      <c r="F17" t="e" s="42">
        <f>(F15*DCF!$C$8-F16)/(F15+F16)</f>
        <v>#DIV/0!</v>
      </c>
    </row>
    <row r="18">
      <c r="B18" t="s" s="61">
        <v>264</v>
      </c>
      <c r="C18" s="3"/>
      <c r="D18" s="74">
        <f>DCF!$C$9</f>
        <v>0.025</v>
      </c>
      <c r="E18" s="74">
        <f>DCF!$C$9</f>
        <v>0.025</v>
      </c>
      <c r="F18" s="74">
        <f>DCF!$C$9</f>
        <v>0.025</v>
      </c>
    </row>
    <row r="19">
      <c r="B19" t="s" s="1">
        <v>265</v>
      </c>
      <c r="C19" s="1"/>
      <c r="D19" t="e" s="34">
        <f>D15/DCF!$N$30</f>
        <v>#DIV/0!</v>
      </c>
      <c r="E19" t="e" s="34">
        <f>E15/DCF!$N$30</f>
        <v>#DIV/0!</v>
      </c>
      <c r="F19" t="e" s="34">
        <f>F15/DCF!$N$30</f>
        <v>#DIV/0!</v>
      </c>
    </row>
    <row r="20">
      <c r="B20" t="s" s="61">
        <v>266</v>
      </c>
      <c r="C20" s="3"/>
      <c r="D20" t="e" s="75">
        <f>DCF!$C$10</f>
        <v>#NUM!</v>
      </c>
      <c r="E20" t="e" s="75">
        <f>DCF!$C$10</f>
        <v>#NUM!</v>
      </c>
      <c r="F20" t="e" s="75">
        <f>DCF!$C$10</f>
        <v>#NUM!</v>
      </c>
    </row>
    <row r="22">
      <c r="B22" t="s" s="5">
        <v>267</v>
      </c>
      <c r="C22" s="5"/>
      <c r="D22" s="5"/>
      <c r="E22" s="5"/>
      <c r="F22" s="5"/>
    </row>
    <row r="23">
      <c r="B23" t="s" s="1">
        <v>268</v>
      </c>
      <c r="C23" s="1"/>
      <c r="D23" t="str" s="76">
        <f>IFERROR(INDEX(Sensitivity!$D$46:$D$66,MATCH(D$7,Sensitivity!E$46:E$66,1))+(D$7-INDEX(Sensitivity!E$46:E$66,MATCH(D$7,Sensitivity!E$46:E$66,1)))*(INDEX(Sensitivity!$D$46:$D$66,MATCH(D$7,Sensitivity!E$46:E$66,1)+1)-INDEX(Sensitivity!$D$46:$D$66,MATCH(D$7,Sensitivity!E$46:E$66,1)))/(INDEX(Sensitivity!E$46:E$66,MATCH(D$7,Sensitivity!E$46:E$66,1)+1)-INDEX(Sensitivity!E$46:E$66,MATCH(D$7,Sensitivity!E$46:E$66,1))),"outside grid")</f>
        <v>outside grid</v>
      </c>
      <c r="E23" t="str" s="76">
        <f>IFERROR(INDEX(Sensitivity!$D$46:$D$66,MATCH(E$7,Sensitivity!F$46:F$66,1))+(E$7-INDEX(Sensitivity!F$46:F$66,MATCH(E$7,Sensitivity!F$46:F$66,1)))*(INDEX(Sensitivity!$D$46:$D$66,MATCH(E$7,Sensitivity!F$46:F$66,1)+1)-INDEX(Sensitivity!$D$46:$D$66,MATCH(E$7,Sensitivity!F$46:F$66,1)))/(INDEX(Sensitivity!F$46:F$66,MATCH(E$7,Sensitivity!F$46:F$66,1)+1)-INDEX(Sensitivity!F$46:F$66,MATCH(E$7,Sensitivity!F$46:F$66,1))),"outside grid")</f>
        <v>outside grid</v>
      </c>
      <c r="F23" t="str" s="76">
        <f>IFERROR(INDEX(Sensitivity!$D$46:$D$66,MATCH(F$7,Sensitivity!G$46:G$66,1))+(F$7-INDEX(Sensitivity!G$46:G$66,MATCH(F$7,Sensitivity!G$46:G$66,1)))*(INDEX(Sensitivity!$D$46:$D$66,MATCH(F$7,Sensitivity!G$46:G$66,1)+1)-INDEX(Sensitivity!$D$46:$D$66,MATCH(F$7,Sensitivity!G$46:G$66,1)))/(INDEX(Sensitivity!G$46:G$66,MATCH(F$7,Sensitivity!G$46:G$66,1)+1)-INDEX(Sensitivity!G$46:G$66,MATCH(F$7,Sensitivity!G$46:G$66,1))),"outside grid")</f>
        <v>outside grid</v>
      </c>
    </row>
    <row r="24">
      <c r="B24" t="s" s="61">
        <v>269</v>
      </c>
      <c r="C24" s="3"/>
      <c r="D24" t="e" s="77">
        <f>DCF!$H$18</f>
        <v>#DIV/0!</v>
      </c>
      <c r="E24" t="e" s="77">
        <f>DCF!$H$18</f>
        <v>#DIV/0!</v>
      </c>
      <c r="F24" t="e" s="77">
        <f>DCF!$H$18</f>
        <v>#DIV/0!</v>
      </c>
    </row>
    <row r="25">
      <c r="B25" t="s" s="1">
        <v>270</v>
      </c>
      <c r="C25" s="1"/>
      <c r="D25" t="str" s="78">
        <f>IFERROR(D24+D23,"n.m.")</f>
        <v>n.m.</v>
      </c>
      <c r="E25" t="str" s="78">
        <f>IFERROR(E24+E23,"n.m.")</f>
        <v>n.m.</v>
      </c>
      <c r="F25" t="str" s="78">
        <f>IFERROR(F24+F23,"n.m.")</f>
        <v>n.m.</v>
      </c>
    </row>
    <row r="26">
      <c r="B26" t="s" s="17">
        <v>271</v>
      </c>
      <c r="D26" t="str" s="79">
        <f>IFERROR(DCF!$M$18+D23,"n.m.")</f>
        <v>n.m.</v>
      </c>
      <c r="E26" t="str" s="79">
        <f>IFERROR(DCF!$M$18+E23,"n.m.")</f>
        <v>n.m.</v>
      </c>
      <c r="F26" t="str" s="79">
        <f>IFERROR(DCF!$M$18+F23,"n.m.")</f>
        <v>n.m.</v>
      </c>
    </row>
    <row r="27">
      <c r="B27" t="s" s="1">
        <v>272</v>
      </c>
      <c r="C27" s="1"/>
      <c r="D27" t="str" s="76">
        <f>IFERROR(INDEX(Sensitivity!$D$70:$D$94,MATCH(D$7,Sensitivity!E$70:E$94,1))+(D$7-INDEX(Sensitivity!E$70:E$94,MATCH(D$7,Sensitivity!E$70:E$94,1)))*(INDEX(Sensitivity!$D$70:$D$94,MATCH(D$7,Sensitivity!E$70:E$94,1)+1)-INDEX(Sensitivity!$D$70:$D$94,MATCH(D$7,Sensitivity!E$70:E$94,1)))/(INDEX(Sensitivity!E$70:E$94,MATCH(D$7,Sensitivity!E$70:E$94,1)+1)-INDEX(Sensitivity!E$70:E$94,MATCH(D$7,Sensitivity!E$70:E$94,1))),"outside grid")</f>
        <v>outside grid</v>
      </c>
      <c r="E27" t="str" s="76">
        <f>IFERROR(INDEX(Sensitivity!$D$70:$D$94,MATCH(E$7,Sensitivity!F$70:F$94,1))+(E$7-INDEX(Sensitivity!F$70:F$94,MATCH(E$7,Sensitivity!F$70:F$94,1)))*(INDEX(Sensitivity!$D$70:$D$94,MATCH(E$7,Sensitivity!F$70:F$94,1)+1)-INDEX(Sensitivity!$D$70:$D$94,MATCH(E$7,Sensitivity!F$70:F$94,1)))/(INDEX(Sensitivity!F$70:F$94,MATCH(E$7,Sensitivity!F$70:F$94,1)+1)-INDEX(Sensitivity!F$70:F$94,MATCH(E$7,Sensitivity!F$70:F$94,1))),"outside grid")</f>
        <v>outside grid</v>
      </c>
      <c r="F27" t="str" s="76">
        <f>IFERROR(INDEX(Sensitivity!$D$70:$D$94,MATCH(F$7,Sensitivity!G$70:G$94,1))+(F$7-INDEX(Sensitivity!G$70:G$94,MATCH(F$7,Sensitivity!G$70:G$94,1)))*(INDEX(Sensitivity!$D$70:$D$94,MATCH(F$7,Sensitivity!G$70:G$94,1)+1)-INDEX(Sensitivity!$D$70:$D$94,MATCH(F$7,Sensitivity!G$70:G$94,1)))/(INDEX(Sensitivity!G$70:G$94,MATCH(F$7,Sensitivity!G$70:G$94,1)+1)-INDEX(Sensitivity!G$70:G$94,MATCH(F$7,Sensitivity!G$70:G$94,1))),"outside grid")</f>
        <v>outside grid</v>
      </c>
    </row>
    <row r="28">
      <c r="B28" t="s" s="61">
        <v>273</v>
      </c>
      <c r="C28" s="3"/>
      <c r="D28" t="e" s="80">
        <f>(Projections!$H$8/Projections!$C$8)^(1/(YEAR(Projections!$H$5)-YEAR(Projections!$C$5)))-1</f>
        <v>#DIV/0!</v>
      </c>
      <c r="E28" t="e" s="80">
        <f>(Projections!$H$8/Projections!$C$8)^(1/(YEAR(Projections!$H$5)-YEAR(Projections!$C$5)))-1</f>
        <v>#DIV/0!</v>
      </c>
      <c r="F28" t="e" s="80">
        <f>(Projections!$H$8/Projections!$C$8)^(1/(YEAR(Projections!$H$5)-YEAR(Projections!$C$5)))-1</f>
        <v>#DIV/0!</v>
      </c>
    </row>
    <row r="29">
      <c r="B29" t="s" s="1">
        <v>274</v>
      </c>
      <c r="C29" s="1"/>
      <c r="D29" t="str" s="78">
        <f>IFERROR((D30/Projections!$C$8)^(1/(YEAR(Projections!$H$5)-YEAR(Projections!$C$5)))-1,"n.m.")</f>
        <v>n.m.</v>
      </c>
      <c r="E29" t="str" s="78">
        <f>IFERROR((E30/Projections!$C$8)^(1/(YEAR(Projections!$H$5)-YEAR(Projections!$C$5)))-1,"n.m.")</f>
        <v>n.m.</v>
      </c>
      <c r="F29" t="str" s="78">
        <f>IFERROR((F30/Projections!$C$8)^(1/(YEAR(Projections!$H$5)-YEAR(Projections!$C$5)))-1,"n.m.")</f>
        <v>n.m.</v>
      </c>
    </row>
    <row r="30">
      <c r="B30" t="s" s="17">
        <v>275</v>
      </c>
      <c r="D30" t="str" s="81">
        <f>IFERROR(Projections!$E$8*(1+DCF!$F$15+D27)*(1+DCF!$G$15+D27)*(1+DCF!$H$15+D27),"n.m.")</f>
        <v>n.m.</v>
      </c>
      <c r="E30" t="str" s="81">
        <f>IFERROR(Projections!$E$8*(1+DCF!$F$15+E27)*(1+DCF!$G$15+E27)*(1+DCF!$H$15+E27),"n.m.")</f>
        <v>n.m.</v>
      </c>
      <c r="F30" t="str" s="81">
        <f>IFERROR(Projections!$E$8*(1+DCF!$F$15+F27)*(1+DCF!$G$15+F27)*(1+DCF!$H$15+F27),"n.m.")</f>
        <v>n.m.</v>
      </c>
    </row>
    <row r="31">
      <c r="B31" t="s" s="1">
        <v>276</v>
      </c>
      <c r="C31" s="1"/>
      <c r="D31" t="str" s="76">
        <f>IFERROR(WACC!$C$43+INDEX(Sensitivity!$D$98:$D$122,MATCH(D$7,Sensitivity!E$98:E$122,-1))+(D$7-INDEX(Sensitivity!E$98:E$122,MATCH(D$7,Sensitivity!E$98:E$122,-1)))*(INDEX(Sensitivity!$D$98:$D$122,MATCH(D$7,Sensitivity!E$98:E$122,-1)+1)-INDEX(Sensitivity!$D$98:$D$122,MATCH(D$7,Sensitivity!E$98:E$122,-1)))/(INDEX(Sensitivity!E$98:E$122,MATCH(D$7,Sensitivity!E$98:E$122,-1)+1)-INDEX(Sensitivity!E$98:E$122,MATCH(D$7,Sensitivity!E$98:E$122,-1))),"outside grid")</f>
        <v>outside grid</v>
      </c>
      <c r="E31" t="str" s="76">
        <f>IFERROR(WACC!$C$43+INDEX(Sensitivity!$D$98:$D$122,MATCH(E$7,Sensitivity!F$98:F$122,-1))+(E$7-INDEX(Sensitivity!F$98:F$122,MATCH(E$7,Sensitivity!F$98:F$122,-1)))*(INDEX(Sensitivity!$D$98:$D$122,MATCH(E$7,Sensitivity!F$98:F$122,-1)+1)-INDEX(Sensitivity!$D$98:$D$122,MATCH(E$7,Sensitivity!F$98:F$122,-1)))/(INDEX(Sensitivity!F$98:F$122,MATCH(E$7,Sensitivity!F$98:F$122,-1)+1)-INDEX(Sensitivity!F$98:F$122,MATCH(E$7,Sensitivity!F$98:F$122,-1))),"outside grid")</f>
        <v>outside grid</v>
      </c>
      <c r="F31" t="str" s="76">
        <f>IFERROR(WACC!$C$43+INDEX(Sensitivity!$D$98:$D$122,MATCH(F$7,Sensitivity!G$98:G$122,-1))+(F$7-INDEX(Sensitivity!G$98:G$122,MATCH(F$7,Sensitivity!G$98:G$122,-1)))*(INDEX(Sensitivity!$D$98:$D$122,MATCH(F$7,Sensitivity!G$98:G$122,-1)+1)-INDEX(Sensitivity!$D$98:$D$122,MATCH(F$7,Sensitivity!G$98:G$122,-1)))/(INDEX(Sensitivity!G$98:G$122,MATCH(F$7,Sensitivity!G$98:G$122,-1)+1)-INDEX(Sensitivity!G$98:G$122,MATCH(F$7,Sensitivity!G$98:G$122,-1))),"outside grid")</f>
        <v>outside grid</v>
      </c>
    </row>
    <row r="32">
      <c r="B32" t="s" s="61">
        <v>277</v>
      </c>
      <c r="C32" s="3"/>
      <c r="D32" t="e" s="74">
        <f>DCF!$C$8</f>
        <v>#DIV/0!</v>
      </c>
      <c r="E32" t="e" s="74">
        <f>DCF!$C$8</f>
        <v>#DIV/0!</v>
      </c>
      <c r="F32" t="e" s="74">
        <f>DCF!$C$8</f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7"/>
  <sheetViews>
    <sheetView showGridLines="0" workbookViewId="0">
      <selection activeCell="A1" sqref="A1"/>
    </sheetView>
  </sheetViews>
  <cols>
    <col min="1" max="1" width="2" customWidth="1"/>
    <col min="2" max="2" width="54" customWidth="1"/>
    <col min="3" max="3" width="2" customWidth="1"/>
    <col min="4" max="7" width="16" customWidth="1"/>
    <col min="8" max="9" width="12" customWidth="1"/>
    <col min="10" max="10" width="36" customWidth="1"/>
  </cols>
  <sheetData>
    <row r="2">
      <c r="B2" t="s" s="2">
        <v>390</v>
      </c>
    </row>
    <row r="3">
      <c r="B3" t="s" s="4">
        <v>391</v>
      </c>
    </row>
    <row r="5">
      <c r="B5" t="s" s="5">
        <v>280</v>
      </c>
      <c r="C5" s="5"/>
      <c r="D5" s="5"/>
      <c r="E5" s="5"/>
      <c r="F5" s="5"/>
      <c r="G5" s="5"/>
      <c r="H5" s="5"/>
      <c r="I5" s="5"/>
    </row>
    <row r="6" ht="27" customHeight="1">
      <c r="D6" t="s" s="101">
        <v>395</v>
      </c>
      <c r="E6" t="s" s="101">
        <v>396</v>
      </c>
      <c r="F6" t="s" s="101">
        <v>397</v>
      </c>
      <c r="G6" t="s" s="101">
        <v>398</v>
      </c>
    </row>
    <row r="7">
      <c r="B7" t="s" s="17">
        <v>281</v>
      </c>
      <c r="D7" s="103"/>
      <c r="E7" s="103"/>
      <c r="F7" s="6">
        <f>$D$7</f>
        <v>0</v>
      </c>
      <c r="G7" s="6">
        <f>$D$7</f>
        <v>0</v>
      </c>
      <c r="J7" s="4"/>
    </row>
    <row r="8">
      <c r="B8" t="s" s="17">
        <v>112</v>
      </c>
      <c r="D8" s="111"/>
      <c r="E8" s="111"/>
      <c r="F8" t="e" s="84">
        <f>DCF!$C$8</f>
        <v>#DIV/0!</v>
      </c>
      <c r="G8" t="e" s="84">
        <f>DCF!$C$8</f>
        <v>#DIV/0!</v>
      </c>
      <c r="J8" s="4"/>
    </row>
    <row r="9">
      <c r="B9" t="s" s="17">
        <v>282</v>
      </c>
      <c r="D9" s="108"/>
      <c r="E9" s="108"/>
      <c r="F9" s="10">
        <f>$D$9</f>
        <v>0</v>
      </c>
      <c r="G9" s="47">
        <f>DCF!$C$9</f>
        <v>0.025</v>
      </c>
      <c r="J9" s="4"/>
    </row>
    <row r="10">
      <c r="B10" t="s" s="17">
        <v>206</v>
      </c>
      <c r="D10" s="113"/>
      <c r="E10" s="113"/>
      <c r="F10" s="51">
        <f>$D$10</f>
        <v>0</v>
      </c>
      <c r="G10" s="51">
        <f>$D$10</f>
        <v>0</v>
      </c>
      <c r="J10" s="4"/>
    </row>
    <row r="11">
      <c r="B11" t="s" s="17">
        <v>283</v>
      </c>
      <c r="D11" s="29">
        <v>1</v>
      </c>
      <c r="E11" s="29">
        <v>0</v>
      </c>
      <c r="F11" s="12">
        <f>$D$11</f>
        <v>1</v>
      </c>
      <c r="G11" s="12">
        <f>$D$11</f>
        <v>1</v>
      </c>
      <c r="J11" s="4"/>
    </row>
    <row r="12">
      <c r="B12" t="s" s="17">
        <v>341</v>
      </c>
      <c r="D12" s="51">
        <f>SUMPRODUCT(Projections!$D$23:$H$23,(1+D8)^(-(YEAR(Projections!$D$5:$H$5)-YEAR(D7)-0.5)))</f>
        <v>0</v>
      </c>
      <c r="E12" s="51">
        <f>SUMPRODUCT(Projections!$D$23:$H$23,(1+E8)^(-(YEAR(Projections!$D$5:$H$5)-YEAR(E7)-0.5)))</f>
        <v>0</v>
      </c>
      <c r="F12" t="e" s="51">
        <f>SUMPRODUCT(Projections!$D$23:$H$23,(1+F8)^(-(YEAR(Projections!$D$5:$H$5)-YEAR(F7)-0.5)))</f>
        <v>#DIV/0!</v>
      </c>
      <c r="G12" t="e" s="51">
        <f>SUMPRODUCT(Projections!$D$23:$H$23,(1+G8)^(-(YEAR(Projections!$D$5:$H$5)-YEAR(G7)-0.5)))</f>
        <v>#DIV/0!</v>
      </c>
      <c r="J12" s="4"/>
    </row>
    <row r="13">
      <c r="B13" t="s" s="17">
        <v>285</v>
      </c>
      <c r="D13" t="e" s="51">
        <f>D10*(1+D9*D11)/(D8-D9)</f>
        <v>#DIV/0!</v>
      </c>
      <c r="E13" t="e" s="51">
        <f>E10*(1+E9*E11)/(E8-E9)</f>
        <v>#DIV/0!</v>
      </c>
      <c r="F13" t="e" s="51">
        <f>F10*(1+F9*F11)/(F8-F9)</f>
        <v>#DIV/0!</v>
      </c>
      <c r="G13" t="e" s="51">
        <f>G10*(1+G9*G11)/(G8-G9)</f>
        <v>#DIV/0!</v>
      </c>
      <c r="J13" s="4"/>
    </row>
    <row r="14">
      <c r="B14" t="s" s="17">
        <v>286</v>
      </c>
      <c r="D14" t="e" s="51">
        <f>D13/(1+D8)^(YEAR(Projections!$H$5)-YEAR(D7)-0.5)</f>
        <v>#DIV/0!</v>
      </c>
      <c r="E14" t="e" s="51">
        <f>E13/(1+E8)^(YEAR(Projections!$H$5)-YEAR(E7)-0.5)</f>
        <v>#DIV/0!</v>
      </c>
      <c r="F14" t="e" s="51">
        <f>F13/(1+F8)^(YEAR(Projections!$H$5)-YEAR(F7)-0.5)</f>
        <v>#DIV/0!</v>
      </c>
      <c r="G14" t="e" s="51">
        <f>G13/(1+G8)^(YEAR(Projections!$H$5)-YEAR(G7)-0.5)</f>
        <v>#DIV/0!</v>
      </c>
      <c r="J14" s="4"/>
    </row>
    <row r="15">
      <c r="B15" t="s" s="14">
        <v>212</v>
      </c>
      <c r="C15" s="14"/>
      <c r="D15" t="e" s="57">
        <f>D12+D14</f>
        <v>#DIV/0!</v>
      </c>
      <c r="E15" t="e" s="57">
        <f>E12+E14</f>
        <v>#DIV/0!</v>
      </c>
      <c r="F15" t="e" s="57">
        <f>F12+F14</f>
        <v>#DIV/0!</v>
      </c>
      <c r="G15" t="e" s="57">
        <f>G12+G14</f>
        <v>#DIV/0!</v>
      </c>
      <c r="J15" s="4"/>
    </row>
    <row r="16">
      <c r="B16" t="s" s="17">
        <v>287</v>
      </c>
      <c r="D16" s="113"/>
      <c r="E16" s="113"/>
      <c r="F16" s="51">
        <f>$D$16</f>
        <v>0</v>
      </c>
      <c r="G16" s="51">
        <f>$D$16</f>
        <v>0</v>
      </c>
      <c r="J16" s="4"/>
    </row>
    <row r="17">
      <c r="B17" t="s" s="17">
        <v>288</v>
      </c>
      <c r="D17" s="51">
        <f>SUMPRODUCT(Projections!$D$16:$J$16,(1+D8)^(-(YEAR(Projections!$D$5:$J$5)-YEAR(D7)-0.5)))</f>
        <v>0</v>
      </c>
      <c r="E17" s="51">
        <f>SUMPRODUCT(Projections!$D$16:$J$16,(1+E8)^(-(YEAR(Projections!$D$5:$J$5)-YEAR(E7)-0.5)))</f>
        <v>0</v>
      </c>
      <c r="F17" t="e" s="51">
        <f>SUMPRODUCT(Projections!$D$16:$J$16,(1+F8)^(-(YEAR(Projections!$D$5:$J$5)-YEAR(F7)-0.5)))</f>
        <v>#DIV/0!</v>
      </c>
      <c r="G17" t="e" s="51">
        <f>SUMPRODUCT(Projections!$D$16:$J$16,(1+G8)^(-(YEAR(Projections!$D$5:$J$5)-YEAR(G7)-0.5)))</f>
        <v>#DIV/0!</v>
      </c>
      <c r="J17" s="4"/>
    </row>
    <row r="18">
      <c r="B18" t="s" s="14">
        <v>216</v>
      </c>
      <c r="C18" s="14"/>
      <c r="D18" t="e" s="57">
        <f>SUM(D15:D17)</f>
        <v>#DIV/0!</v>
      </c>
      <c r="E18" t="e" s="57">
        <f>SUM(E15:E17)</f>
        <v>#DIV/0!</v>
      </c>
      <c r="F18" t="e" s="57">
        <f>SUM(F15:F17)</f>
        <v>#DIV/0!</v>
      </c>
      <c r="G18" t="e" s="57">
        <f>SUM(G15:G17)</f>
        <v>#DIV/0!</v>
      </c>
      <c r="J18" s="4"/>
    </row>
    <row r="19">
      <c r="B19" t="s" s="17">
        <v>217</v>
      </c>
      <c r="D19" s="114"/>
      <c r="E19" t="e" s="65">
        <f>Inputs!$C$21</f>
        <v>#DIV/0!</v>
      </c>
      <c r="F19" s="9">
        <f>$D$19</f>
        <v>0</v>
      </c>
      <c r="G19" s="9">
        <f>$D$19</f>
        <v>0</v>
      </c>
      <c r="J19" s="4"/>
    </row>
    <row r="20">
      <c r="B20" t="s" s="14">
        <v>289</v>
      </c>
      <c r="C20" s="14"/>
      <c r="D20" t="e" s="60">
        <f>D18/D19</f>
        <v>#DIV/0!</v>
      </c>
      <c r="E20" t="e" s="60">
        <f>E18/E19</f>
        <v>#DIV/0!</v>
      </c>
      <c r="F20" t="e" s="60">
        <f>F18/F19</f>
        <v>#DIV/0!</v>
      </c>
      <c r="G20" t="e" s="60">
        <f>G18/G19</f>
        <v>#DIV/0!</v>
      </c>
      <c r="J20" s="4"/>
    </row>
    <row r="21">
      <c r="B21" t="s" s="61">
        <v>290</v>
      </c>
      <c r="C21" s="3"/>
      <c r="D21" s="115"/>
      <c r="E21" s="115"/>
      <c r="F21" s="82"/>
      <c r="G21" s="82"/>
      <c r="J21" s="4"/>
    </row>
    <row r="22">
      <c r="B22" t="s" s="61">
        <v>28</v>
      </c>
      <c r="C22" s="3"/>
      <c r="D22" t="e" s="82">
        <f>D20-D21</f>
        <v>#DIV/0!</v>
      </c>
      <c r="E22" t="e" s="82">
        <f>E20-E21</f>
        <v>#DIV/0!</v>
      </c>
      <c r="F22" s="82"/>
      <c r="G22" s="82"/>
      <c r="J22" s="4"/>
    </row>
    <row r="23">
      <c r="B23" t="s" s="61">
        <v>291</v>
      </c>
      <c r="C23" s="3"/>
      <c r="D23" s="116"/>
      <c r="E23" s="116"/>
      <c r="F23" s="83"/>
      <c r="G23" s="83"/>
      <c r="J23" s="4"/>
    </row>
    <row r="24">
      <c r="B24" t="s" s="61">
        <v>28</v>
      </c>
      <c r="C24" s="3"/>
      <c r="D24" s="83">
        <f>D17-D23</f>
        <v>0</v>
      </c>
      <c r="E24" s="83">
        <f>E17-E23</f>
        <v>0</v>
      </c>
      <c r="F24" s="83"/>
      <c r="G24" s="83"/>
      <c r="J24" s="4"/>
    </row>
    <row r="25">
      <c r="J25" s="4"/>
    </row>
    <row r="26">
      <c r="B26" t="s" s="5">
        <v>392</v>
      </c>
      <c r="C26" s="5"/>
      <c r="D26" s="5"/>
      <c r="E26" s="5"/>
      <c r="F26" s="5"/>
      <c r="G26" s="5"/>
      <c r="H26" s="5"/>
      <c r="I26" s="5"/>
      <c r="J26" s="4"/>
    </row>
    <row r="27">
      <c r="B27" t="s" s="17">
        <v>393</v>
      </c>
      <c r="D27" s="7">
        <f>D21</f>
        <v>0</v>
      </c>
      <c r="J27" s="4"/>
    </row>
    <row r="28">
      <c r="B28" t="s" s="17">
        <v>294</v>
      </c>
      <c r="D28" t="e" s="7">
        <f>D20-D21</f>
        <v>#DIV/0!</v>
      </c>
      <c r="J28" s="4"/>
    </row>
    <row r="29">
      <c r="B29" t="e" s="17">
        <f>"WACC "&amp;TEXT(D8,"0.00%")&amp;" to "&amp;TEXT(F8,"0.00%")</f>
        <v>#DIV/0!</v>
      </c>
      <c r="D29" t="e" s="7">
        <f>F20-D20</f>
        <v>#DIV/0!</v>
      </c>
      <c r="J29" s="4"/>
    </row>
    <row r="30">
      <c r="B30" t="str" s="17">
        <f>"Terminal growth "&amp;TEXT(F9,"0.0%")&amp;" to "&amp;TEXT(G9,"0.0%")&amp;", 5-year basis"</f>
        <v>Terminal growth 0.0% to 2.5%, 5-year basis</v>
      </c>
      <c r="D30" t="e" s="7">
        <f>G20-F20</f>
        <v>#DIV/0!</v>
      </c>
      <c r="J30" s="4"/>
    </row>
    <row r="31">
      <c r="B31" t="s" s="17">
        <v>295</v>
      </c>
      <c r="D31" t="e" s="7">
        <f>D32-SUM(D27:D30)</f>
        <v>#DIV/0!</v>
      </c>
      <c r="J31" s="4"/>
    </row>
    <row r="32">
      <c r="B32" t="s" s="14">
        <v>296</v>
      </c>
      <c r="C32" s="14"/>
      <c r="D32" t="e" s="88">
        <f>DCF!$F$100</f>
        <v>#DIV/0!</v>
      </c>
      <c r="J32" s="4"/>
    </row>
    <row r="33">
      <c r="J33" s="4"/>
    </row>
    <row r="34">
      <c r="B34" t="s" s="5">
        <v>394</v>
      </c>
      <c r="C34" s="5"/>
      <c r="D34" s="5"/>
      <c r="E34" s="5"/>
      <c r="F34" s="5"/>
      <c r="G34" s="5"/>
      <c r="H34" s="5"/>
      <c r="I34" s="5"/>
      <c r="J34" s="4"/>
    </row>
    <row r="35">
      <c r="D35" t="s" s="30">
        <v>301</v>
      </c>
      <c r="E35" t="s" s="30">
        <v>303</v>
      </c>
      <c r="F35" t="s" s="30">
        <v>305</v>
      </c>
      <c r="G35" t="s" s="30">
        <v>307</v>
      </c>
      <c r="H35" t="s" s="30">
        <v>308</v>
      </c>
      <c r="I35" t="s" s="30">
        <v>309</v>
      </c>
      <c r="J35" s="4"/>
    </row>
    <row r="36">
      <c r="B36" t="s" s="17">
        <v>351</v>
      </c>
      <c r="D36" s="104"/>
      <c r="E36" s="104"/>
      <c r="F36" s="111"/>
      <c r="G36" s="111"/>
      <c r="H36" s="108"/>
      <c r="I36" s="108"/>
      <c r="J36" s="4"/>
    </row>
    <row r="37">
      <c r="B37" t="s" s="17">
        <v>352</v>
      </c>
      <c r="D37" s="104"/>
      <c r="E37" s="104"/>
      <c r="F37" s="111"/>
      <c r="G37" s="111"/>
      <c r="H37" s="108"/>
      <c r="I37" s="108"/>
      <c r="J3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2026-10-20T22:50:46Z</dcterms:created>
  <dcterms:modified xsi:type="dcterms:W3CDTF">2026-10-20T22:50:46Z</dcterms:modified>
  <cp:category/>
  <cp:contentStatus/>
</cp:coreProperties>
</file>