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bookViews>
    <workbookView activeTab="0"/>
  </bookViews>
  <sheets>
    <sheet name="Screen" sheetId="1" r:id="rId1"/>
    <sheet name="Finalists" sheetId="2" r:id="rId2"/>
    <sheet name="Paper LBOs" sheetId="3" r:id="rId3"/>
    <sheet name="Call signals" sheetId="4" r:id="rId4"/>
  </sheets>
  <calcPr/>
</workbook>
</file>

<file path=xl/sharedStrings.xml><?xml version="1.0" encoding="utf-8"?>
<sst xmlns="http://schemas.openxmlformats.org/spreadsheetml/2006/main" count="756" uniqueCount="756">
  <si>
    <t>CWAN-Pattern Take-Private Screen</t>
  </si>
  <si>
    <t>$ in millions except per share; prices and market caps at 19-Oct-2026 close; LTM to each company's latest reported quarter</t>
  </si>
  <si>
    <t>CWAN AT SIGNING (20-DEC-2025)</t>
  </si>
  <si>
    <t>Offer price per share ($)</t>
  </si>
  <si>
    <t>Unaffected share price, 10-Nov-2025 ($)</t>
  </si>
  <si>
    <t>Premium to unaffected (%)</t>
  </si>
  <si>
    <t>52-week high at unaffected date ($)</t>
  </si>
  <si>
    <t>Unaffected price / 52-week high (%)</t>
  </si>
  <si>
    <t>Unaffected TEV ($M)</t>
  </si>
  <si>
    <t>Deal TEV ($M)</t>
  </si>
  <si>
    <t>Q3'25 revenue ($M)</t>
  </si>
  <si>
    <t>ARR, 30-Sep-2025 ($M)</t>
  </si>
  <si>
    <t>ARR, 30-Sep-2024 ($M)</t>
  </si>
  <si>
    <t>Organic ARR, 30-Sep-2025 ($M)</t>
  </si>
  <si>
    <t>Recurring share, ARR / annualized Q3'25 revenue (%)</t>
  </si>
  <si>
    <t>Organic ARR growth (%)</t>
  </si>
  <si>
    <t>FY2025E revenue growth, guidance (%)</t>
  </si>
  <si>
    <t>FY2025E Adj. EBITDA, guidance ($M)</t>
  </si>
  <si>
    <t>FY2025E Adj. EBITDA margin, guidance (%)</t>
  </si>
  <si>
    <t>Net debt / 2025E Adj. EBITDA (x)</t>
  </si>
  <si>
    <t>Welsh Carson stake, first 13G, Feb-2022 (%)</t>
  </si>
  <si>
    <t>Welsh Carson stake, last 13G/A, Aug-2025 (%)</t>
  </si>
  <si>
    <t>Enfusion acquisition closed (date)</t>
  </si>
  <si>
    <t>SCREEN CRITERIA</t>
  </si>
  <si>
    <t>Filter</t>
  </si>
  <si>
    <t>G1 US-listed vertical or financial software, 10-K filer</t>
  </si>
  <si>
    <t>G2 TEV floor ($M)</t>
  </si>
  <si>
    <t>G2 TEV cap ($M)</t>
  </si>
  <si>
    <t>G3 Recurring share of revenue, minimum (%)</t>
  </si>
  <si>
    <t>T4 Price / 52-week high, maximum (%)</t>
  </si>
  <si>
    <t>T1 LTM revenue growth, minimum (%)</t>
  </si>
  <si>
    <t>T2 Adj. EBITDA margin pre-SBC, minimum (%)</t>
  </si>
  <si>
    <t>T3 Net debt / LTM Adj. EBITDA, maximum (x)</t>
  </si>
  <si>
    <t>T5 PE or growth sponsor peak 13G/13D stake, minimum (%)</t>
  </si>
  <si>
    <t>T6 Acquisition closed on or after (date)</t>
  </si>
  <si>
    <t>Traits required, of T1, T2, T3, T5, T6 (#)</t>
  </si>
  <si>
    <t>Passing companies (#)</t>
  </si>
  <si>
    <t>Value</t>
  </si>
  <si>
    <t>CWAN</t>
  </si>
  <si>
    <t>Yes</t>
  </si>
  <si>
    <t>Threshold</t>
  </si>
  <si>
    <t>&lt;&lt; Merger press release, 22-Dec-2025, p.1</t>
  </si>
  <si>
    <t>&lt;&lt; PJT fairness deck, 20-Dec-2025, p.4</t>
  </si>
  <si>
    <t>&lt;&lt; PJT fairness deck p.4</t>
  </si>
  <si>
    <t>&lt;&lt; Q3'25 earnings release p.1</t>
  </si>
  <si>
    <t>&lt;&lt; Q3'25 earnings release p.2</t>
  </si>
  <si>
    <t>&lt;&lt; Q3'25 earnings release p.3</t>
  </si>
  <si>
    <t>&lt;&lt; 13G Welsh Carson, 14-Feb-2022</t>
  </si>
  <si>
    <t>&lt;&lt; 13G/A Welsh Carson, 13-Aug-2025</t>
  </si>
  <si>
    <t>&lt;&lt; Enfusion closing release, 21-Apr-2025; Beacon and Bistro agreed 12-Mar-2025</t>
  </si>
  <si>
    <t>Type</t>
  </si>
  <si>
    <t>Gate</t>
  </si>
  <si>
    <t>Required</t>
  </si>
  <si>
    <t>Trait</t>
  </si>
  <si>
    <t>Rule</t>
  </si>
  <si>
    <t>Pass count</t>
  </si>
  <si>
    <t>Quarters per year (#)</t>
  </si>
  <si>
    <t>SCREEN RESULTS</t>
  </si>
  <si>
    <t>Company</t>
  </si>
  <si>
    <t>BlackLine, Inc.</t>
  </si>
  <si>
    <t>Waystar Holding Corp.</t>
  </si>
  <si>
    <t>ServiceTitan, Inc.</t>
  </si>
  <si>
    <t>Procore Technologies, Inc.</t>
  </si>
  <si>
    <t>nCino, Inc.</t>
  </si>
  <si>
    <t>CoStar Group, Inc.</t>
  </si>
  <si>
    <t>Doximity, Inc.</t>
  </si>
  <si>
    <t>Guidewire Software, Inc.</t>
  </si>
  <si>
    <t>EverCommerce Inc.</t>
  </si>
  <si>
    <t>SPS Commerce, Inc.</t>
  </si>
  <si>
    <t>Vertex, Inc.</t>
  </si>
  <si>
    <t>Alkami Technology, Inc.</t>
  </si>
  <si>
    <t>Bentley Systems, Inc.</t>
  </si>
  <si>
    <t>Blackbaud, Inc.</t>
  </si>
  <si>
    <t>Intuit Inc.</t>
  </si>
  <si>
    <t>Veeva Systems Inc.</t>
  </si>
  <si>
    <t>Roper Technologies, Inc.</t>
  </si>
  <si>
    <t>Verisk Analytics, Inc.</t>
  </si>
  <si>
    <t>SS&amp;C Technologies Holdings, Inc.</t>
  </si>
  <si>
    <t>Broadridge Financial Solutions, Inc.</t>
  </si>
  <si>
    <t>Fair Isaac Corporation</t>
  </si>
  <si>
    <t>Toast, Inc.</t>
  </si>
  <si>
    <t>Tyler Technologies, Inc.</t>
  </si>
  <si>
    <t>Trimble Inc.</t>
  </si>
  <si>
    <t>Manhattan Associates, Inc.</t>
  </si>
  <si>
    <t>FactSet Research Systems Inc.</t>
  </si>
  <si>
    <t>Jack Henry &amp; Associates, Inc.</t>
  </si>
  <si>
    <t>Morningstar, Inc.</t>
  </si>
  <si>
    <t>AppFolio, Inc.</t>
  </si>
  <si>
    <t>Shift4 Payments, Inc.</t>
  </si>
  <si>
    <t>ACI Worldwide, Inc.</t>
  </si>
  <si>
    <t>CCC Intelligent Solutions Holdings Inc.</t>
  </si>
  <si>
    <t>Clarivate PLC</t>
  </si>
  <si>
    <t>Claritev Corporation</t>
  </si>
  <si>
    <t>BILL Holdings, Inc.</t>
  </si>
  <si>
    <t>Workiva Inc.</t>
  </si>
  <si>
    <t>Q2 Holdings, Inc.</t>
  </si>
  <si>
    <t>Paymentus Holdings, Inc.</t>
  </si>
  <si>
    <t>Intapp, Inc.</t>
  </si>
  <si>
    <t>Agilysys, Inc.</t>
  </si>
  <si>
    <t>EVERTEC, Inc.</t>
  </si>
  <si>
    <t>Alarm.com Holdings, Inc.</t>
  </si>
  <si>
    <t>Via Transportation, Inc.</t>
  </si>
  <si>
    <t>Porch Group, Inc.</t>
  </si>
  <si>
    <t>NCR Voyix Corporation</t>
  </si>
  <si>
    <t>Flywire Corporation</t>
  </si>
  <si>
    <t>Priority Technology Holdings, Inc.</t>
  </si>
  <si>
    <t>Certara, Inc.</t>
  </si>
  <si>
    <t>Donnelley Financial Solutions, Inc.</t>
  </si>
  <si>
    <t>Exzeo Group, Inc.</t>
  </si>
  <si>
    <t>Marqeta, Inc.</t>
  </si>
  <si>
    <t>PAR Technology Corp.</t>
  </si>
  <si>
    <t>Repay Holdings Corporation</t>
  </si>
  <si>
    <t>HealthStream, Inc.</t>
  </si>
  <si>
    <t>LegalZoom.com, Inc.</t>
  </si>
  <si>
    <t>Daily Journal Corporation</t>
  </si>
  <si>
    <t>Mitek Systems, Inc.</t>
  </si>
  <si>
    <t>Phreesia, Inc.</t>
  </si>
  <si>
    <t>Powerfleet, Inc.</t>
  </si>
  <si>
    <t>Weave Communications, Inc.</t>
  </si>
  <si>
    <t>NRC Health</t>
  </si>
  <si>
    <t>Cerence Inc.</t>
  </si>
  <si>
    <t>i3 Verticals, Inc.</t>
  </si>
  <si>
    <t>CS Disco, Inc.</t>
  </si>
  <si>
    <t>Health Catalyst, Inc.</t>
  </si>
  <si>
    <t>Blend Labs, Inc.</t>
  </si>
  <si>
    <t>OptimizeRx Corporation</t>
  </si>
  <si>
    <t>Expensify, Inc.</t>
  </si>
  <si>
    <t>SmartRent, Inc.</t>
  </si>
  <si>
    <t>CareCloud, Inc.</t>
  </si>
  <si>
    <t>Definitive Healthcare Corp.</t>
  </si>
  <si>
    <t>SoundThinking, Inc.</t>
  </si>
  <si>
    <t>ReposiTrak, Inc.</t>
  </si>
  <si>
    <t>NetSol Technologies, Inc.</t>
  </si>
  <si>
    <t>American Well Corp</t>
  </si>
  <si>
    <t>Simulations Plus, Inc.</t>
  </si>
  <si>
    <t>Open Lending Corp.</t>
  </si>
  <si>
    <t>Ticker</t>
  </si>
  <si>
    <t>BL</t>
  </si>
  <si>
    <t>WAY</t>
  </si>
  <si>
    <t>TTAN</t>
  </si>
  <si>
    <t>PCOR</t>
  </si>
  <si>
    <t>NCNO</t>
  </si>
  <si>
    <t>CSGP</t>
  </si>
  <si>
    <t>DOCS</t>
  </si>
  <si>
    <t>GWRE</t>
  </si>
  <si>
    <t>EVCM</t>
  </si>
  <si>
    <t>SPSC</t>
  </si>
  <si>
    <t>VERX</t>
  </si>
  <si>
    <t>ALKT</t>
  </si>
  <si>
    <t>BSY</t>
  </si>
  <si>
    <t>BLKB</t>
  </si>
  <si>
    <t>INTU</t>
  </si>
  <si>
    <t>VEEV</t>
  </si>
  <si>
    <t>ROP</t>
  </si>
  <si>
    <t>VRSK</t>
  </si>
  <si>
    <t>SSNC</t>
  </si>
  <si>
    <t>BR</t>
  </si>
  <si>
    <t>FICO</t>
  </si>
  <si>
    <t>TOST</t>
  </si>
  <si>
    <t>TYL</t>
  </si>
  <si>
    <t>TRMB</t>
  </si>
  <si>
    <t>MANH</t>
  </si>
  <si>
    <t>FDS</t>
  </si>
  <si>
    <t>JKHY</t>
  </si>
  <si>
    <t>MORN</t>
  </si>
  <si>
    <t>APPF</t>
  </si>
  <si>
    <t>FOUR</t>
  </si>
  <si>
    <t>ACIW</t>
  </si>
  <si>
    <t>CCC</t>
  </si>
  <si>
    <t>CLVT</t>
  </si>
  <si>
    <t>CTEV</t>
  </si>
  <si>
    <t>BILL</t>
  </si>
  <si>
    <t>WK</t>
  </si>
  <si>
    <t>QTWO</t>
  </si>
  <si>
    <t>PAY</t>
  </si>
  <si>
    <t>INTA</t>
  </si>
  <si>
    <t>AGYS</t>
  </si>
  <si>
    <t>EVTC</t>
  </si>
  <si>
    <t>ALRM</t>
  </si>
  <si>
    <t>VIA</t>
  </si>
  <si>
    <t>PRCH</t>
  </si>
  <si>
    <t>VYX</t>
  </si>
  <si>
    <t>FLYW</t>
  </si>
  <si>
    <t>PRTH</t>
  </si>
  <si>
    <t>CERT</t>
  </si>
  <si>
    <t>DFIN</t>
  </si>
  <si>
    <t>XZO</t>
  </si>
  <si>
    <t>MQ</t>
  </si>
  <si>
    <t>PAR</t>
  </si>
  <si>
    <t>RPAY</t>
  </si>
  <si>
    <t>HSTM</t>
  </si>
  <si>
    <t>LZ</t>
  </si>
  <si>
    <t>DJCO</t>
  </si>
  <si>
    <t>MITK</t>
  </si>
  <si>
    <t>PHR</t>
  </si>
  <si>
    <t>AIOT</t>
  </si>
  <si>
    <t>WEAV</t>
  </si>
  <si>
    <t>NRC</t>
  </si>
  <si>
    <t>CRNC</t>
  </si>
  <si>
    <t>IIIV</t>
  </si>
  <si>
    <t>LAW</t>
  </si>
  <si>
    <t>HCAT</t>
  </si>
  <si>
    <t>BLND</t>
  </si>
  <si>
    <t>OPRX</t>
  </si>
  <si>
    <t>EXFY</t>
  </si>
  <si>
    <t>SMRT</t>
  </si>
  <si>
    <t>CCLD</t>
  </si>
  <si>
    <t>DH</t>
  </si>
  <si>
    <t>SSTI</t>
  </si>
  <si>
    <t>TRAK</t>
  </si>
  <si>
    <t>NTWK</t>
  </si>
  <si>
    <t>AMWL</t>
  </si>
  <si>
    <t>SLP</t>
  </si>
  <si>
    <t>LPRO</t>
  </si>
  <si>
    <t>End market</t>
  </si>
  <si>
    <t>Financial: close and accounting</t>
  </si>
  <si>
    <t>Vertical: healthcare payments</t>
  </si>
  <si>
    <t>Vertical: trades and field service</t>
  </si>
  <si>
    <t>Vertical: construction</t>
  </si>
  <si>
    <t>Financial: bank lending</t>
  </si>
  <si>
    <t>Vertical: real estate</t>
  </si>
  <si>
    <t>Vertical: healthcare</t>
  </si>
  <si>
    <t>Financial: P&amp;C insurance core systems</t>
  </si>
  <si>
    <t>Vertical: service SMBs</t>
  </si>
  <si>
    <t>Vertical: retail supply chain</t>
  </si>
  <si>
    <t>Financial: indirect tax</t>
  </si>
  <si>
    <t>Financial: digital banking</t>
  </si>
  <si>
    <t>Vertical: infrastructure engineering</t>
  </si>
  <si>
    <t>Vertical: nonprofit and education</t>
  </si>
  <si>
    <t>Financial: tax and accounting</t>
  </si>
  <si>
    <t>Vertical: life sciences</t>
  </si>
  <si>
    <t>Vertical: diversified vertical software</t>
  </si>
  <si>
    <t>Financial: insurance analytics</t>
  </si>
  <si>
    <t>Financial: fund administration and software</t>
  </si>
  <si>
    <t>Financial: capital markets and wealth</t>
  </si>
  <si>
    <t>Financial: credit decisioning</t>
  </si>
  <si>
    <t>Vertical: restaurant</t>
  </si>
  <si>
    <t>Vertical: government</t>
  </si>
  <si>
    <t>Vertical: construction and geospatial</t>
  </si>
  <si>
    <t>Vertical: supply chain</t>
  </si>
  <si>
    <t>Financial: investment data and workstation</t>
  </si>
  <si>
    <t>Financial: bank core processing</t>
  </si>
  <si>
    <t>Financial: investment data and software</t>
  </si>
  <si>
    <t>Vertical: hospitality payments</t>
  </si>
  <si>
    <t>Financial: bank payments software</t>
  </si>
  <si>
    <t>Vertical: auto insurance claims</t>
  </si>
  <si>
    <t>Vertical: academia and IP</t>
  </si>
  <si>
    <t>Vertical: healthcare payers</t>
  </si>
  <si>
    <t>Financial: SMB finance automation</t>
  </si>
  <si>
    <t>Financial: financial reporting</t>
  </si>
  <si>
    <t>Financial: bill payment</t>
  </si>
  <si>
    <t>Financial: professional and financial services</t>
  </si>
  <si>
    <t>Vertical: hospitality</t>
  </si>
  <si>
    <t>Financial: payment processing</t>
  </si>
  <si>
    <t>Vertical: security service providers</t>
  </si>
  <si>
    <t>Vertical: public transit</t>
  </si>
  <si>
    <t>Vertical: home services and insurance</t>
  </si>
  <si>
    <t>Vertical: restaurant and retail</t>
  </si>
  <si>
    <t>Financial: vertical payments</t>
  </si>
  <si>
    <t>Financial: payments</t>
  </si>
  <si>
    <t>Financial: regulatory and compliance</t>
  </si>
  <si>
    <t>Financial: insurance software</t>
  </si>
  <si>
    <t>Financial: card issuing</t>
  </si>
  <si>
    <t>Vertical: legal</t>
  </si>
  <si>
    <t>Vertical: courts and justice</t>
  </si>
  <si>
    <t>Financial: bank identity and deposits</t>
  </si>
  <si>
    <t>Vertical: fleet telematics</t>
  </si>
  <si>
    <t>Vertical: healthcare practices</t>
  </si>
  <si>
    <t>Vertical: automotive</t>
  </si>
  <si>
    <t>Vertical: public sector</t>
  </si>
  <si>
    <t>Financial: mortgage and lending</t>
  </si>
  <si>
    <t>Financial: expense management</t>
  </si>
  <si>
    <t>Vertical: rental housing</t>
  </si>
  <si>
    <t>Vertical: public safety</t>
  </si>
  <si>
    <t>Vertical: food supply chain</t>
  </si>
  <si>
    <t>Financial: auto and equipment finance</t>
  </si>
  <si>
    <t>Financial: auto lending</t>
  </si>
  <si>
    <t>LTM to</t>
  </si>
  <si>
    <t>Income statement, LTM ($M)</t>
  </si>
  <si>
    <t>Revenue</t>
  </si>
  <si>
    <t>Revenue, prior year</t>
  </si>
  <si>
    <t>Growth (%)</t>
  </si>
  <si>
    <t>Operating income</t>
  </si>
  <si>
    <t>D&amp;A</t>
  </si>
  <si>
    <t>SBC</t>
  </si>
  <si>
    <t>Adj. EBITDA</t>
  </si>
  <si>
    <t>Margin (%)</t>
  </si>
  <si>
    <t>Balance sheet ($M)</t>
  </si>
  <si>
    <t>Current debt</t>
  </si>
  <si>
    <t>Long-term debt</t>
  </si>
  <si>
    <t>Short-term debt</t>
  </si>
  <si>
    <t>Cash</t>
  </si>
  <si>
    <t>Net debt</t>
  </si>
  <si>
    <t>Net debt / EBITDA (x)</t>
  </si>
  <si>
    <t>Market, 19-Oct-2026</t>
  </si>
  <si>
    <t>Market cap</t>
  </si>
  <si>
    <t>TEV</t>
  </si>
  <si>
    <t>Price ($)</t>
  </si>
  <si>
    <t>52-week high ($)</t>
  </si>
  <si>
    <t>High date</t>
  </si>
  <si>
    <t>Price / high (%)</t>
  </si>
  <si>
    <t>Pattern evidence</t>
  </si>
  <si>
    <t>Recurring (%)</t>
  </si>
  <si>
    <t>n.r.</t>
  </si>
  <si>
    <t>n.d.</t>
  </si>
  <si>
    <t>Payments</t>
  </si>
  <si>
    <t>PE or growth sponsor (13G/13D)</t>
  </si>
  <si>
    <t>Clearlake (13G)</t>
  </si>
  <si>
    <t>EQT (13G)</t>
  </si>
  <si>
    <t>ICONIQ (13G)</t>
  </si>
  <si>
    <t>Insight Partners (13D)</t>
  </si>
  <si>
    <t>None in 13G/13D since 2021</t>
  </si>
  <si>
    <t>Providence (PSG) (13G)</t>
  </si>
  <si>
    <t>General Atlantic (13D)</t>
  </si>
  <si>
    <t>Clearlake (13D)</t>
  </si>
  <si>
    <t>Searchlight (13G)</t>
  </si>
  <si>
    <t>Advent International (13D)</t>
  </si>
  <si>
    <t>Onex (13G)</t>
  </si>
  <si>
    <t>None; Starboard 13D is an activist</t>
  </si>
  <si>
    <t>None; Eminence and Jericho are hedge funds</t>
  </si>
  <si>
    <t>Accel-KKR (13G)</t>
  </si>
  <si>
    <t>Temasek (13D)</t>
  </si>
  <si>
    <t>None; MAK Capital is a holder (13D)</t>
  </si>
  <si>
    <t>None; Exor holding co. and Pitango VC</t>
  </si>
  <si>
    <t>Bain Capital Ventures (13G)</t>
  </si>
  <si>
    <t>None; HCI Group parent owns 82.6%</t>
  </si>
  <si>
    <t>None; holders are hedge funds</t>
  </si>
  <si>
    <t>Sponsor peak stake (%)</t>
  </si>
  <si>
    <t>Acquisition since 1-Oct-2024</t>
  </si>
  <si>
    <t>WiseLayer (Dec-2025)</t>
  </si>
  <si>
    <t>Iodine (Oct-2025)</t>
  </si>
  <si>
    <t>Conduit Tech (Oct-2025)</t>
  </si>
  <si>
    <t>Novorender (Jan-2025); LTM acquisition cash</t>
  </si>
  <si>
    <t>FullCircl (Nov-2024)</t>
  </si>
  <si>
    <t>Domain (Aug-2025)</t>
  </si>
  <si>
    <t>Pathway (Jul-2025)</t>
  </si>
  <si>
    <t>Quantee (Apr-2025)</t>
  </si>
  <si>
    <t>ZyraTalk (Sep-2025)</t>
  </si>
  <si>
    <t>Carbon6 (agreed Dec-2024)</t>
  </si>
  <si>
    <t>None found</t>
  </si>
  <si>
    <t>MANTL (Q1 2025)</t>
  </si>
  <si>
    <t>Consideration ($M)</t>
  </si>
  <si>
    <t>Filters (1 = pass)</t>
  </si>
  <si>
    <t>G2 TEV</t>
  </si>
  <si>
    <t>G3 Recurring</t>
  </si>
  <si>
    <t>T4 Price</t>
  </si>
  <si>
    <t>T1 Growth</t>
  </si>
  <si>
    <t>T2 Margin</t>
  </si>
  <si>
    <t>T3 Leverage</t>
  </si>
  <si>
    <t>T5 Sponsor</t>
  </si>
  <si>
    <t>T6 M&amp;A</t>
  </si>
  <si>
    <t>Traits (#)</t>
  </si>
  <si>
    <t>Result</t>
  </si>
  <si>
    <t>Reason</t>
  </si>
  <si>
    <t>RECURRING REVENUE SUPPORT</t>
  </si>
  <si>
    <t>Basis</t>
  </si>
  <si>
    <t>SaaS subscription services line, 10-Q revenue table</t>
  </si>
  <si>
    <t>Recurring revenues share, 10-Q</t>
  </si>
  <si>
    <t>Contractual plus transactional recurring revenue, 10-K</t>
  </si>
  <si>
    <t>Subscription and support line, annual income statement</t>
  </si>
  <si>
    <t>Subscription and Transaction Fees line, annual income statement</t>
  </si>
  <si>
    <t>Subscription and support plus term license lines, 10-K</t>
  </si>
  <si>
    <t>Subscription line, annual income statement</t>
  </si>
  <si>
    <t>Substantially all revenue from subscriptions, 10-K</t>
  </si>
  <si>
    <t>Total less professional services, annual income statement</t>
  </si>
  <si>
    <t>Recurring revenues share, 10-K</t>
  </si>
  <si>
    <t>Software subscriptions line, annual income statement</t>
  </si>
  <si>
    <t>Subscription plus volume-based revenue, 10-K</t>
  </si>
  <si>
    <t>Revenue from subscription customers, 10-Q</t>
  </si>
  <si>
    <t>Subscription-based contracts share, 10-K</t>
  </si>
  <si>
    <t>Subscription and maintenance line, annual income statement</t>
  </si>
  <si>
    <t>Total less services revenue, 10-K</t>
  </si>
  <si>
    <t>Recurring line 1 ($M)</t>
  </si>
  <si>
    <t>Recurring line 2 ($M)</t>
  </si>
  <si>
    <t>Non-recurring line ($M)</t>
  </si>
  <si>
    <t>Total revenue ($M)</t>
  </si>
  <si>
    <t>Disclosed share 1 (%)</t>
  </si>
  <si>
    <t>Disclosed share 2 (%)</t>
  </si>
  <si>
    <t>Period</t>
  </si>
  <si>
    <t>Q1 2026</t>
  </si>
  <si>
    <t>LTM to Mar-2026</t>
  </si>
  <si>
    <t>FY2025</t>
  </si>
  <si>
    <t>FY to Jul-2026</t>
  </si>
  <si>
    <t>FY to Jan-2026</t>
  </si>
  <si>
    <t>Q2 2026</t>
  </si>
  <si>
    <t>FY to Mar-2026</t>
  </si>
  <si>
    <t>Recurring share (%)</t>
  </si>
  <si>
    <t>None found; ecosio closed Aug-2024</t>
  </si>
  <si>
    <t>2025 tuck-ins; terms not disclosed</t>
  </si>
  <si>
    <t>Not assessed (fails a gate)</t>
  </si>
  <si>
    <t>Victor Technologies (Sep-2025)</t>
  </si>
  <si>
    <t>Eigen Payments (Nov-2024)</t>
  </si>
  <si>
    <t>EvolutionIQ (Jan-2025)</t>
  </si>
  <si>
    <t>Book4Time (Aug-2024, before window)</t>
  </si>
  <si>
    <t>Finalists: Filing Review</t>
  </si>
  <si>
    <t>Latest 10-K, 10-Q, proxy, 8-K and 13D/13G filings; source date cells carry the citation for the text beside them</t>
  </si>
  <si>
    <t>CONTROL, ACTIVISTS, CHANGE OF CONTROL, DEFENSES AND STRATEGIC REVIEWS</t>
  </si>
  <si>
    <t>CCC Intelligent Solutions Holdings Inc. (validation)</t>
  </si>
  <si>
    <t>TEV ($M)</t>
  </si>
  <si>
    <t>Control or sponsor holder</t>
  </si>
  <si>
    <t>General Atlantic 18.1% (13D/A, May-2026); no voting control</t>
  </si>
  <si>
    <t>None; Clearlake held 9.6% (13G, Feb-2023)</t>
  </si>
  <si>
    <t>None; Insight held 35.7% (13D, Jan-2022) and has sold down</t>
  </si>
  <si>
    <t>EQT, CPPIB and Bain bloc; board classified until they fall below 15%</t>
  </si>
  <si>
    <t>Clearlake 18.4% peak (13D, 2022)</t>
  </si>
  <si>
    <t>PSG 44.2% (13G, Feb-2023); PSG and Silver Lake hold registration rights</t>
  </si>
  <si>
    <t>None; ICONIQ held 8.5% (13G, Feb-2022)</t>
  </si>
  <si>
    <t>None identified; ICONIQ held 6.7% (13G, Feb-2025)</t>
  </si>
  <si>
    <t>None</t>
  </si>
  <si>
    <t>Founder control: Class B carries 10 votes per share</t>
  </si>
  <si>
    <t>Westphal family control through Class B shares</t>
  </si>
  <si>
    <t>Bentley family holds 62.8% of voting power</t>
  </si>
  <si>
    <t>Advent held 62.8% (13D, Aug-2021)</t>
  </si>
  <si>
    <t>Stake (%)</t>
  </si>
  <si>
    <t>Source date</t>
  </si>
  <si>
    <t>Activist or 13D holder</t>
  </si>
  <si>
    <t>JANA Partners 6.3% (13D/A, 16-Oct-2026); seeks talks on profitability and capital allocation</t>
  </si>
  <si>
    <t>Fivespan Partners 5.1% (13D, Mar-2026); shares undervalued</t>
  </si>
  <si>
    <t>HMI Capital 13D (Oct-2024); board composition and valuation discussions</t>
  </si>
  <si>
    <t>Advent 5.8% 13D (Oct-2025) from Iodine consideration; not activist</t>
  </si>
  <si>
    <t>Clearlake 13D: $80/share proposal (Apr-2024) after $71 (Mar-2023)</t>
  </si>
  <si>
    <t>None in 13D filings</t>
  </si>
  <si>
    <t>Change-of-control terms</t>
  </si>
  <si>
    <t>2030 converts: holders may require repurchase on a fundamental change</t>
  </si>
  <si>
    <t>2029 converts: holders may require repurchase at par on a fundamental change</t>
  </si>
  <si>
    <t>New credit agreement: change of control is an event of default</t>
  </si>
  <si>
    <t>Credit facilities carry change of control provisions</t>
  </si>
  <si>
    <t>Not found in filing search</t>
  </si>
  <si>
    <t>Credit agreement restricts fundamental changes</t>
  </si>
  <si>
    <t>New converts (Aug-2026): fundamental change repurchase</t>
  </si>
  <si>
    <t>No funded debt</t>
  </si>
  <si>
    <t>Credit agreement: change of control is an event of default</t>
  </si>
  <si>
    <t>Executive change-in-control agreements; no funded debt</t>
  </si>
  <si>
    <t>2024 credit agreement: change of control is an event of default</t>
  </si>
  <si>
    <t>Converts: fundamental change can trigger default and repurchase</t>
  </si>
  <si>
    <t>Credit agreement: change in control is a default</t>
  </si>
  <si>
    <t>Credit agreement amended for the deal (8-K)</t>
  </si>
  <si>
    <t>Defenses</t>
  </si>
  <si>
    <t>Classified board with three-year staggered terms</t>
  </si>
  <si>
    <t>Classified board; no stockholder action by written consent</t>
  </si>
  <si>
    <t>Board being declassified; supermajority for some charter changes</t>
  </si>
  <si>
    <t>Classified board; supermajority to amend bylaws</t>
  </si>
  <si>
    <t>Rights agreement adopted 7-Oct-2022; classified board</t>
  </si>
  <si>
    <t>Classified board with staggered three-year terms</t>
  </si>
  <si>
    <t>Classified board; directors removable only for cause</t>
  </si>
  <si>
    <t>No pill, no supermajority, one class of stock</t>
  </si>
  <si>
    <t>Staggered board</t>
  </si>
  <si>
    <t>Classified board in three staggered classes</t>
  </si>
  <si>
    <t>No poison pill; directors elected annually</t>
  </si>
  <si>
    <t>n.a.</t>
  </si>
  <si>
    <t>Strategic review or sale signal</t>
  </si>
  <si>
    <t>No formal review; JANA's first 13D (Apr-2026) calls the shares undervalued</t>
  </si>
  <si>
    <t>Sale speculation raised by an analyst on the Q3'25 call; no formal review</t>
  </si>
  <si>
    <t>No formal review; HMI 13D says shares undervalued</t>
  </si>
  <si>
    <t>None disclosed</t>
  </si>
  <si>
    <t>Two Clearlake take-private proposals, neither accepted</t>
  </si>
  <si>
    <t>Strategic review of marketing technology began late 2024; unit sold Oct-2025</t>
  </si>
  <si>
    <t>Acquirer, not seller: DroneDeploy merger agreement (Jul-2026)</t>
  </si>
  <si>
    <t>10-K: concentrated control may deter unsolicited proposals</t>
  </si>
  <si>
    <t>Signed 14-Oct-2026: GTCR and Elliott at $7.75/share, 44% premium to unaffected</t>
  </si>
  <si>
    <t>Feasibility</t>
  </si>
  <si>
    <t>High</t>
  </si>
  <si>
    <t>Medium-High</t>
  </si>
  <si>
    <t>Medium</t>
  </si>
  <si>
    <t>Low</t>
  </si>
  <si>
    <t>Signed</t>
  </si>
  <si>
    <t>Paper LBO</t>
  </si>
  <si>
    <t>No</t>
  </si>
  <si>
    <t>Not reviewed; deal signed</t>
  </si>
  <si>
    <t>Paper LBOs: Top Six at a 30-35% Premium on CWAN Take-Private Terms</t>
  </si>
  <si>
    <t>$ in millions except per share; close 31-Dec-2026, five-year hold, exit at the entry multiple; annual periods; interest on opening debt</t>
  </si>
  <si>
    <t>DEAL TERMS (CWAN TAKE-PRIVATE)</t>
  </si>
  <si>
    <t>Offer premium to 19-Oct-2026 close (%)</t>
  </si>
  <si>
    <t>Initial term loan, CWAN take-private ($M)</t>
  </si>
  <si>
    <t>CWAN FY2025E Adj. EBITDA, guidance ($M)</t>
  </si>
  <si>
    <t>CWAN deal leverage, term loan / FY2025E Adj. EBITDA (x)</t>
  </si>
  <si>
    <t>Minimum equity contribution (% of capitalization)</t>
  </si>
  <si>
    <t>Maximum debt (% of capitalization)</t>
  </si>
  <si>
    <t>CWAN existing debt weighted average rate, Q1'26 (%)</t>
  </si>
  <si>
    <t>CWAN existing term loan margin over SOFR (%)</t>
  </si>
  <si>
    <t>Term SOFR implied, held flat (%)</t>
  </si>
  <si>
    <t>SOFR floor (%)</t>
  </si>
  <si>
    <t>Margin over SOFR, take-private term loan (%)</t>
  </si>
  <si>
    <t>All-in cash interest rate (%)</t>
  </si>
  <si>
    <t>Scheduled amortization (% p.a.)</t>
  </si>
  <si>
    <t>Excess cash flow applied to debt (%)</t>
  </si>
  <si>
    <t>Financing fees and OID, PJT illustrative LBO ($M)</t>
  </si>
  <si>
    <t>New debt, PJT illustrative LBO ($M)</t>
  </si>
  <si>
    <t>Financing fees (% of debt raised)</t>
  </si>
  <si>
    <t>Transaction fees and expenses, PJT illustrative LBO ($M)</t>
  </si>
  <si>
    <t>Implied TEV, PJT illustrative LBO ($M)</t>
  </si>
  <si>
    <t>Transaction fees (% of entry TEV)</t>
  </si>
  <si>
    <t>SBC replaced in cash after close (% of LTM SBC)</t>
  </si>
  <si>
    <t>Cash tax rate (%)</t>
  </si>
  <si>
    <t>Minimum cash ($M)</t>
  </si>
  <si>
    <t>Revenue growth fade (points per year)</t>
  </si>
  <si>
    <t>Long-run revenue growth floor (%)</t>
  </si>
  <si>
    <t>Adj. EBITDA margin expansion (points per year)</t>
  </si>
  <si>
    <t>Adj. EBITDA margin cap (%)</t>
  </si>
  <si>
    <t>Close date</t>
  </si>
  <si>
    <t>Holding period (years)</t>
  </si>
  <si>
    <t>&lt;&lt; Midpoint of the 30-35% range requested; 30% and 35% run in the tables below</t>
  </si>
  <si>
    <t>&lt;&lt; Debt commitment letter, Exhibit A, p.A-2</t>
  </si>
  <si>
    <t>&lt;&lt; Commitment letter, Exhibit A, p.A-1</t>
  </si>
  <si>
    <t>&lt;&lt; CWAN 10-Q Q1'26 p.44</t>
  </si>
  <si>
    <t>&lt;&lt; CWAN 10-Q Q1'26 p.24</t>
  </si>
  <si>
    <t>&lt;&lt; Term sheet Annex I</t>
  </si>
  <si>
    <t>&lt;&lt; Term sheet Annex I: first two quarters</t>
  </si>
  <si>
    <t>&lt;&lt; Term sheet p.B-8: no interim amortization, 7-year maturity</t>
  </si>
  <si>
    <t>&lt;&lt; Assumed full sweep; term sheet ECF sweep steps down to 0% at 7.5x</t>
  </si>
  <si>
    <t>&lt;&lt; PJT fairness deck p.28</t>
  </si>
  <si>
    <t>&lt;&lt; PJT p.28 flatlines SBC at 25% of plan</t>
  </si>
  <si>
    <t>&lt;&lt; PJT p.27</t>
  </si>
  <si>
    <t>&lt;&lt; Assumption</t>
  </si>
  <si>
    <t>&lt;&lt; Assumption; capped at LTM growth where lower</t>
  </si>
  <si>
    <t>ALKAMI TECHNOLOGY, INC. (ALKT)</t>
  </si>
  <si>
    <t>$ in millions</t>
  </si>
  <si>
    <t>Share price, 19-Oct-2026 ($)</t>
  </si>
  <si>
    <t>Shares outstanding (m)</t>
  </si>
  <si>
    <t>LTM revenue</t>
  </si>
  <si>
    <t>LTM revenue growth (%)</t>
  </si>
  <si>
    <t>LTM Adj. EBITDA</t>
  </si>
  <si>
    <t>LTM Adj. EBITDA margin (%)</t>
  </si>
  <si>
    <t>LTM SBC</t>
  </si>
  <si>
    <t>LTM D&amp;A</t>
  </si>
  <si>
    <t>LTM capex</t>
  </si>
  <si>
    <t>Existing debt</t>
  </si>
  <si>
    <t>Entry</t>
  </si>
  <si>
    <t>Equity purchase price</t>
  </si>
  <si>
    <t>(+) Existing debt repaid</t>
  </si>
  <si>
    <t>(–) Cash acquired</t>
  </si>
  <si>
    <t>Entry TEV ($M)</t>
  </si>
  <si>
    <t>Entry multiple, TEV / LTM Adj. EBITDA (x)</t>
  </si>
  <si>
    <t>Transaction fees</t>
  </si>
  <si>
    <t>Minimum cash funded</t>
  </si>
  <si>
    <t>Uses before financing fees ($M)</t>
  </si>
  <si>
    <t>Debt at CWAN leverage</t>
  </si>
  <si>
    <t>Debt cap at 40% minimum equity</t>
  </si>
  <si>
    <t>Debt capacity raised ($M)</t>
  </si>
  <si>
    <t>Binding constraint</t>
  </si>
  <si>
    <t>Financing fees</t>
  </si>
  <si>
    <t>Total uses ($M)</t>
  </si>
  <si>
    <t>(–) Balance sheet cash used</t>
  </si>
  <si>
    <t>Sponsor equity ($M)</t>
  </si>
  <si>
    <t>Debt / LTM Adj. EBITDA (x)</t>
  </si>
  <si>
    <t>Equity / capitalization (%)</t>
  </si>
  <si>
    <t>Projection</t>
  </si>
  <si>
    <t>Revenue growth (%)</t>
  </si>
  <si>
    <t>Revenue ($M)</t>
  </si>
  <si>
    <t>Adj. EBITDA margin (%)</t>
  </si>
  <si>
    <t>Adj. EBITDA ($M)</t>
  </si>
  <si>
    <t>(–) SBC replaced in cash</t>
  </si>
  <si>
    <t>(–) Capex</t>
  </si>
  <si>
    <t>(–) Cash interest, opening debt</t>
  </si>
  <si>
    <t>(–) Cash taxes</t>
  </si>
  <si>
    <t>Free cash flow after interest ($M)</t>
  </si>
  <si>
    <t>D&amp;A, tax basis</t>
  </si>
  <si>
    <t>Taxable income</t>
  </si>
  <si>
    <t>Opening debt</t>
  </si>
  <si>
    <t>(–) Scheduled amortization</t>
  </si>
  <si>
    <t>(–) Cash sweep</t>
  </si>
  <si>
    <t>Closing debt ($M)</t>
  </si>
  <si>
    <t>Closing cash</t>
  </si>
  <si>
    <t>Net debt ($M)</t>
  </si>
  <si>
    <t>Net debt / Adj. EBITDA (x)</t>
  </si>
  <si>
    <t>Adj. EBITDA / cash interest (x)</t>
  </si>
  <si>
    <t>Exit and returns</t>
  </si>
  <si>
    <t>Exit TEV at entry multiple</t>
  </si>
  <si>
    <t>(–) Net debt at exit</t>
  </si>
  <si>
    <t>Exit equity ($M)</t>
  </si>
  <si>
    <t>Sponsor cash flow ($M)</t>
  </si>
  <si>
    <t>MOIC (x)</t>
  </si>
  <si>
    <t>IRR (%)</t>
  </si>
  <si>
    <t>LTM / entry</t>
  </si>
  <si>
    <t>Guided revenue growth, Year 1 (%)</t>
  </si>
  <si>
    <t>&lt;&lt; Guided range low and high in D:E; Q2'26 call</t>
  </si>
  <si>
    <t>BLACKLINE, INC. (BL)</t>
  </si>
  <si>
    <t>&lt;&lt; Guided range low and high in D:E; Q1'26 call, maintained Q2'26</t>
  </si>
  <si>
    <t>NCINO, INC. (NCNO)</t>
  </si>
  <si>
    <t>&lt;&lt; Q3 FY27 total revenue guide growth at midpoint; Q2 FY27 call</t>
  </si>
  <si>
    <t>WAYSTAR HOLDING CORP. (WAY)</t>
  </si>
  <si>
    <t>&lt;&lt; Normalized organic growth of about 10%; Q1'26 call</t>
  </si>
  <si>
    <t>BLACKBAUD, INC. (BLKB)</t>
  </si>
  <si>
    <t>&lt;&lt; FY2026 organic growth guide; Q4'25 call</t>
  </si>
  <si>
    <t>EVERCOMMERCE INC. (EVCM)</t>
  </si>
  <si>
    <t>&lt;&lt; FY2026 revenue guide $612-632M in D:E vs FY2025 revenue in F; Q2'26 call</t>
  </si>
  <si>
    <t>SUMMARY AT BASE PREMIUM</t>
  </si>
  <si>
    <t>Premium to 19-Oct-2026 close (%)</t>
  </si>
  <si>
    <t>LTM Adj. EBITDA ($M)</t>
  </si>
  <si>
    <t>Adj. EBITDA / cash interest, Year 1 (x)</t>
  </si>
  <si>
    <t>Exit TEV at entry multiple ($M)</t>
  </si>
  <si>
    <t>IRR, five-year hold (%)</t>
  </si>
  <si>
    <t>PREMIUM SENSITIVITY</t>
  </si>
  <si>
    <t>Entry multiple (x)</t>
  </si>
  <si>
    <t>Premium</t>
  </si>
  <si>
    <t>IRR, exit at unaffected TEV multiple (%)</t>
  </si>
  <si>
    <t>Binding constraint (leverage or 40% equity floor)</t>
  </si>
  <si>
    <t>Call Signals: Last Four Earnings Calls</t>
  </si>
  <si>
    <t>CWAN's last four calls before signing set the benchmark; $ in millions; date cells carry the citation for the row's evidence</t>
  </si>
  <si>
    <t>CALL-BY-CALL SIGNALS</t>
  </si>
  <si>
    <t>Clearwater Analytics</t>
  </si>
  <si>
    <t>Alkami</t>
  </si>
  <si>
    <t>BlackLine</t>
  </si>
  <si>
    <t>nCino</t>
  </si>
  <si>
    <t>Waystar</t>
  </si>
  <si>
    <t>Blackbaud</t>
  </si>
  <si>
    <t>EverCommerce</t>
  </si>
  <si>
    <t>SIGNAL SUMMARY, LAST FOUR CALLS</t>
  </si>
  <si>
    <t>Call</t>
  </si>
  <si>
    <t>Q4 2024</t>
  </si>
  <si>
    <t>Q1 2025</t>
  </si>
  <si>
    <t>Q2 2025</t>
  </si>
  <si>
    <t>Q3 2025</t>
  </si>
  <si>
    <t>Q4 2025</t>
  </si>
  <si>
    <t>Q3 FY2026</t>
  </si>
  <si>
    <t>Q4 FY2026</t>
  </si>
  <si>
    <t>Q1 FY2027</t>
  </si>
  <si>
    <t>Q2 FY2027</t>
  </si>
  <si>
    <t>Signals (#)</t>
  </si>
  <si>
    <t>Held</t>
  </si>
  <si>
    <t>Guidance cuts (#)</t>
  </si>
  <si>
    <t>FY revenue guide, low</t>
  </si>
  <si>
    <t>Sale or value questions (#)</t>
  </si>
  <si>
    <t>FY revenue guide, high</t>
  </si>
  <si>
    <t>Buybacks (#)</t>
  </si>
  <si>
    <t>Guide midpoint</t>
  </si>
  <si>
    <t>Management changes (#)</t>
  </si>
  <si>
    <t>Change vs prior call</t>
  </si>
  <si>
    <t>Cautious or defensive calls (#)</t>
  </si>
  <si>
    <t>Guidance action</t>
  </si>
  <si>
    <t>Beat</t>
  </si>
  <si>
    <t>Reset for Enfusion</t>
  </si>
  <si>
    <t>Raised</t>
  </si>
  <si>
    <t>Narrowed</t>
  </si>
  <si>
    <t>Initiated</t>
  </si>
  <si>
    <t>Maintained</t>
  </si>
  <si>
    <t>Sale or value question</t>
  </si>
  <si>
    <t>Buyback to support stock</t>
  </si>
  <si>
    <t>Management change</t>
  </si>
  <si>
    <t>Tone</t>
  </si>
  <si>
    <t>Confident</t>
  </si>
  <si>
    <t>Defensive</t>
  </si>
  <si>
    <t>Neutral</t>
  </si>
  <si>
    <t>Cautious</t>
  </si>
  <si>
    <t>Evidence</t>
  </si>
  <si>
    <t>FY2024 revenue beat the original guide midpoint</t>
  </si>
  <si>
    <t>Combined FY2025 guide $720-728M after Enfusion</t>
  </si>
  <si>
    <t>Guide raised, yet shares fell from $20.42 to $18.79 the next day</t>
  </si>
  <si>
    <t>CEO defends acquisitions' merit; $100M buyback announced 3-Sep-2025 to support the price</t>
  </si>
  <si>
    <t>CFO Bryan Hill's final call; Q4 revenue outlook trimmed</t>
  </si>
  <si>
    <t>New CFO Cassandra Hudson; FY2026 guide 18.5-19.6% growth</t>
  </si>
  <si>
    <t>Inaugural $100M buyback; JANA 13D filed 1-Apr-2026</t>
  </si>
  <si>
    <t>$25M repurchased in Q2-Q3; JANA not addressed on the call</t>
  </si>
  <si>
    <t>Analyst asks about sale speculation; $200M+ repurchased year to date</t>
  </si>
  <si>
    <t>Analyst asks how management will create shareholder value; $235M repurchased in 2025</t>
  </si>
  <si>
    <t>Raised by $1M with prudence for macro uncertainty; Fivespan 13D filed 12-Mar-2026</t>
  </si>
  <si>
    <t>Range held despite FX headwind; buyback increased by $100M</t>
  </si>
  <si>
    <t>Full-year subscription revenue guide raised by $4.5M</t>
  </si>
  <si>
    <t>Accelerated share repurchase launched</t>
  </si>
  <si>
    <t>ASR continues; Q2 guide assumes mortgage weakness</t>
  </si>
  <si>
    <t>$300M repurchased since Apr-2025, authorizations exhausted; Q3 total revenue guide +7%</t>
  </si>
  <si>
    <t>2025 guide raised $53M including Iodine</t>
  </si>
  <si>
    <t>FY2026 guide $1.274-1.294bn</t>
  </si>
  <si>
    <t>Normalized organic growth of about 10%</t>
  </si>
  <si>
    <t>Low end raised $2M; board authorized a buyback in May-2026</t>
  </si>
  <si>
    <t>CEO calls the stock a sound investment choice; active buyer of shares</t>
  </si>
  <si>
    <t>FY2026 organic growth guide 4-4.5%</t>
  </si>
  <si>
    <t>New CFO; 4.5% of shares repurchased in Q1</t>
  </si>
  <si>
    <t>Share count cut about 15% since Q4-2024; long-term targets restated</t>
  </si>
  <si>
    <t>ZyraTalk acquired; marketing technology sale under way</t>
  </si>
  <si>
    <t>Marketing technology unit sold; FY2026 guide $612-632M</t>
  </si>
  <si>
    <t>Guide reiterated; buybacks continue</t>
  </si>
  <si>
    <t>New CEO Alex Goor, a Silver Lake portfolio veteran; $300M authorization nearly used</t>
  </si>
  <si>
    <t>Ranking of the Six Finalists</t>
  </si>
  <si>
    <t>Normalized 0-1 across the six finalists; weights are judgments; catalyst scores are judgments from the filing and call review</t>
  </si>
  <si>
    <t>WEIGHTS</t>
  </si>
  <si>
    <t>Screen fit (traits met)</t>
  </si>
  <si>
    <t>Share price dislocation (price / 52-week high)</t>
  </si>
  <si>
    <t>Take-private feasibility (filing review)</t>
  </si>
  <si>
    <t>Catalyst: sponsor, activist or bidder</t>
  </si>
  <si>
    <t>Paper LBO IRR, exit at entry multiple</t>
  </si>
  <si>
    <t>Paper LBO IRR, exit at unaffected multiple</t>
  </si>
  <si>
    <t>CWAN-style call signals</t>
  </si>
  <si>
    <t>Total weight</t>
  </si>
  <si>
    <t>INPUTS</t>
  </si>
  <si>
    <t>SCORES (0-1) AND RANK</t>
  </si>
  <si>
    <t>Screen fit</t>
  </si>
  <si>
    <t>Dislocation</t>
  </si>
  <si>
    <t>Feasibility score</t>
  </si>
  <si>
    <t>Catalyst</t>
  </si>
  <si>
    <t>Catalyst score (0-3)</t>
  </si>
  <si>
    <t>IRR base</t>
  </si>
  <si>
    <t>IRR base (%)</t>
  </si>
  <si>
    <t>IRR downside</t>
  </si>
  <si>
    <t>IRR downside (%)</t>
  </si>
  <si>
    <t>Call signals</t>
  </si>
  <si>
    <t>Call signals (#)</t>
  </si>
  <si>
    <t>Composite</t>
  </si>
  <si>
    <t>Rank</t>
  </si>
  <si>
    <t>&lt;&lt; JANA 13D (6.3%) plus General Atlantic 18.1%</t>
  </si>
  <si>
    <t>&lt;&lt; Fivespan 13D plus sale-speculation question</t>
  </si>
  <si>
    <t>&lt;&lt; HMI 13D; Insight has exited</t>
  </si>
  <si>
    <t>&lt;&lt; EQT, CPPIB and Bain bloc can sell or roll</t>
  </si>
  <si>
    <t>&lt;&lt; Clearlake bid twice ($71, $80)</t>
  </si>
  <si>
    <t>&lt;&lt; PSG and Silver Lake control; Silver Lake-linked CEO</t>
  </si>
  <si>
    <t>FEASIBILITY SCALE</t>
  </si>
  <si>
    <t>Rating</t>
  </si>
  <si>
    <t>Score</t>
  </si>
  <si>
    <t>Cuts (#)</t>
  </si>
  <si>
    <t>Sale questions (#)</t>
  </si>
  <si>
    <t>Mgmt changes (#)</t>
  </si>
  <si>
    <t>Cautious calls (#)</t>
  </si>
  <si>
    <t>[Deal]-Pattern Take-Private Screen</t>
  </si>
  <si>
    <t>$ in millions except per share; prices and market caps at the pricing-date close; LTM to each company's latest reported quarter</t>
  </si>
  <si>
    <t>[DEAL] AT SIGNING</t>
  </si>
  <si>
    <t>Unaffected share price ($)</t>
  </si>
  <si>
    <t>Latest-quarter revenue ($M)</t>
  </si>
  <si>
    <t>ARR, latest quarter-end ($M)</t>
  </si>
  <si>
    <t>ARR, prior-year quarter-end ($M)</t>
  </si>
  <si>
    <t>Organic ARR, latest quarter-end ($M)</t>
  </si>
  <si>
    <t>Recurring share, ARR / annualized latest-quarter revenue (%)</t>
  </si>
  <si>
    <t>Current-year revenue growth, guidance (%)</t>
  </si>
  <si>
    <t>Current-year Adj. EBITDA, guidance ($M)</t>
  </si>
  <si>
    <t>Current-year Adj. EBITDA margin, guidance (%)</t>
  </si>
  <si>
    <t>Net debt / current-year Adj. EBITDA (x)</t>
  </si>
  <si>
    <t>Lead sponsor stake, first 13G (%)</t>
  </si>
  <si>
    <t>Lead sponsor stake, latest 13G/A (%)</t>
  </si>
  <si>
    <t>Most recent acquisition closed (date)</t>
  </si>
  <si>
    <t>[Deal]</t>
  </si>
  <si>
    <t>Market, pricing date</t>
  </si>
  <si>
    <t>Acquisition since T6 date</t>
  </si>
  <si>
    <t>Paper LBOs: Finalists on [Deal] Take-Private Terms</t>
  </si>
  <si>
    <t>$ in millions except per share; five-year hold, exit at the entry multiple; annual periods; interest on opening debt</t>
  </si>
  <si>
    <t>Offer premium to pricing-date close (%)</t>
  </si>
  <si>
    <t>Initial term loan, [Deal] take-private ($M)</t>
  </si>
  <si>
    <t>[Deal] current-year Adj. EBITDA, guidance ($M)</t>
  </si>
  <si>
    <t>[Deal] deal leverage, term loan / current-year Adj. EBITDA (x)</t>
  </si>
  <si>
    <t>[Deal] existing debt weighted average rate (%)</t>
  </si>
  <si>
    <t>[Deal] existing term loan margin over SOFR (%)</t>
  </si>
  <si>
    <t>Financing fees and OID, fairness opinion illustrative LBO ($M)</t>
  </si>
  <si>
    <t>New debt, fairness opinion illustrative LBO ($M)</t>
  </si>
  <si>
    <t>Transaction fees and expenses, fairness opinion illustrative LBO ($M)</t>
  </si>
  <si>
    <t>Implied TEV, fairness opinion illustrative LBO ($M)</t>
  </si>
  <si>
    <t>Share price, pricing date ($)</t>
  </si>
  <si>
    <t>Premium to pricing-date close (%)</t>
  </si>
  <si>
    <t>Binding constraint (leverage or equity floor)</t>
  </si>
  <si>
    <t>FINALIST 1</t>
  </si>
  <si>
    <t>Debt at [Deal] leverage</t>
  </si>
  <si>
    <t>Debt cap at minimum equity</t>
  </si>
  <si>
    <t>FINALIST 2</t>
  </si>
  <si>
    <t>FINALIST 3</t>
  </si>
  <si>
    <t>FINALIST 4</t>
  </si>
  <si>
    <t>FINALIST 5</t>
  </si>
  <si>
    <t>FINALIST 6</t>
  </si>
  <si>
    <t>The [Deal] rows (first four) are the benchmark: its last four calls before signing; $ in millions; date cells carry the citation for the row's evidence</t>
  </si>
  <si>
    <t>DEAL TERMS ([DEAL] TAKE-PRIVATE)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</si>
</sst>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$#,##0.00"/>
    <numFmt numFmtId="165" formatCode="0.0%"/>
    <numFmt numFmtId="166" formatCode="#,##0.0"/>
    <numFmt numFmtId="167" formatCode="0.0&quot;x&quot;"/>
    <numFmt numFmtId="168" formatCode="#,##0;(#,##0);&quot;–&quot;"/>
    <numFmt numFmtId="169" formatCode="0.0%;(0.0%)"/>
    <numFmt numFmtId="170" formatCode="0.0&quot;x&quot;;(0.0&quot;x&quot;)"/>
    <numFmt numFmtId="171" formatCode="#,##0.0;(#,##0.0);&quot;–&quot;"/>
    <numFmt numFmtId="172" formatCode="&quot;Subst. all&quot;"/>
    <numFmt numFmtId="173" formatCode="0.00&quot;x&quot;"/>
    <numFmt numFmtId="174" formatCode="&quot;Close &quot;mmm-yy"/>
    <numFmt numFmtId="175" formatCode="yyyy&quot;E&quot;"/>
    <numFmt numFmtId="176" formatCode="#,##0;(#,##0)"/>
    <numFmt numFmtId="177" formatCode="0.0"/>
  </numFmts>
  <fonts count="13"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0"/>
      <color rgb="FF646464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u val="singleAccounting"/>
      <sz val="10"/>
      <color rgb="FF000000"/>
      <name val="Arial"/>
      <family val="2"/>
    </font>
    <font>
      <sz val="10"/>
      <color rgb="FF0000FF"/>
      <name val="Arial"/>
      <family val="2"/>
    </font>
    <font>
      <b/>
      <i/>
      <sz val="10"/>
      <color rgb="FF000000"/>
      <name val="Arial"/>
      <family val="2"/>
    </font>
    <font>
      <sz val="10"/>
      <color rgb="FF008000"/>
      <name val="Arial"/>
      <family val="2"/>
    </font>
    <font>
      <i/>
      <sz val="10"/>
      <color rgb="FF008000"/>
      <name val="Arial"/>
      <family val="2"/>
    </font>
    <font>
      <i/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E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</borders>
  <cellStyleXfs count="1">
    <xf borderId="0" fillId="0" fontId="0" numFmtId="0" applyAlignment="1" applyFont="1" applyFill="1"/>
  </cellStyleXfs>
  <cellXfs count="128">
    <xf xfId="0" borderId="0" fillId="0" fontId="0" numFmtId="0"/>
    <xf xfId="0" borderId="0" fillId="0" fontId="1" numFmtId="0" applyFont="1"/>
    <xf xfId="0" borderId="0" fillId="0" fontId="2" numFmtId="0" applyFont="1"/>
    <xf xfId="0" borderId="0" fillId="0" fontId="3" numFmtId="0" applyFont="1"/>
    <xf xfId="0" borderId="0" fillId="0" fontId="4" numFmtId="0" applyFont="1"/>
    <xf xfId="0" borderId="0" fillId="2" fontId="6" numFmtId="0" applyFont="1" applyFill="1"/>
    <xf xfId="0" borderId="1" fillId="0" fontId="1" numFmtId="0" applyFont="1"/>
    <xf xfId="0" borderId="1" fillId="0" fontId="1" numFmtId="0" applyAlignment="1" applyFont="1">
      <alignment horizontal="right"/>
    </xf>
    <xf xfId="0" borderId="0" fillId="0" fontId="7" numFmtId="0" applyAlignment="1" applyFont="1">
      <alignment horizontal="centerContinuous"/>
    </xf>
    <xf xfId="0" borderId="0" fillId="0" fontId="0" numFmtId="164"/>
    <xf xfId="0" borderId="0" fillId="0" fontId="0" numFmtId="165"/>
    <xf xfId="0" borderId="0" fillId="0" fontId="0" numFmtId="3"/>
    <xf xfId="0" borderId="0" fillId="0" fontId="0" numFmtId="166"/>
    <xf xfId="0" borderId="0" fillId="0" fontId="0" numFmtId="167"/>
    <xf xfId="0" borderId="0" fillId="0" fontId="0" numFmtId="15"/>
    <xf xfId="0" borderId="0" fillId="0" fontId="0" numFmtId="1"/>
    <xf xfId="0" borderId="0" fillId="0" fontId="0" numFmtId="0" applyAlignment="1">
      <alignment horizontal="right"/>
    </xf>
    <xf xfId="0" borderId="0" fillId="0" fontId="0" numFmtId="1" applyAlignment="1">
      <alignment horizontal="right"/>
    </xf>
    <xf xfId="0" borderId="0" fillId="0" fontId="0" numFmtId="3" applyAlignment="1">
      <alignment horizontal="right"/>
    </xf>
    <xf xfId="0" borderId="0" fillId="0" fontId="0" numFmtId="165" applyAlignment="1">
      <alignment horizontal="right"/>
    </xf>
    <xf xfId="0" borderId="0" fillId="0" fontId="0" numFmtId="167" applyAlignment="1">
      <alignment horizontal="right"/>
    </xf>
    <xf xfId="0" borderId="0" fillId="0" fontId="0" numFmtId="15" applyAlignment="1">
      <alignment horizontal="right"/>
    </xf>
    <xf xfId="0" borderId="0" fillId="0" fontId="0" numFmtId="170"/>
    <xf xfId="0" borderId="0" fillId="0" fontId="0" numFmtId="171"/>
    <xf xfId="0" borderId="0" fillId="0" fontId="0" numFmtId="168" applyAlignment="1">
      <alignment horizontal="right"/>
    </xf>
    <xf xfId="0" borderId="0" fillId="0" fontId="0" numFmtId="169" applyAlignment="1">
      <alignment horizontal="right"/>
    </xf>
    <xf xfId="0" borderId="0" fillId="0" fontId="0" numFmtId="170" applyAlignment="1">
      <alignment horizontal="right"/>
    </xf>
    <xf xfId="0" borderId="0" fillId="0" fontId="0" numFmtId="164" applyAlignment="1">
      <alignment horizontal="right"/>
    </xf>
    <xf xfId="0" borderId="0" fillId="0" fontId="0" numFmtId="171" applyAlignment="1">
      <alignment horizontal="right"/>
    </xf>
    <xf xfId="0" borderId="0" fillId="0" fontId="8" numFmtId="164" applyFont="1"/>
    <xf xfId="0" borderId="0" fillId="0" fontId="8" numFmtId="3" applyFont="1"/>
    <xf xfId="0" borderId="0" fillId="0" fontId="8" numFmtId="166" applyFont="1"/>
    <xf xfId="0" borderId="0" fillId="0" fontId="8" numFmtId="165" applyFont="1"/>
    <xf xfId="0" borderId="0" fillId="0" fontId="8" numFmtId="167" applyFont="1"/>
    <xf xfId="0" borderId="0" fillId="0" fontId="8" numFmtId="15" applyFont="1"/>
    <xf xfId="0" borderId="0" fillId="0" fontId="8" numFmtId="15" applyAlignment="1" applyFont="1">
      <alignment horizontal="right"/>
    </xf>
    <xf xfId="0" borderId="0" fillId="0" fontId="8" numFmtId="168" applyAlignment="1" applyFont="1">
      <alignment horizontal="right"/>
    </xf>
    <xf xfId="0" borderId="0" fillId="0" fontId="8" numFmtId="164" applyAlignment="1" applyFont="1">
      <alignment horizontal="right"/>
    </xf>
    <xf xfId="0" borderId="0" fillId="0" fontId="8" numFmtId="169" applyAlignment="1" applyFont="1">
      <alignment horizontal="right"/>
    </xf>
    <xf xfId="0" borderId="0" fillId="0" fontId="8" numFmtId="171" applyAlignment="1" applyFont="1">
      <alignment horizontal="right"/>
    </xf>
    <xf xfId="0" borderId="0" fillId="0" fontId="8" numFmtId="171" applyFont="1"/>
    <xf xfId="0" borderId="0" fillId="0" fontId="8" numFmtId="172" applyFont="1"/>
    <xf xfId="0" borderId="0" fillId="3" fontId="8" numFmtId="1" applyFont="1" applyFill="1"/>
    <xf xfId="0" borderId="0" fillId="3" fontId="8" numFmtId="3" applyAlignment="1" applyFont="1" applyFill="1">
      <alignment horizontal="right"/>
    </xf>
    <xf xfId="0" borderId="0" fillId="3" fontId="8" numFmtId="165" applyAlignment="1" applyFont="1" applyFill="1">
      <alignment horizontal="right"/>
    </xf>
    <xf xfId="0" borderId="0" fillId="3" fontId="8" numFmtId="167" applyAlignment="1" applyFont="1" applyFill="1">
      <alignment horizontal="right"/>
    </xf>
    <xf xfId="0" borderId="0" fillId="3" fontId="8" numFmtId="15" applyAlignment="1" applyFont="1" applyFill="1">
      <alignment horizontal="right"/>
    </xf>
    <xf xfId="0" borderId="0" fillId="3" fontId="8" numFmtId="1" applyAlignment="1" applyFont="1" applyFill="1">
      <alignment horizontal="right"/>
    </xf>
    <xf xfId="0" borderId="0" fillId="0" fontId="1" numFmtId="0" applyAlignment="1" applyFont="1">
      <alignment horizontal="right"/>
    </xf>
    <xf xfId="0" borderId="0" fillId="0" fontId="0" numFmtId="0" applyAlignment="1"/>
    <xf xfId="0" borderId="1" fillId="0" fontId="1" numFmtId="0" applyAlignment="1" applyFont="1"/>
    <xf xfId="0" borderId="0" fillId="0" fontId="0" numFmtId="0" applyAlignment="1">
      <alignment horizontal="left"/>
    </xf>
    <xf xfId="0" borderId="0" fillId="0" fontId="0" numFmtId="10"/>
    <xf xfId="0" borderId="0" fillId="0" fontId="0" numFmtId="173"/>
    <xf xfId="0" borderId="0" fillId="0" fontId="1" numFmtId="167" applyFont="1"/>
    <xf xfId="0" borderId="0" fillId="0" fontId="1" numFmtId="3" applyFont="1"/>
    <xf xfId="0" borderId="2" fillId="0" fontId="1" numFmtId="0" applyFont="1"/>
    <xf xfId="0" borderId="2" fillId="0" fontId="1" numFmtId="165" applyFont="1"/>
    <xf xfId="0" borderId="0" fillId="0" fontId="3" numFmtId="165" applyFont="1"/>
    <xf xfId="0" borderId="1" fillId="0" fontId="1" numFmtId="167" applyFont="1"/>
    <xf xfId="0" borderId="0" fillId="3" fontId="8" numFmtId="165" applyFont="1" applyFill="1"/>
    <xf xfId="0" borderId="1" fillId="0" fontId="1" numFmtId="3" applyFont="1"/>
    <xf xfId="0" borderId="1" fillId="0" fontId="1" numFmtId="165" applyFont="1"/>
    <xf xfId="0" borderId="1" fillId="0" fontId="1" numFmtId="173" applyFont="1"/>
    <xf xfId="0" borderId="0" fillId="0" fontId="7" numFmtId="0" applyAlignment="1" applyFont="1">
      <alignment horizontal="right"/>
    </xf>
    <xf xfId="0" borderId="0" fillId="0" fontId="7" numFmtId="174" applyAlignment="1" applyFont="1">
      <alignment horizontal="right"/>
    </xf>
    <xf xfId="0" borderId="0" fillId="0" fontId="7" numFmtId="175" applyAlignment="1" applyFont="1">
      <alignment horizontal="right"/>
    </xf>
    <xf xfId="0" borderId="0" fillId="0" fontId="9" numFmtId="0" applyFont="1"/>
    <xf xfId="0" borderId="0" fillId="0" fontId="0" numFmtId="176"/>
    <xf xfId="0" borderId="2" fillId="0" fontId="1" numFmtId="176" applyFont="1"/>
    <xf xfId="0" borderId="2" fillId="0" fontId="1" numFmtId="3" applyFont="1"/>
    <xf xfId="0" borderId="0" fillId="0" fontId="0" numFmtId="0" applyAlignment="1">
      <alignment indent="1"/>
    </xf>
    <xf xfId="0" borderId="0" fillId="0" fontId="3" numFmtId="166" applyFont="1"/>
    <xf xfId="0" borderId="0" fillId="0" fontId="10" numFmtId="3" applyFont="1"/>
    <xf xfId="0" borderId="0" fillId="0" fontId="8" numFmtId="10" applyFont="1"/>
    <xf xfId="0" borderId="0" fillId="0" fontId="8" numFmtId="9" applyFont="1"/>
    <xf xfId="0" borderId="0" fillId="0" fontId="11" numFmtId="165" applyFont="1"/>
    <xf xfId="0" borderId="0" fillId="0" fontId="12" numFmtId="165" applyFont="1"/>
    <xf xfId="0" borderId="0" fillId="0" fontId="12" numFmtId="166" applyFont="1"/>
    <xf xfId="0" borderId="0" fillId="3" fontId="8" numFmtId="9" applyFont="1" applyFill="1"/>
    <xf xfId="0" borderId="0" fillId="3" fontId="8" numFmtId="3" applyFont="1" applyFill="1"/>
    <xf xfId="0" borderId="0" fillId="3" fontId="8" numFmtId="15" applyFont="1" applyFill="1"/>
    <xf xfId="0" borderId="0" fillId="0" fontId="10" numFmtId="1" applyFont="1"/>
    <xf xfId="0" borderId="0" fillId="0" fontId="10" numFmtId="165" applyFont="1"/>
    <xf xfId="0" borderId="0" fillId="0" fontId="12" numFmtId="15" applyFont="1"/>
    <xf xfId="0" borderId="2" fillId="0" fontId="3" numFmtId="0" applyFont="1"/>
    <xf xfId="0" borderId="2" fillId="0" fontId="11" numFmtId="1" applyFont="1"/>
    <xf xfId="0" borderId="2" fillId="0" fontId="11" numFmtId="165" applyFont="1"/>
    <xf xfId="0" borderId="2" fillId="0" fontId="11" numFmtId="3" applyFont="1"/>
    <xf xfId="0" borderId="2" fillId="0" fontId="12" numFmtId="165" applyFont="1"/>
    <xf xfId="0" borderId="2" fillId="0" fontId="3" numFmtId="15" applyFont="1"/>
    <xf xfId="0" borderId="2" fillId="0" fontId="3" numFmtId="165" applyFont="1"/>
    <xf xfId="0" borderId="2" fillId="0" fontId="12" numFmtId="15" applyFont="1"/>
    <xf xfId="0" borderId="1" fillId="0" fontId="0" numFmtId="0"/>
    <xf xfId="0" borderId="1" fillId="0" fontId="8" numFmtId="15" applyFont="1"/>
    <xf xfId="0" borderId="1" fillId="0" fontId="8" numFmtId="166" applyFont="1"/>
    <xf xfId="0" borderId="1" fillId="0" fontId="0" numFmtId="166"/>
    <xf xfId="0" borderId="1" fillId="0" fontId="0" numFmtId="171"/>
    <xf xfId="0" borderId="1" fillId="0" fontId="0" numFmtId="0" applyAlignment="1">
      <alignment horizontal="right"/>
    </xf>
    <xf xfId="0" borderId="1" fillId="0" fontId="0" numFmtId="1"/>
    <xf xfId="0" borderId="0" fillId="0" fontId="3" numFmtId="171" applyFont="1"/>
    <xf xfId="0" borderId="0" fillId="0" fontId="3" numFmtId="0" applyAlignment="1" applyFont="1">
      <alignment horizontal="right"/>
    </xf>
    <xf xfId="0" borderId="0" fillId="0" fontId="3" numFmtId="1" applyFont="1"/>
    <xf xfId="0" borderId="1" fillId="0" fontId="3" numFmtId="0" applyFont="1"/>
    <xf xfId="0" borderId="1" fillId="0" fontId="12" numFmtId="15" applyFont="1"/>
    <xf xfId="0" borderId="1" fillId="0" fontId="12" numFmtId="166" applyFont="1"/>
    <xf xfId="0" borderId="1" fillId="0" fontId="3" numFmtId="166" applyFont="1"/>
    <xf xfId="0" borderId="1" fillId="0" fontId="3" numFmtId="171" applyFont="1"/>
    <xf xfId="0" borderId="1" fillId="0" fontId="3" numFmtId="0" applyAlignment="1" applyFont="1">
      <alignment horizontal="right"/>
    </xf>
    <xf xfId="0" borderId="1" fillId="0" fontId="3" numFmtId="1" applyFont="1"/>
    <xf xfId="0" borderId="2" fillId="0" fontId="1" numFmtId="9" applyFont="1"/>
    <xf xfId="0" borderId="0" fillId="0" fontId="0" numFmtId="177"/>
    <xf xfId="0" borderId="0" fillId="0" fontId="0" numFmtId="2"/>
    <xf xfId="0" borderId="0" fillId="0" fontId="10" numFmtId="0" applyAlignment="1" applyFont="1">
      <alignment horizontal="right"/>
    </xf>
    <xf xfId="0" borderId="0" fillId="3" fontId="8" numFmtId="177" applyFont="1" applyFill="1"/>
    <xf xfId="0" borderId="0" fillId="0" fontId="1" numFmtId="2" applyFont="1"/>
    <xf xfId="0" borderId="0" fillId="0" fontId="1" numFmtId="1" applyFont="1"/>
    <xf xfId="0" borderId="2" fillId="0" fontId="0" numFmtId="0"/>
    <xf xfId="0" borderId="2" fillId="0" fontId="10" numFmtId="1" applyFont="1"/>
    <xf xfId="0" borderId="2" fillId="0" fontId="10" numFmtId="165" applyFont="1"/>
    <xf xfId="0" borderId="2" fillId="0" fontId="10" numFmtId="3" applyFont="1"/>
    <xf xfId="0" borderId="2" fillId="0" fontId="8" numFmtId="165" applyFont="1"/>
    <xf xfId="0" borderId="2" fillId="0" fontId="0" numFmtId="15"/>
    <xf xfId="0" borderId="2" fillId="0" fontId="0" numFmtId="165"/>
    <xf xfId="0" borderId="2" fillId="0" fontId="8" numFmtId="15" applyFont="1"/>
    <xf xfId="0" borderId="0" fillId="0" fontId="3" numFmtId="165" applyFont="1"/>
    <xf xfId="0" borderId="0" fillId="0" fontId="12" numFmtId="165" applyFont="1"/>
    <xf xfId="0" borderId="0" fillId="0" fontId="8" numFmtId="165" applyFont="1"/>
  </cellXfs>
  <cellStyles count="1">
    <cellStyle xfId="0" name="normal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O142"/>
  <sheetViews>
    <sheetView showGridLines="0" tabSelected="1" workbookViewId="0">
      <pane xSplit="3" topLeftCell="D1" activePane="topRight" state="frozen"/>
      <selection pane="topRight" activeCell="A1" sqref="A1"/>
    </sheetView>
  </sheetViews>
  <cols>
    <col min="1" max="1" width="2.21875" customWidth="1"/>
    <col min="2" max="2" width="54" customWidth="1"/>
    <col min="3" max="3" width="10" customWidth="1"/>
    <col min="4" max="4" width="36" customWidth="1"/>
    <col min="5" max="6" width="10" customWidth="1"/>
    <col min="7" max="7" width="21" customWidth="1"/>
    <col min="8" max="8" width="12" customWidth="1"/>
    <col min="9" max="9" width="18" customWidth="1"/>
    <col min="10" max="11" width="10" customWidth="1"/>
    <col min="12" max="12" width="13" customWidth="1"/>
    <col min="13" max="13" width="12" customWidth="1"/>
    <col min="14" max="14" width="14" customWidth="1"/>
    <col min="15" max="15" width="16" customWidth="1"/>
    <col min="16" max="16" width="17" customWidth="1"/>
    <col min="17" max="18" width="10" customWidth="1"/>
    <col min="19" max="19" width="23" customWidth="1"/>
    <col min="20" max="20" width="12" customWidth="1"/>
    <col min="21" max="21" width="10" customWidth="1"/>
    <col min="22" max="22" width="11" customWidth="1"/>
    <col min="23" max="23" width="18" customWidth="1"/>
    <col min="24" max="24" width="11" customWidth="1"/>
    <col min="25" max="25" width="18" customWidth="1"/>
    <col min="26" max="26" width="15" customWidth="1"/>
    <col min="27" max="27" width="36" customWidth="1"/>
    <col min="28" max="28" width="24" customWidth="1"/>
    <col min="29" max="29" width="40" customWidth="1"/>
    <col min="30" max="30" width="20" customWidth="1"/>
    <col min="31" max="31" width="10" customWidth="1"/>
    <col min="32" max="32" width="14" customWidth="1"/>
    <col min="33" max="33" width="10" customWidth="1"/>
    <col min="34" max="35" width="11" customWidth="1"/>
    <col min="36" max="36" width="13" customWidth="1"/>
    <col min="37" max="37" width="12" customWidth="1"/>
    <col min="38" max="38" width="10" customWidth="1"/>
    <col min="39" max="39" width="12" customWidth="1"/>
    <col min="40" max="40" width="10" customWidth="1"/>
    <col min="41" max="41" width="12" customWidth="1"/>
  </cols>
  <sheetData>
    <row r="2">
      <c r="B2" t="s" s="2">
        <v>712</v>
      </c>
    </row>
    <row r="3">
      <c r="B3" t="s" s="4">
        <v>713</v>
      </c>
    </row>
    <row r="5">
      <c r="B5" t="s" s="5">
        <v>714</v>
      </c>
      <c r="C5" s="5"/>
      <c r="D5" s="5"/>
      <c r="E5" s="5"/>
    </row>
    <row r="6">
      <c r="C6" t="s" s="6">
        <v>37</v>
      </c>
    </row>
    <row r="7">
      <c r="B7" t="s">
        <v>3</v>
      </c>
      <c r="C7" s="29"/>
      <c r="E7" s="4"/>
    </row>
    <row r="8">
      <c r="B8" t="s">
        <v>715</v>
      </c>
      <c r="C8" s="29"/>
      <c r="E8" s="4"/>
    </row>
    <row r="9">
      <c r="B9" t="s">
        <v>5</v>
      </c>
      <c r="C9" t="e" s="10">
        <f>C7/C8-1</f>
        <v>#DIV/0!</v>
      </c>
      <c r="E9" s="4"/>
    </row>
    <row r="10">
      <c r="B10" t="s">
        <v>6</v>
      </c>
      <c r="C10" s="29"/>
      <c r="E10" s="4"/>
    </row>
    <row r="11">
      <c r="B11" t="s">
        <v>7</v>
      </c>
      <c r="C11" t="e" s="10">
        <f>C8/C10</f>
        <v>#DIV/0!</v>
      </c>
      <c r="E11" s="4"/>
    </row>
    <row r="12">
      <c r="B12" t="s">
        <v>8</v>
      </c>
      <c r="C12" s="30"/>
      <c r="E12" s="4"/>
    </row>
    <row r="13">
      <c r="B13" t="s">
        <v>9</v>
      </c>
      <c r="C13" s="30"/>
      <c r="E13" s="4"/>
    </row>
    <row r="14">
      <c r="B14" t="s">
        <v>716</v>
      </c>
      <c r="C14" s="31"/>
      <c r="E14" s="4"/>
    </row>
    <row r="15">
      <c r="B15" t="s">
        <v>717</v>
      </c>
      <c r="C15" s="31"/>
      <c r="E15" s="4"/>
    </row>
    <row r="16">
      <c r="B16" t="s">
        <v>718</v>
      </c>
      <c r="C16" s="31"/>
      <c r="E16" s="4"/>
    </row>
    <row r="17">
      <c r="B17" t="s">
        <v>719</v>
      </c>
      <c r="C17" s="31"/>
      <c r="E17" s="4"/>
    </row>
    <row r="18">
      <c r="B18" t="s">
        <v>720</v>
      </c>
      <c r="C18" t="e" s="10">
        <f>C15/(C14*C27)</f>
        <v>#DIV/0!</v>
      </c>
      <c r="E18" s="4"/>
    </row>
    <row r="19">
      <c r="B19" t="s">
        <v>15</v>
      </c>
      <c r="C19" t="e" s="10">
        <f>C17/C16-1</f>
        <v>#DIV/0!</v>
      </c>
      <c r="E19" s="4"/>
    </row>
    <row r="20">
      <c r="B20" t="s">
        <v>721</v>
      </c>
      <c r="C20" s="32"/>
      <c r="E20" s="4"/>
    </row>
    <row r="21">
      <c r="B21" t="s">
        <v>722</v>
      </c>
      <c r="C21" s="30"/>
      <c r="E21" s="4"/>
    </row>
    <row r="22">
      <c r="B22" t="s">
        <v>723</v>
      </c>
      <c r="C22" s="32"/>
      <c r="E22" s="4"/>
    </row>
    <row r="23">
      <c r="B23" t="s">
        <v>724</v>
      </c>
      <c r="C23" s="33"/>
      <c r="E23" s="4"/>
    </row>
    <row r="24">
      <c r="B24" t="s">
        <v>725</v>
      </c>
      <c r="C24" s="32"/>
      <c r="E24" s="4"/>
    </row>
    <row r="25">
      <c r="B25" t="s">
        <v>726</v>
      </c>
      <c r="C25" s="32"/>
      <c r="E25" s="4"/>
    </row>
    <row r="26">
      <c r="B26" t="s">
        <v>727</v>
      </c>
      <c r="C26" s="34"/>
      <c r="E26" s="4"/>
    </row>
    <row r="27">
      <c r="B27" t="s">
        <v>56</v>
      </c>
      <c r="C27" s="42"/>
    </row>
    <row r="28">
      <c r="B28" t="s" s="5">
        <v>23</v>
      </c>
      <c r="C28" s="5"/>
      <c r="D28" s="5"/>
      <c r="E28" s="5"/>
      <c r="F28" s="5"/>
    </row>
    <row r="29">
      <c r="B29" t="s" s="6">
        <v>24</v>
      </c>
      <c r="C29" t="s" s="7">
        <v>728</v>
      </c>
      <c r="D29" t="s" s="7">
        <v>40</v>
      </c>
      <c r="E29" t="s" s="7">
        <v>50</v>
      </c>
      <c r="F29" t="s" s="7">
        <v>55</v>
      </c>
    </row>
    <row r="30">
      <c r="B30" t="s">
        <v>25</v>
      </c>
      <c r="C30" s="16"/>
      <c r="D30" s="16"/>
      <c r="E30" t="s" s="16">
        <v>51</v>
      </c>
      <c r="F30" s="17">
        <f>COUNTA($C$46:$C$122)</f>
        <v>0</v>
      </c>
    </row>
    <row r="31">
      <c r="B31" t="s">
        <v>26</v>
      </c>
      <c r="C31" s="18">
        <f>C12</f>
        <v>0</v>
      </c>
      <c r="D31" s="43"/>
      <c r="E31" t="s" s="16">
        <v>51</v>
      </c>
      <c r="F31" s="17">
        <f>SUM($AE$46:$AE$122)</f>
        <v>0</v>
      </c>
    </row>
    <row r="32">
      <c r="B32" t="s">
        <v>27</v>
      </c>
      <c r="C32" s="18">
        <f>C12</f>
        <v>0</v>
      </c>
      <c r="D32" s="43"/>
      <c r="E32" t="s" s="16">
        <v>51</v>
      </c>
      <c r="F32" s="17"/>
    </row>
    <row r="33">
      <c r="B33" t="s">
        <v>28</v>
      </c>
      <c r="C33" t="e" s="19">
        <f>C18</f>
        <v>#DIV/0!</v>
      </c>
      <c r="D33" s="44"/>
      <c r="E33" t="s" s="16">
        <v>51</v>
      </c>
      <c r="F33" t="e" s="17">
        <f>SUM($AF$46:$AF$122)</f>
        <v>#DIV/0!</v>
      </c>
    </row>
    <row r="34">
      <c r="B34" t="s">
        <v>29</v>
      </c>
      <c r="C34" t="e" s="19">
        <f>C11</f>
        <v>#DIV/0!</v>
      </c>
      <c r="D34" s="44"/>
      <c r="E34" t="s" s="16">
        <v>52</v>
      </c>
      <c r="F34" s="17">
        <f>SUM($AG$46:$AG$122)</f>
        <v>0</v>
      </c>
    </row>
    <row r="35">
      <c r="B35" t="s">
        <v>30</v>
      </c>
      <c r="C35" t="e" s="19">
        <f>C19</f>
        <v>#DIV/0!</v>
      </c>
      <c r="D35" s="44"/>
      <c r="E35" t="s" s="16">
        <v>53</v>
      </c>
      <c r="F35" s="17">
        <f>SUM($AH$46:$AH$122)</f>
        <v>0</v>
      </c>
    </row>
    <row r="36">
      <c r="B36" t="s">
        <v>31</v>
      </c>
      <c r="C36" s="19">
        <f>C22</f>
        <v>0</v>
      </c>
      <c r="D36" s="44"/>
      <c r="E36" t="s" s="16">
        <v>53</v>
      </c>
      <c r="F36" s="17">
        <f>SUM($AI$46:$AI$122)</f>
        <v>0</v>
      </c>
    </row>
    <row r="37">
      <c r="B37" t="s">
        <v>32</v>
      </c>
      <c r="C37" s="20">
        <f>C23</f>
        <v>0</v>
      </c>
      <c r="D37" s="45"/>
      <c r="E37" t="s" s="16">
        <v>53</v>
      </c>
      <c r="F37" s="17">
        <f>SUM($AJ$46:$AJ$122)</f>
        <v>0</v>
      </c>
    </row>
    <row r="38">
      <c r="B38" t="s">
        <v>33</v>
      </c>
      <c r="C38" s="19">
        <f>C24</f>
        <v>0</v>
      </c>
      <c r="D38" s="44"/>
      <c r="E38" t="s" s="16">
        <v>53</v>
      </c>
      <c r="F38" s="17">
        <f>SUM($AK$46:$AK$122)</f>
        <v>77</v>
      </c>
    </row>
    <row r="39">
      <c r="B39" t="s">
        <v>34</v>
      </c>
      <c r="C39" s="21">
        <f>C26</f>
        <v>0</v>
      </c>
      <c r="D39" s="46"/>
      <c r="E39" t="s" s="16">
        <v>53</v>
      </c>
      <c r="F39" s="17">
        <f>SUM($AL$46:$AL$122)</f>
        <v>0</v>
      </c>
    </row>
    <row r="40">
      <c r="B40" t="s">
        <v>35</v>
      </c>
      <c r="C40" t="e" s="17">
        <f>(C19&gt;=D35)+(C22&gt;=D36)+(C23&lt;=D37)+(C24&gt;=D38)+(C26&gt;=D39)</f>
        <v>#DIV/0!</v>
      </c>
      <c r="D40" s="47"/>
      <c r="E40" t="s" s="16">
        <v>54</v>
      </c>
      <c r="F40" s="17"/>
    </row>
    <row r="41">
      <c r="B41" t="s">
        <v>36</v>
      </c>
      <c r="C41" s="16"/>
      <c r="D41" s="16"/>
      <c r="E41" s="16"/>
      <c r="F41" s="17">
        <f>COUNTIF($AN$46:$AN$122,"Pass")</f>
        <v>0</v>
      </c>
    </row>
    <row r="43">
      <c r="B43" t="s" s="5">
        <v>57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</row>
    <row r="44">
      <c r="B44" s="49"/>
      <c r="C44" s="49"/>
      <c r="D44" s="49"/>
      <c r="E44" s="49"/>
      <c r="F44" t="s" s="8">
        <v>278</v>
      </c>
      <c r="G44" s="8"/>
      <c r="H44" s="8"/>
      <c r="I44" s="8"/>
      <c r="J44" s="8"/>
      <c r="K44" s="8"/>
      <c r="L44" s="8"/>
      <c r="M44" s="8"/>
      <c r="N44" t="s" s="8">
        <v>287</v>
      </c>
      <c r="O44" s="8"/>
      <c r="P44" s="8"/>
      <c r="Q44" s="8"/>
      <c r="R44" s="8"/>
      <c r="S44" s="8"/>
      <c r="T44" t="s" s="8">
        <v>729</v>
      </c>
      <c r="U44" s="8"/>
      <c r="V44" s="8"/>
      <c r="W44" s="8"/>
      <c r="X44" s="8"/>
      <c r="Y44" s="8"/>
      <c r="Z44" t="s" s="8">
        <v>301</v>
      </c>
      <c r="AA44" s="8"/>
      <c r="AB44" s="8"/>
      <c r="AC44" s="8"/>
      <c r="AD44" s="8"/>
      <c r="AE44" t="s" s="8">
        <v>342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</row>
    <row r="45">
      <c r="B45" t="s" s="50">
        <v>58</v>
      </c>
      <c r="C45" t="s" s="50">
        <v>136</v>
      </c>
      <c r="D45" t="s" s="50">
        <v>214</v>
      </c>
      <c r="E45" t="s" s="7">
        <v>277</v>
      </c>
      <c r="F45" t="s" s="7">
        <v>279</v>
      </c>
      <c r="G45" t="s" s="7">
        <v>280</v>
      </c>
      <c r="H45" t="s" s="7">
        <v>281</v>
      </c>
      <c r="I45" t="s" s="7">
        <v>282</v>
      </c>
      <c r="J45" t="s" s="7">
        <v>283</v>
      </c>
      <c r="K45" t="s" s="7">
        <v>284</v>
      </c>
      <c r="L45" t="s" s="7">
        <v>285</v>
      </c>
      <c r="M45" t="s" s="7">
        <v>286</v>
      </c>
      <c r="N45" t="s" s="7">
        <v>288</v>
      </c>
      <c r="O45" t="s" s="7">
        <v>289</v>
      </c>
      <c r="P45" t="s" s="7">
        <v>290</v>
      </c>
      <c r="Q45" t="s" s="7">
        <v>291</v>
      </c>
      <c r="R45" t="s" s="7">
        <v>292</v>
      </c>
      <c r="S45" t="s" s="7">
        <v>293</v>
      </c>
      <c r="T45" t="s" s="7">
        <v>295</v>
      </c>
      <c r="U45" t="s" s="7">
        <v>296</v>
      </c>
      <c r="V45" t="s" s="7">
        <v>297</v>
      </c>
      <c r="W45" t="s" s="7">
        <v>298</v>
      </c>
      <c r="X45" t="s" s="7">
        <v>299</v>
      </c>
      <c r="Y45" t="s" s="7">
        <v>300</v>
      </c>
      <c r="Z45" t="s" s="7">
        <v>302</v>
      </c>
      <c r="AA45" t="s" s="7">
        <v>306</v>
      </c>
      <c r="AB45" t="s" s="7">
        <v>327</v>
      </c>
      <c r="AC45" t="s" s="7">
        <v>730</v>
      </c>
      <c r="AD45" t="s" s="7">
        <v>341</v>
      </c>
      <c r="AE45" t="s" s="7">
        <v>343</v>
      </c>
      <c r="AF45" t="s" s="7">
        <v>344</v>
      </c>
      <c r="AG45" t="s" s="7">
        <v>345</v>
      </c>
      <c r="AH45" t="s" s="7">
        <v>346</v>
      </c>
      <c r="AI45" t="s" s="7">
        <v>347</v>
      </c>
      <c r="AJ45" t="s" s="7">
        <v>348</v>
      </c>
      <c r="AK45" t="s" s="7">
        <v>349</v>
      </c>
      <c r="AL45" t="s" s="7">
        <v>350</v>
      </c>
      <c r="AM45" t="s" s="7">
        <v>351</v>
      </c>
      <c r="AN45" t="s" s="7">
        <v>352</v>
      </c>
      <c r="AO45" t="s" s="7">
        <v>353</v>
      </c>
    </row>
    <row r="46">
      <c r="B46"/>
      <c r="E46" s="35"/>
      <c r="F46" s="36"/>
      <c r="G46" s="36"/>
      <c r="H46" t="str" s="25">
        <f>IF(N(G46)&gt;0,F46/G46-1,"n.a.")</f>
        <v>n.a.</v>
      </c>
      <c r="I46" s="36"/>
      <c r="J46" s="36"/>
      <c r="K46" s="36"/>
      <c r="L46" s="24">
        <f>SUM(I46:K46)</f>
        <v>0</v>
      </c>
      <c r="M46" t="str" s="25">
        <f>IF(F46&gt;0,L46/F46,"n.a.")</f>
        <v>n.a.</v>
      </c>
      <c r="N46" s="24"/>
      <c r="O46" s="36"/>
      <c r="P46" s="24"/>
      <c r="Q46" s="36"/>
      <c r="R46" s="24">
        <f>SUM(N46:P46)-Q46</f>
        <v>0</v>
      </c>
      <c r="S46" t="str" s="26">
        <f>IF(L46&gt;0,R46/L46,"NM")</f>
        <v>NM</v>
      </c>
      <c r="T46" s="36"/>
      <c r="U46" t="str" s="24">
        <f>IF(N(T46)&gt;0,T46+R46,"n.a.")</f>
        <v>n.a.</v>
      </c>
      <c r="V46" s="37"/>
      <c r="W46" s="37"/>
      <c r="X46" s="35"/>
      <c r="Y46" t="str" s="25">
        <f>IF(N(W46)&gt;0,V46/W46,"n.a.")</f>
        <v>n.a.</v>
      </c>
      <c r="Z46" t="e" s="25">
        <f>K127</f>
        <v>#DIV/0!</v>
      </c>
      <c r="AA46" s="51"/>
      <c r="AB46" s="38"/>
      <c r="AC46" s="51"/>
      <c r="AD46" s="39"/>
      <c r="AE46" s="17">
        <f>IF(AND(ISNUMBER(U46),N(U46)&gt;=$D$31,N(U46)&lt;=$D$32),1,0)</f>
        <v>0</v>
      </c>
      <c r="AF46" t="e" s="17">
        <f>IF(AND(ISNUMBER(Z46),N(Z46)&gt;=$D$33),1,0)</f>
        <v>#DIV/0!</v>
      </c>
      <c r="AG46" s="17">
        <f>IF(AND(ISNUMBER(Y46),N(Y46)&lt;=$D$34),1,0)</f>
        <v>0</v>
      </c>
      <c r="AH46" s="17">
        <f>IF(AND(ISNUMBER(H46),N(H46)&gt;=$D$35),1,0)</f>
        <v>0</v>
      </c>
      <c r="AI46" s="17">
        <f>IF(AND(ISNUMBER(M46),N(M46)&gt;=$D$36),1,0)</f>
        <v>0</v>
      </c>
      <c r="AJ46" s="17">
        <f>IF(AND(ISNUMBER(S46),N(S46)&lt;=$D$37),1,0)</f>
        <v>0</v>
      </c>
      <c r="AK46" s="17">
        <f>IF(N(AB46)&gt;=$D$38,1,0)</f>
        <v>1</v>
      </c>
      <c r="AL46" s="17">
        <f>IF(N(AD46)&gt;0,1,0)</f>
        <v>0</v>
      </c>
      <c r="AM46" s="17">
        <f>SUM(AH46:AL46)</f>
        <v>1</v>
      </c>
      <c r="AN46" t="e" s="16">
        <f>IF(AND(AE46=1,AF46=1,AG46=1,AM46&gt;=$D$40),"Pass","Fail")</f>
        <v>#DIV/0!</v>
      </c>
      <c r="AO46" t="e" s="51">
        <f>IF(AN46="Pass","Pass: "&amp;AM46&amp;" of 5 traits; "&amp;TEXT(Y46,"0%")&amp;" of 52-week high"&amp;IF(AK46=1,"; "&amp;AA46,"")&amp;IF(AL46=1,"; "&amp;AC46,""),"Fail: "&amp;IF(AE46=0,"TEV outside range; ","")&amp;IF(AG46=0,"price "&amp;IF(ISNUMBER(Y46),TEXT(Y46,"0%"),"n.a.")&amp;" of 52-week high; ","")&amp;IF(AF46=0,IF(Z46="n.r.","recurring not reviewed; ","recurring below 75% or not disclosed; "),"")&amp;IF(AM46&lt;$D$40,"traits "&amp;AM46&amp;" of 5",""))</f>
        <v>#DIV/0!</v>
      </c>
    </row>
    <row r="47">
      <c r="B47"/>
      <c r="E47" s="35"/>
      <c r="F47" s="36"/>
      <c r="G47" s="36"/>
      <c r="H47" t="str" s="25">
        <f>IF(N(G47)&gt;0,F47/G47-1,"n.a.")</f>
        <v>n.a.</v>
      </c>
      <c r="I47" s="36"/>
      <c r="J47" s="36"/>
      <c r="K47" s="36"/>
      <c r="L47" s="24">
        <f>SUM(I47:K47)</f>
        <v>0</v>
      </c>
      <c r="M47" t="str" s="25">
        <f>IF(F47&gt;0,L47/F47,"n.a.")</f>
        <v>n.a.</v>
      </c>
      <c r="N47" s="36"/>
      <c r="O47" s="36"/>
      <c r="P47" s="24"/>
      <c r="Q47" s="36"/>
      <c r="R47" s="24">
        <f>SUM(N47:P47)-Q47</f>
        <v>0</v>
      </c>
      <c r="S47" t="str" s="26">
        <f>IF(L47&gt;0,R47/L47,"NM")</f>
        <v>NM</v>
      </c>
      <c r="T47" s="36"/>
      <c r="U47" t="str" s="24">
        <f>IF(N(T47)&gt;0,T47+R47,"n.a.")</f>
        <v>n.a.</v>
      </c>
      <c r="V47" s="37"/>
      <c r="W47" s="37"/>
      <c r="X47" s="35"/>
      <c r="Y47" t="str" s="25">
        <f>IF(N(W47)&gt;0,V47/W47,"n.a.")</f>
        <v>n.a.</v>
      </c>
      <c r="Z47" t="e" s="25">
        <f>K128</f>
        <v>#DIV/0!</v>
      </c>
      <c r="AA47" s="51"/>
      <c r="AB47" s="38"/>
      <c r="AC47" s="51"/>
      <c r="AD47" s="39"/>
      <c r="AE47" s="17">
        <f>IF(AND(ISNUMBER(U47),N(U47)&gt;=$D$31,N(U47)&lt;=$D$32),1,0)</f>
        <v>0</v>
      </c>
      <c r="AF47" t="e" s="17">
        <f>IF(AND(ISNUMBER(Z47),N(Z47)&gt;=$D$33),1,0)</f>
        <v>#DIV/0!</v>
      </c>
      <c r="AG47" s="17">
        <f>IF(AND(ISNUMBER(Y47),N(Y47)&lt;=$D$34),1,0)</f>
        <v>0</v>
      </c>
      <c r="AH47" s="17">
        <f>IF(AND(ISNUMBER(H47),N(H47)&gt;=$D$35),1,0)</f>
        <v>0</v>
      </c>
      <c r="AI47" s="17">
        <f>IF(AND(ISNUMBER(M47),N(M47)&gt;=$D$36),1,0)</f>
        <v>0</v>
      </c>
      <c r="AJ47" s="17">
        <f>IF(AND(ISNUMBER(S47),N(S47)&lt;=$D$37),1,0)</f>
        <v>0</v>
      </c>
      <c r="AK47" s="17">
        <f>IF(N(AB47)&gt;=$D$38,1,0)</f>
        <v>1</v>
      </c>
      <c r="AL47" s="17">
        <f>IF(N(AD47)&gt;0,1,0)</f>
        <v>0</v>
      </c>
      <c r="AM47" s="17">
        <f>SUM(AH47:AL47)</f>
        <v>1</v>
      </c>
      <c r="AN47" t="e" s="16">
        <f>IF(AND(AE47=1,AF47=1,AG47=1,AM47&gt;=$D$40),"Pass","Fail")</f>
        <v>#DIV/0!</v>
      </c>
      <c r="AO47" t="e" s="51">
        <f>IF(AN47="Pass","Pass: "&amp;AM47&amp;" of 5 traits; "&amp;TEXT(Y47,"0%")&amp;" of 52-week high"&amp;IF(AK47=1,"; "&amp;AA47,"")&amp;IF(AL47=1,"; "&amp;AC47,""),"Fail: "&amp;IF(AE47=0,"TEV outside range; ","")&amp;IF(AG47=0,"price "&amp;IF(ISNUMBER(Y47),TEXT(Y47,"0%"),"n.a.")&amp;" of 52-week high; ","")&amp;IF(AF47=0,IF(Z47="n.r.","recurring not reviewed; ","recurring below 75% or not disclosed; "),"")&amp;IF(AM47&lt;$D$40,"traits "&amp;AM47&amp;" of 5",""))</f>
        <v>#DIV/0!</v>
      </c>
    </row>
    <row r="48">
      <c r="B48"/>
      <c r="E48" s="35"/>
      <c r="F48" s="36"/>
      <c r="G48" s="36"/>
      <c r="H48" t="str" s="25">
        <f>IF(N(G48)&gt;0,F48/G48-1,"n.a.")</f>
        <v>n.a.</v>
      </c>
      <c r="I48" s="36"/>
      <c r="J48" s="36"/>
      <c r="K48" s="36"/>
      <c r="L48" s="24">
        <f>SUM(I48:K48)</f>
        <v>0</v>
      </c>
      <c r="M48" t="str" s="25">
        <f>IF(F48&gt;0,L48/F48,"n.a.")</f>
        <v>n.a.</v>
      </c>
      <c r="N48" s="24"/>
      <c r="O48" s="24"/>
      <c r="P48" s="24"/>
      <c r="Q48" s="36"/>
      <c r="R48" s="24">
        <f>SUM(N48:P48)-Q48</f>
        <v>0</v>
      </c>
      <c r="S48" t="str" s="26">
        <f>IF(L48&gt;0,R48/L48,"NM")</f>
        <v>NM</v>
      </c>
      <c r="T48" s="36"/>
      <c r="U48" t="str" s="24">
        <f>IF(N(T48)&gt;0,T48+R48,"n.a.")</f>
        <v>n.a.</v>
      </c>
      <c r="V48" s="37"/>
      <c r="W48" s="37"/>
      <c r="X48" s="35"/>
      <c r="Y48" t="str" s="25">
        <f>IF(N(W48)&gt;0,V48/W48,"n.a.")</f>
        <v>n.a.</v>
      </c>
      <c r="Z48" t="e" s="25">
        <f>K129</f>
        <v>#DIV/0!</v>
      </c>
      <c r="AA48" s="51"/>
      <c r="AB48" s="38"/>
      <c r="AC48" s="51"/>
      <c r="AD48" s="39"/>
      <c r="AE48" s="17">
        <f>IF(AND(ISNUMBER(U48),N(U48)&gt;=$D$31,N(U48)&lt;=$D$32),1,0)</f>
        <v>0</v>
      </c>
      <c r="AF48" t="e" s="17">
        <f>IF(AND(ISNUMBER(Z48),N(Z48)&gt;=$D$33),1,0)</f>
        <v>#DIV/0!</v>
      </c>
      <c r="AG48" s="17">
        <f>IF(AND(ISNUMBER(Y48),N(Y48)&lt;=$D$34),1,0)</f>
        <v>0</v>
      </c>
      <c r="AH48" s="17">
        <f>IF(AND(ISNUMBER(H48),N(H48)&gt;=$D$35),1,0)</f>
        <v>0</v>
      </c>
      <c r="AI48" s="17">
        <f>IF(AND(ISNUMBER(M48),N(M48)&gt;=$D$36),1,0)</f>
        <v>0</v>
      </c>
      <c r="AJ48" s="17">
        <f>IF(AND(ISNUMBER(S48),N(S48)&lt;=$D$37),1,0)</f>
        <v>0</v>
      </c>
      <c r="AK48" s="17">
        <f>IF(N(AB48)&gt;=$D$38,1,0)</f>
        <v>1</v>
      </c>
      <c r="AL48" s="17">
        <f>IF(N(AD48)&gt;0,1,0)</f>
        <v>0</v>
      </c>
      <c r="AM48" s="17">
        <f>SUM(AH48:AL48)</f>
        <v>1</v>
      </c>
      <c r="AN48" t="e" s="16">
        <f>IF(AND(AE48=1,AF48=1,AG48=1,AM48&gt;=$D$40),"Pass","Fail")</f>
        <v>#DIV/0!</v>
      </c>
      <c r="AO48" t="e" s="51">
        <f>IF(AN48="Pass","Pass: "&amp;AM48&amp;" of 5 traits; "&amp;TEXT(Y48,"0%")&amp;" of 52-week high"&amp;IF(AK48=1,"; "&amp;AA48,"")&amp;IF(AL48=1,"; "&amp;AC48,""),"Fail: "&amp;IF(AE48=0,"TEV outside range; ","")&amp;IF(AG48=0,"price "&amp;IF(ISNUMBER(Y48),TEXT(Y48,"0%"),"n.a.")&amp;" of 52-week high; ","")&amp;IF(AF48=0,IF(Z48="n.r.","recurring not reviewed; ","recurring below 75% or not disclosed; "),"")&amp;IF(AM48&lt;$D$40,"traits "&amp;AM48&amp;" of 5",""))</f>
        <v>#DIV/0!</v>
      </c>
    </row>
    <row r="49">
      <c r="B49"/>
      <c r="E49" s="35"/>
      <c r="F49" s="36"/>
      <c r="G49" s="36"/>
      <c r="H49" t="str" s="25">
        <f>IF(N(G49)&gt;0,F49/G49-1,"n.a.")</f>
        <v>n.a.</v>
      </c>
      <c r="I49" s="36"/>
      <c r="J49" s="36"/>
      <c r="K49" s="36"/>
      <c r="L49" s="24">
        <f>SUM(I49:K49)</f>
        <v>0</v>
      </c>
      <c r="M49" t="str" s="25">
        <f>IF(F49&gt;0,L49/F49,"n.a.")</f>
        <v>n.a.</v>
      </c>
      <c r="N49" s="24"/>
      <c r="O49" s="24"/>
      <c r="P49" s="24"/>
      <c r="Q49" s="36"/>
      <c r="R49" s="24">
        <f>SUM(N49:P49)-Q49</f>
        <v>0</v>
      </c>
      <c r="S49" t="str" s="26">
        <f>IF(L49&gt;0,R49/L49,"NM")</f>
        <v>NM</v>
      </c>
      <c r="T49" s="36"/>
      <c r="U49" t="str" s="24">
        <f>IF(N(T49)&gt;0,T49+R49,"n.a.")</f>
        <v>n.a.</v>
      </c>
      <c r="V49" s="37"/>
      <c r="W49" s="37"/>
      <c r="X49" s="35"/>
      <c r="Y49" t="str" s="25">
        <f>IF(N(W49)&gt;0,V49/W49,"n.a.")</f>
        <v>n.a.</v>
      </c>
      <c r="Z49" t="e" s="25">
        <f>K130</f>
        <v>#DIV/0!</v>
      </c>
      <c r="AA49" s="51"/>
      <c r="AB49" s="38"/>
      <c r="AC49" s="51"/>
      <c r="AD49" s="39"/>
      <c r="AE49" s="17">
        <f>IF(AND(ISNUMBER(U49),N(U49)&gt;=$D$31,N(U49)&lt;=$D$32),1,0)</f>
        <v>0</v>
      </c>
      <c r="AF49" t="e" s="17">
        <f>IF(AND(ISNUMBER(Z49),N(Z49)&gt;=$D$33),1,0)</f>
        <v>#DIV/0!</v>
      </c>
      <c r="AG49" s="17">
        <f>IF(AND(ISNUMBER(Y49),N(Y49)&lt;=$D$34),1,0)</f>
        <v>0</v>
      </c>
      <c r="AH49" s="17">
        <f>IF(AND(ISNUMBER(H49),N(H49)&gt;=$D$35),1,0)</f>
        <v>0</v>
      </c>
      <c r="AI49" s="17">
        <f>IF(AND(ISNUMBER(M49),N(M49)&gt;=$D$36),1,0)</f>
        <v>0</v>
      </c>
      <c r="AJ49" s="17">
        <f>IF(AND(ISNUMBER(S49),N(S49)&lt;=$D$37),1,0)</f>
        <v>0</v>
      </c>
      <c r="AK49" s="17">
        <f>IF(N(AB49)&gt;=$D$38,1,0)</f>
        <v>1</v>
      </c>
      <c r="AL49" s="17">
        <f>IF(N(AD49)&gt;0,1,0)</f>
        <v>0</v>
      </c>
      <c r="AM49" s="17">
        <f>SUM(AH49:AL49)</f>
        <v>1</v>
      </c>
      <c r="AN49" t="e" s="16">
        <f>IF(AND(AE49=1,AF49=1,AG49=1,AM49&gt;=$D$40),"Pass","Fail")</f>
        <v>#DIV/0!</v>
      </c>
      <c r="AO49" t="e" s="51">
        <f>IF(AN49="Pass","Pass: "&amp;AM49&amp;" of 5 traits; "&amp;TEXT(Y49,"0%")&amp;" of 52-week high"&amp;IF(AK49=1,"; "&amp;AA49,"")&amp;IF(AL49=1,"; "&amp;AC49,""),"Fail: "&amp;IF(AE49=0,"TEV outside range; ","")&amp;IF(AG49=0,"price "&amp;IF(ISNUMBER(Y49),TEXT(Y49,"0%"),"n.a.")&amp;" of 52-week high; ","")&amp;IF(AF49=0,IF(Z49="n.r.","recurring not reviewed; ","recurring below 75% or not disclosed; "),"")&amp;IF(AM49&lt;$D$40,"traits "&amp;AM49&amp;" of 5",""))</f>
        <v>#DIV/0!</v>
      </c>
    </row>
    <row r="50">
      <c r="B50"/>
      <c r="E50" s="35"/>
      <c r="F50" s="36"/>
      <c r="G50" s="36"/>
      <c r="H50" t="str" s="25">
        <f>IF(N(G50)&gt;0,F50/G50-1,"n.a.")</f>
        <v>n.a.</v>
      </c>
      <c r="I50" s="36"/>
      <c r="J50" s="36"/>
      <c r="K50" s="36"/>
      <c r="L50" s="24">
        <f>SUM(I50:K50)</f>
        <v>0</v>
      </c>
      <c r="M50" t="str" s="25">
        <f>IF(F50&gt;0,L50/F50,"n.a.")</f>
        <v>n.a.</v>
      </c>
      <c r="N50" s="36"/>
      <c r="O50" s="36"/>
      <c r="P50" s="24"/>
      <c r="Q50" s="36"/>
      <c r="R50" s="24">
        <f>SUM(N50:P50)-Q50</f>
        <v>0</v>
      </c>
      <c r="S50" t="str" s="26">
        <f>IF(L50&gt;0,R50/L50,"NM")</f>
        <v>NM</v>
      </c>
      <c r="T50" s="36"/>
      <c r="U50" t="str" s="24">
        <f>IF(N(T50)&gt;0,T50+R50,"n.a.")</f>
        <v>n.a.</v>
      </c>
      <c r="V50" s="37"/>
      <c r="W50" s="37"/>
      <c r="X50" s="35"/>
      <c r="Y50" t="str" s="25">
        <f>IF(N(W50)&gt;0,V50/W50,"n.a.")</f>
        <v>n.a.</v>
      </c>
      <c r="Z50" t="e" s="25">
        <f>K131</f>
        <v>#DIV/0!</v>
      </c>
      <c r="AA50" s="51"/>
      <c r="AB50" s="38"/>
      <c r="AC50" s="51"/>
      <c r="AD50" s="39"/>
      <c r="AE50" s="17">
        <f>IF(AND(ISNUMBER(U50),N(U50)&gt;=$D$31,N(U50)&lt;=$D$32),1,0)</f>
        <v>0</v>
      </c>
      <c r="AF50" t="e" s="17">
        <f>IF(AND(ISNUMBER(Z50),N(Z50)&gt;=$D$33),1,0)</f>
        <v>#DIV/0!</v>
      </c>
      <c r="AG50" s="17">
        <f>IF(AND(ISNUMBER(Y50),N(Y50)&lt;=$D$34),1,0)</f>
        <v>0</v>
      </c>
      <c r="AH50" s="17">
        <f>IF(AND(ISNUMBER(H50),N(H50)&gt;=$D$35),1,0)</f>
        <v>0</v>
      </c>
      <c r="AI50" s="17">
        <f>IF(AND(ISNUMBER(M50),N(M50)&gt;=$D$36),1,0)</f>
        <v>0</v>
      </c>
      <c r="AJ50" s="17">
        <f>IF(AND(ISNUMBER(S50),N(S50)&lt;=$D$37),1,0)</f>
        <v>0</v>
      </c>
      <c r="AK50" s="17">
        <f>IF(N(AB50)&gt;=$D$38,1,0)</f>
        <v>1</v>
      </c>
      <c r="AL50" s="17">
        <f>IF(N(AD50)&gt;0,1,0)</f>
        <v>0</v>
      </c>
      <c r="AM50" s="17">
        <f>SUM(AH50:AL50)</f>
        <v>1</v>
      </c>
      <c r="AN50" t="e" s="16">
        <f>IF(AND(AE50=1,AF50=1,AG50=1,AM50&gt;=$D$40),"Pass","Fail")</f>
        <v>#DIV/0!</v>
      </c>
      <c r="AO50" t="e" s="51">
        <f>IF(AN50="Pass","Pass: "&amp;AM50&amp;" of 5 traits; "&amp;TEXT(Y50,"0%")&amp;" of 52-week high"&amp;IF(AK50=1,"; "&amp;AA50,"")&amp;IF(AL50=1,"; "&amp;AC50,""),"Fail: "&amp;IF(AE50=0,"TEV outside range; ","")&amp;IF(AG50=0,"price "&amp;IF(ISNUMBER(Y50),TEXT(Y50,"0%"),"n.a.")&amp;" of 52-week high; ","")&amp;IF(AF50=0,IF(Z50="n.r.","recurring not reviewed; ","recurring below 75% or not disclosed; "),"")&amp;IF(AM50&lt;$D$40,"traits "&amp;AM50&amp;" of 5",""))</f>
        <v>#DIV/0!</v>
      </c>
    </row>
    <row r="51">
      <c r="B51"/>
      <c r="E51" s="35"/>
      <c r="F51" s="36"/>
      <c r="G51" s="36"/>
      <c r="H51" t="str" s="25">
        <f>IF(N(G51)&gt;0,F51/G51-1,"n.a.")</f>
        <v>n.a.</v>
      </c>
      <c r="I51" s="36"/>
      <c r="J51" s="36"/>
      <c r="K51" s="36"/>
      <c r="L51" s="24">
        <f>SUM(I51:K51)</f>
        <v>0</v>
      </c>
      <c r="M51" t="str" s="25">
        <f>IF(F51&gt;0,L51/F51,"n.a.")</f>
        <v>n.a.</v>
      </c>
      <c r="N51" s="24"/>
      <c r="O51" s="36"/>
      <c r="P51" s="24"/>
      <c r="Q51" s="36"/>
      <c r="R51" s="24">
        <f>SUM(N51:P51)-Q51</f>
        <v>0</v>
      </c>
      <c r="S51" t="str" s="26">
        <f>IF(L51&gt;0,R51/L51,"NM")</f>
        <v>NM</v>
      </c>
      <c r="T51" s="36"/>
      <c r="U51" t="str" s="24">
        <f>IF(N(T51)&gt;0,T51+R51,"n.a.")</f>
        <v>n.a.</v>
      </c>
      <c r="V51" s="37"/>
      <c r="W51" s="37"/>
      <c r="X51" s="35"/>
      <c r="Y51" t="str" s="25">
        <f>IF(N(W51)&gt;0,V51/W51,"n.a.")</f>
        <v>n.a.</v>
      </c>
      <c r="Z51" t="e" s="25">
        <f>K132</f>
        <v>#DIV/0!</v>
      </c>
      <c r="AA51" s="51"/>
      <c r="AB51" s="25"/>
      <c r="AC51" s="51"/>
      <c r="AD51" s="39"/>
      <c r="AE51" s="17">
        <f>IF(AND(ISNUMBER(U51),N(U51)&gt;=$D$31,N(U51)&lt;=$D$32),1,0)</f>
        <v>0</v>
      </c>
      <c r="AF51" t="e" s="17">
        <f>IF(AND(ISNUMBER(Z51),N(Z51)&gt;=$D$33),1,0)</f>
        <v>#DIV/0!</v>
      </c>
      <c r="AG51" s="17">
        <f>IF(AND(ISNUMBER(Y51),N(Y51)&lt;=$D$34),1,0)</f>
        <v>0</v>
      </c>
      <c r="AH51" s="17">
        <f>IF(AND(ISNUMBER(H51),N(H51)&gt;=$D$35),1,0)</f>
        <v>0</v>
      </c>
      <c r="AI51" s="17">
        <f>IF(AND(ISNUMBER(M51),N(M51)&gt;=$D$36),1,0)</f>
        <v>0</v>
      </c>
      <c r="AJ51" s="17">
        <f>IF(AND(ISNUMBER(S51),N(S51)&lt;=$D$37),1,0)</f>
        <v>0</v>
      </c>
      <c r="AK51" s="17">
        <f>IF(N(AB51)&gt;=$D$38,1,0)</f>
        <v>1</v>
      </c>
      <c r="AL51" s="17">
        <f>IF(N(AD51)&gt;0,1,0)</f>
        <v>0</v>
      </c>
      <c r="AM51" s="17">
        <f>SUM(AH51:AL51)</f>
        <v>1</v>
      </c>
      <c r="AN51" t="e" s="16">
        <f>IF(AND(AE51=1,AF51=1,AG51=1,AM51&gt;=$D$40),"Pass","Fail")</f>
        <v>#DIV/0!</v>
      </c>
      <c r="AO51" t="e" s="51">
        <f>IF(AN51="Pass","Pass: "&amp;AM51&amp;" of 5 traits; "&amp;TEXT(Y51,"0%")&amp;" of 52-week high"&amp;IF(AK51=1,"; "&amp;AA51,"")&amp;IF(AL51=1,"; "&amp;AC51,""),"Fail: "&amp;IF(AE51=0,"TEV outside range; ","")&amp;IF(AG51=0,"price "&amp;IF(ISNUMBER(Y51),TEXT(Y51,"0%"),"n.a.")&amp;" of 52-week high; ","")&amp;IF(AF51=0,IF(Z51="n.r.","recurring not reviewed; ","recurring below 75% or not disclosed; "),"")&amp;IF(AM51&lt;$D$40,"traits "&amp;AM51&amp;" of 5",""))</f>
        <v>#DIV/0!</v>
      </c>
    </row>
    <row r="52">
      <c r="B52"/>
      <c r="E52" s="35"/>
      <c r="F52" s="36"/>
      <c r="G52" s="36"/>
      <c r="H52" t="str" s="25">
        <f>IF(N(G52)&gt;0,F52/G52-1,"n.a.")</f>
        <v>n.a.</v>
      </c>
      <c r="I52" s="36"/>
      <c r="J52" s="36"/>
      <c r="K52" s="36"/>
      <c r="L52" s="24">
        <f>SUM(I52:K52)</f>
        <v>0</v>
      </c>
      <c r="M52" t="str" s="25">
        <f>IF(F52&gt;0,L52/F52,"n.a.")</f>
        <v>n.a.</v>
      </c>
      <c r="N52" s="24"/>
      <c r="O52" s="24"/>
      <c r="P52" s="24"/>
      <c r="Q52" s="36"/>
      <c r="R52" s="24">
        <f>SUM(N52:P52)-Q52</f>
        <v>0</v>
      </c>
      <c r="S52" t="str" s="26">
        <f>IF(L52&gt;0,R52/L52,"NM")</f>
        <v>NM</v>
      </c>
      <c r="T52" s="36"/>
      <c r="U52" t="str" s="24">
        <f>IF(N(T52)&gt;0,T52+R52,"n.a.")</f>
        <v>n.a.</v>
      </c>
      <c r="V52" s="37"/>
      <c r="W52" s="37"/>
      <c r="X52" s="35"/>
      <c r="Y52" t="str" s="25">
        <f>IF(N(W52)&gt;0,V52/W52,"n.a.")</f>
        <v>n.a.</v>
      </c>
      <c r="Z52" t="e" s="25">
        <f>K133</f>
        <v>#DIV/0!</v>
      </c>
      <c r="AA52" s="51"/>
      <c r="AB52" s="25"/>
      <c r="AC52" s="51"/>
      <c r="AD52" s="39"/>
      <c r="AE52" s="17">
        <f>IF(AND(ISNUMBER(U52),N(U52)&gt;=$D$31,N(U52)&lt;=$D$32),1,0)</f>
        <v>0</v>
      </c>
      <c r="AF52" t="e" s="17">
        <f>IF(AND(ISNUMBER(Z52),N(Z52)&gt;=$D$33),1,0)</f>
        <v>#DIV/0!</v>
      </c>
      <c r="AG52" s="17">
        <f>IF(AND(ISNUMBER(Y52),N(Y52)&lt;=$D$34),1,0)</f>
        <v>0</v>
      </c>
      <c r="AH52" s="17">
        <f>IF(AND(ISNUMBER(H52),N(H52)&gt;=$D$35),1,0)</f>
        <v>0</v>
      </c>
      <c r="AI52" s="17">
        <f>IF(AND(ISNUMBER(M52),N(M52)&gt;=$D$36),1,0)</f>
        <v>0</v>
      </c>
      <c r="AJ52" s="17">
        <f>IF(AND(ISNUMBER(S52),N(S52)&lt;=$D$37),1,0)</f>
        <v>0</v>
      </c>
      <c r="AK52" s="17">
        <f>IF(N(AB52)&gt;=$D$38,1,0)</f>
        <v>1</v>
      </c>
      <c r="AL52" s="17">
        <f>IF(N(AD52)&gt;0,1,0)</f>
        <v>0</v>
      </c>
      <c r="AM52" s="17">
        <f>SUM(AH52:AL52)</f>
        <v>1</v>
      </c>
      <c r="AN52" t="e" s="16">
        <f>IF(AND(AE52=1,AF52=1,AG52=1,AM52&gt;=$D$40),"Pass","Fail")</f>
        <v>#DIV/0!</v>
      </c>
      <c r="AO52" t="e" s="51">
        <f>IF(AN52="Pass","Pass: "&amp;AM52&amp;" of 5 traits; "&amp;TEXT(Y52,"0%")&amp;" of 52-week high"&amp;IF(AK52=1,"; "&amp;AA52,"")&amp;IF(AL52=1,"; "&amp;AC52,""),"Fail: "&amp;IF(AE52=0,"TEV outside range; ","")&amp;IF(AG52=0,"price "&amp;IF(ISNUMBER(Y52),TEXT(Y52,"0%"),"n.a.")&amp;" of 52-week high; ","")&amp;IF(AF52=0,IF(Z52="n.r.","recurring not reviewed; ","recurring below 75% or not disclosed; "),"")&amp;IF(AM52&lt;$D$40,"traits "&amp;AM52&amp;" of 5",""))</f>
        <v>#DIV/0!</v>
      </c>
    </row>
    <row r="53">
      <c r="B53"/>
      <c r="E53" s="35"/>
      <c r="F53" s="36"/>
      <c r="G53" s="36"/>
      <c r="H53" t="str" s="25">
        <f>IF(N(G53)&gt;0,F53/G53-1,"n.a.")</f>
        <v>n.a.</v>
      </c>
      <c r="I53" s="36"/>
      <c r="J53" s="36"/>
      <c r="K53" s="36"/>
      <c r="L53" s="24">
        <f>SUM(I53:K53)</f>
        <v>0</v>
      </c>
      <c r="M53" t="str" s="25">
        <f>IF(F53&gt;0,L53/F53,"n.a.")</f>
        <v>n.a.</v>
      </c>
      <c r="N53" s="24"/>
      <c r="O53" s="36"/>
      <c r="P53" s="24"/>
      <c r="Q53" s="36"/>
      <c r="R53" s="24">
        <f>SUM(N53:P53)-Q53</f>
        <v>0</v>
      </c>
      <c r="S53" t="str" s="26">
        <f>IF(L53&gt;0,R53/L53,"NM")</f>
        <v>NM</v>
      </c>
      <c r="T53" s="36"/>
      <c r="U53" t="str" s="24">
        <f>IF(N(T53)&gt;0,T53+R53,"n.a.")</f>
        <v>n.a.</v>
      </c>
      <c r="V53" s="37"/>
      <c r="W53" s="37"/>
      <c r="X53" s="35"/>
      <c r="Y53" t="str" s="25">
        <f>IF(N(W53)&gt;0,V53/W53,"n.a.")</f>
        <v>n.a.</v>
      </c>
      <c r="Z53" t="e" s="25">
        <f>K134</f>
        <v>#DIV/0!</v>
      </c>
      <c r="AA53" s="51"/>
      <c r="AB53" s="25"/>
      <c r="AC53" s="51"/>
      <c r="AD53" s="39"/>
      <c r="AE53" s="17">
        <f>IF(AND(ISNUMBER(U53),N(U53)&gt;=$D$31,N(U53)&lt;=$D$32),1,0)</f>
        <v>0</v>
      </c>
      <c r="AF53" t="e" s="17">
        <f>IF(AND(ISNUMBER(Z53),N(Z53)&gt;=$D$33),1,0)</f>
        <v>#DIV/0!</v>
      </c>
      <c r="AG53" s="17">
        <f>IF(AND(ISNUMBER(Y53),N(Y53)&lt;=$D$34),1,0)</f>
        <v>0</v>
      </c>
      <c r="AH53" s="17">
        <f>IF(AND(ISNUMBER(H53),N(H53)&gt;=$D$35),1,0)</f>
        <v>0</v>
      </c>
      <c r="AI53" s="17">
        <f>IF(AND(ISNUMBER(M53),N(M53)&gt;=$D$36),1,0)</f>
        <v>0</v>
      </c>
      <c r="AJ53" s="17">
        <f>IF(AND(ISNUMBER(S53),N(S53)&lt;=$D$37),1,0)</f>
        <v>0</v>
      </c>
      <c r="AK53" s="17">
        <f>IF(N(AB53)&gt;=$D$38,1,0)</f>
        <v>1</v>
      </c>
      <c r="AL53" s="17">
        <f>IF(N(AD53)&gt;0,1,0)</f>
        <v>0</v>
      </c>
      <c r="AM53" s="17">
        <f>SUM(AH53:AL53)</f>
        <v>1</v>
      </c>
      <c r="AN53" t="e" s="16">
        <f>IF(AND(AE53=1,AF53=1,AG53=1,AM53&gt;=$D$40),"Pass","Fail")</f>
        <v>#DIV/0!</v>
      </c>
      <c r="AO53" t="e" s="51">
        <f>IF(AN53="Pass","Pass: "&amp;AM53&amp;" of 5 traits; "&amp;TEXT(Y53,"0%")&amp;" of 52-week high"&amp;IF(AK53=1,"; "&amp;AA53,"")&amp;IF(AL53=1,"; "&amp;AC53,""),"Fail: "&amp;IF(AE53=0,"TEV outside range; ","")&amp;IF(AG53=0,"price "&amp;IF(ISNUMBER(Y53),TEXT(Y53,"0%"),"n.a.")&amp;" of 52-week high; ","")&amp;IF(AF53=0,IF(Z53="n.r.","recurring not reviewed; ","recurring below 75% or not disclosed; "),"")&amp;IF(AM53&lt;$D$40,"traits "&amp;AM53&amp;" of 5",""))</f>
        <v>#DIV/0!</v>
      </c>
    </row>
    <row r="54">
      <c r="B54"/>
      <c r="E54" s="35"/>
      <c r="F54" s="36"/>
      <c r="G54" s="36"/>
      <c r="H54" t="str" s="25">
        <f>IF(N(G54)&gt;0,F54/G54-1,"n.a.")</f>
        <v>n.a.</v>
      </c>
      <c r="I54" s="36"/>
      <c r="J54" s="36"/>
      <c r="K54" s="36"/>
      <c r="L54" s="24">
        <f>SUM(I54:K54)</f>
        <v>0</v>
      </c>
      <c r="M54" t="str" s="25">
        <f>IF(F54&gt;0,L54/F54,"n.a.")</f>
        <v>n.a.</v>
      </c>
      <c r="N54" s="36"/>
      <c r="O54" s="36"/>
      <c r="P54" s="24"/>
      <c r="Q54" s="36"/>
      <c r="R54" s="24">
        <f>SUM(N54:P54)-Q54</f>
        <v>0</v>
      </c>
      <c r="S54" t="str" s="26">
        <f>IF(L54&gt;0,R54/L54,"NM")</f>
        <v>NM</v>
      </c>
      <c r="T54" s="36"/>
      <c r="U54" t="str" s="24">
        <f>IF(N(T54)&gt;0,T54+R54,"n.a.")</f>
        <v>n.a.</v>
      </c>
      <c r="V54" s="37"/>
      <c r="W54" s="37"/>
      <c r="X54" s="35"/>
      <c r="Y54" t="str" s="25">
        <f>IF(N(W54)&gt;0,V54/W54,"n.a.")</f>
        <v>n.a.</v>
      </c>
      <c r="Z54" t="e" s="25">
        <f>K135</f>
        <v>#DIV/0!</v>
      </c>
      <c r="AA54" s="51"/>
      <c r="AB54" s="38"/>
      <c r="AC54" s="51"/>
      <c r="AD54" s="39"/>
      <c r="AE54" s="17">
        <f>IF(AND(ISNUMBER(U54),N(U54)&gt;=$D$31,N(U54)&lt;=$D$32),1,0)</f>
        <v>0</v>
      </c>
      <c r="AF54" t="e" s="17">
        <f>IF(AND(ISNUMBER(Z54),N(Z54)&gt;=$D$33),1,0)</f>
        <v>#DIV/0!</v>
      </c>
      <c r="AG54" s="17">
        <f>IF(AND(ISNUMBER(Y54),N(Y54)&lt;=$D$34),1,0)</f>
        <v>0</v>
      </c>
      <c r="AH54" s="17">
        <f>IF(AND(ISNUMBER(H54),N(H54)&gt;=$D$35),1,0)</f>
        <v>0</v>
      </c>
      <c r="AI54" s="17">
        <f>IF(AND(ISNUMBER(M54),N(M54)&gt;=$D$36),1,0)</f>
        <v>0</v>
      </c>
      <c r="AJ54" s="17">
        <f>IF(AND(ISNUMBER(S54),N(S54)&lt;=$D$37),1,0)</f>
        <v>0</v>
      </c>
      <c r="AK54" s="17">
        <f>IF(N(AB54)&gt;=$D$38,1,0)</f>
        <v>1</v>
      </c>
      <c r="AL54" s="17">
        <f>IF(N(AD54)&gt;0,1,0)</f>
        <v>0</v>
      </c>
      <c r="AM54" s="17">
        <f>SUM(AH54:AL54)</f>
        <v>1</v>
      </c>
      <c r="AN54" t="e" s="16">
        <f>IF(AND(AE54=1,AF54=1,AG54=1,AM54&gt;=$D$40),"Pass","Fail")</f>
        <v>#DIV/0!</v>
      </c>
      <c r="AO54" t="e" s="51">
        <f>IF(AN54="Pass","Pass: "&amp;AM54&amp;" of 5 traits; "&amp;TEXT(Y54,"0%")&amp;" of 52-week high"&amp;IF(AK54=1,"; "&amp;AA54,"")&amp;IF(AL54=1,"; "&amp;AC54,""),"Fail: "&amp;IF(AE54=0,"TEV outside range; ","")&amp;IF(AG54=0,"price "&amp;IF(ISNUMBER(Y54),TEXT(Y54,"0%"),"n.a.")&amp;" of 52-week high; ","")&amp;IF(AF54=0,IF(Z54="n.r.","recurring not reviewed; ","recurring below 75% or not disclosed; "),"")&amp;IF(AM54&lt;$D$40,"traits "&amp;AM54&amp;" of 5",""))</f>
        <v>#DIV/0!</v>
      </c>
    </row>
    <row r="55">
      <c r="B55"/>
      <c r="E55" s="35"/>
      <c r="F55" s="36"/>
      <c r="G55" s="36"/>
      <c r="H55" t="str" s="25">
        <f>IF(N(G55)&gt;0,F55/G55-1,"n.a.")</f>
        <v>n.a.</v>
      </c>
      <c r="I55" s="36"/>
      <c r="J55" s="36"/>
      <c r="K55" s="36"/>
      <c r="L55" s="24">
        <f>SUM(I55:K55)</f>
        <v>0</v>
      </c>
      <c r="M55" t="str" s="25">
        <f>IF(F55&gt;0,L55/F55,"n.a.")</f>
        <v>n.a.</v>
      </c>
      <c r="N55" s="24"/>
      <c r="O55" s="24"/>
      <c r="P55" s="24"/>
      <c r="Q55" s="36"/>
      <c r="R55" s="24">
        <f>SUM(N55:P55)-Q55</f>
        <v>0</v>
      </c>
      <c r="S55" t="str" s="26">
        <f>IF(L55&gt;0,R55/L55,"NM")</f>
        <v>NM</v>
      </c>
      <c r="T55" s="36"/>
      <c r="U55" t="str" s="24">
        <f>IF(N(T55)&gt;0,T55+R55,"n.a.")</f>
        <v>n.a.</v>
      </c>
      <c r="V55" s="37"/>
      <c r="W55" s="37"/>
      <c r="X55" s="35"/>
      <c r="Y55" t="str" s="25">
        <f>IF(N(W55)&gt;0,V55/W55,"n.a.")</f>
        <v>n.a.</v>
      </c>
      <c r="Z55" t="e" s="25">
        <f>K136</f>
        <v>#DIV/0!</v>
      </c>
      <c r="AA55" s="51"/>
      <c r="AB55" s="25"/>
      <c r="AC55" s="51"/>
      <c r="AD55" s="39"/>
      <c r="AE55" s="17">
        <f>IF(AND(ISNUMBER(U55),N(U55)&gt;=$D$31,N(U55)&lt;=$D$32),1,0)</f>
        <v>0</v>
      </c>
      <c r="AF55" t="e" s="17">
        <f>IF(AND(ISNUMBER(Z55),N(Z55)&gt;=$D$33),1,0)</f>
        <v>#DIV/0!</v>
      </c>
      <c r="AG55" s="17">
        <f>IF(AND(ISNUMBER(Y55),N(Y55)&lt;=$D$34),1,0)</f>
        <v>0</v>
      </c>
      <c r="AH55" s="17">
        <f>IF(AND(ISNUMBER(H55),N(H55)&gt;=$D$35),1,0)</f>
        <v>0</v>
      </c>
      <c r="AI55" s="17">
        <f>IF(AND(ISNUMBER(M55),N(M55)&gt;=$D$36),1,0)</f>
        <v>0</v>
      </c>
      <c r="AJ55" s="17">
        <f>IF(AND(ISNUMBER(S55),N(S55)&lt;=$D$37),1,0)</f>
        <v>0</v>
      </c>
      <c r="AK55" s="17">
        <f>IF(N(AB55)&gt;=$D$38,1,0)</f>
        <v>1</v>
      </c>
      <c r="AL55" s="17">
        <f>IF(N(AD55)&gt;0,1,0)</f>
        <v>0</v>
      </c>
      <c r="AM55" s="17">
        <f>SUM(AH55:AL55)</f>
        <v>1</v>
      </c>
      <c r="AN55" t="e" s="16">
        <f>IF(AND(AE55=1,AF55=1,AG55=1,AM55&gt;=$D$40),"Pass","Fail")</f>
        <v>#DIV/0!</v>
      </c>
      <c r="AO55" t="e" s="51">
        <f>IF(AN55="Pass","Pass: "&amp;AM55&amp;" of 5 traits; "&amp;TEXT(Y55,"0%")&amp;" of 52-week high"&amp;IF(AK55=1,"; "&amp;AA55,"")&amp;IF(AL55=1,"; "&amp;AC55,""),"Fail: "&amp;IF(AE55=0,"TEV outside range; ","")&amp;IF(AG55=0,"price "&amp;IF(ISNUMBER(Y55),TEXT(Y55,"0%"),"n.a.")&amp;" of 52-week high; ","")&amp;IF(AF55=0,IF(Z55="n.r.","recurring not reviewed; ","recurring below 75% or not disclosed; "),"")&amp;IF(AM55&lt;$D$40,"traits "&amp;AM55&amp;" of 5",""))</f>
        <v>#DIV/0!</v>
      </c>
    </row>
    <row r="56">
      <c r="B56"/>
      <c r="E56" s="35"/>
      <c r="F56" s="36"/>
      <c r="G56" s="36"/>
      <c r="H56" t="str" s="25">
        <f>IF(N(G56)&gt;0,F56/G56-1,"n.a.")</f>
        <v>n.a.</v>
      </c>
      <c r="I56" s="36"/>
      <c r="J56" s="36"/>
      <c r="K56" s="36"/>
      <c r="L56" s="24">
        <f>SUM(I56:K56)</f>
        <v>0</v>
      </c>
      <c r="M56" t="str" s="25">
        <f>IF(F56&gt;0,L56/F56,"n.a.")</f>
        <v>n.a.</v>
      </c>
      <c r="N56" s="24"/>
      <c r="O56" s="36"/>
      <c r="P56" s="24"/>
      <c r="Q56" s="36"/>
      <c r="R56" s="24">
        <f>SUM(N56:P56)-Q56</f>
        <v>0</v>
      </c>
      <c r="S56" t="str" s="26">
        <f>IF(L56&gt;0,R56/L56,"NM")</f>
        <v>NM</v>
      </c>
      <c r="T56" s="36"/>
      <c r="U56" t="str" s="24">
        <f>IF(N(T56)&gt;0,T56+R56,"n.a.")</f>
        <v>n.a.</v>
      </c>
      <c r="V56" s="37"/>
      <c r="W56" s="37"/>
      <c r="X56" s="35"/>
      <c r="Y56" t="str" s="25">
        <f>IF(N(W56)&gt;0,V56/W56,"n.a.")</f>
        <v>n.a.</v>
      </c>
      <c r="Z56" t="e" s="25">
        <f>K137</f>
        <v>#DIV/0!</v>
      </c>
      <c r="AA56" s="51"/>
      <c r="AB56" s="25"/>
      <c r="AC56" s="51"/>
      <c r="AD56" s="28"/>
      <c r="AE56" s="17">
        <f>IF(AND(ISNUMBER(U56),N(U56)&gt;=$D$31,N(U56)&lt;=$D$32),1,0)</f>
        <v>0</v>
      </c>
      <c r="AF56" t="e" s="17">
        <f>IF(AND(ISNUMBER(Z56),N(Z56)&gt;=$D$33),1,0)</f>
        <v>#DIV/0!</v>
      </c>
      <c r="AG56" s="17">
        <f>IF(AND(ISNUMBER(Y56),N(Y56)&lt;=$D$34),1,0)</f>
        <v>0</v>
      </c>
      <c r="AH56" s="17">
        <f>IF(AND(ISNUMBER(H56),N(H56)&gt;=$D$35),1,0)</f>
        <v>0</v>
      </c>
      <c r="AI56" s="17">
        <f>IF(AND(ISNUMBER(M56),N(M56)&gt;=$D$36),1,0)</f>
        <v>0</v>
      </c>
      <c r="AJ56" s="17">
        <f>IF(AND(ISNUMBER(S56),N(S56)&lt;=$D$37),1,0)</f>
        <v>0</v>
      </c>
      <c r="AK56" s="17">
        <f>IF(N(AB56)&gt;=$D$38,1,0)</f>
        <v>1</v>
      </c>
      <c r="AL56" s="17">
        <f>IF(N(AD56)&gt;0,1,0)</f>
        <v>0</v>
      </c>
      <c r="AM56" s="17">
        <f>SUM(AH56:AL56)</f>
        <v>1</v>
      </c>
      <c r="AN56" t="e" s="16">
        <f>IF(AND(AE56=1,AF56=1,AG56=1,AM56&gt;=$D$40),"Pass","Fail")</f>
        <v>#DIV/0!</v>
      </c>
      <c r="AO56" t="e" s="51">
        <f>IF(AN56="Pass","Pass: "&amp;AM56&amp;" of 5 traits; "&amp;TEXT(Y56,"0%")&amp;" of 52-week high"&amp;IF(AK56=1,"; "&amp;AA56,"")&amp;IF(AL56=1,"; "&amp;AC56,""),"Fail: "&amp;IF(AE56=0,"TEV outside range; ","")&amp;IF(AG56=0,"price "&amp;IF(ISNUMBER(Y56),TEXT(Y56,"0%"),"n.a.")&amp;" of 52-week high; ","")&amp;IF(AF56=0,IF(Z56="n.r.","recurring not reviewed; ","recurring below 75% or not disclosed; "),"")&amp;IF(AM56&lt;$D$40,"traits "&amp;AM56&amp;" of 5",""))</f>
        <v>#DIV/0!</v>
      </c>
    </row>
    <row r="57">
      <c r="B57"/>
      <c r="E57" s="35"/>
      <c r="F57" s="36"/>
      <c r="G57" s="36"/>
      <c r="H57" t="str" s="25">
        <f>IF(N(G57)&gt;0,F57/G57-1,"n.a.")</f>
        <v>n.a.</v>
      </c>
      <c r="I57" s="36"/>
      <c r="J57" s="36"/>
      <c r="K57" s="36"/>
      <c r="L57" s="24">
        <f>SUM(I57:K57)</f>
        <v>0</v>
      </c>
      <c r="M57" t="str" s="25">
        <f>IF(F57&gt;0,L57/F57,"n.a.")</f>
        <v>n.a.</v>
      </c>
      <c r="N57" s="24"/>
      <c r="O57" s="36"/>
      <c r="P57" s="24"/>
      <c r="Q57" s="36"/>
      <c r="R57" s="24">
        <f>SUM(N57:P57)-Q57</f>
        <v>0</v>
      </c>
      <c r="S57" t="str" s="26">
        <f>IF(L57&gt;0,R57/L57,"NM")</f>
        <v>NM</v>
      </c>
      <c r="T57" s="36"/>
      <c r="U57" t="str" s="24">
        <f>IF(N(T57)&gt;0,T57+R57,"n.a.")</f>
        <v>n.a.</v>
      </c>
      <c r="V57" s="37"/>
      <c r="W57" s="37"/>
      <c r="X57" s="35"/>
      <c r="Y57" t="str" s="25">
        <f>IF(N(W57)&gt;0,V57/W57,"n.a.")</f>
        <v>n.a.</v>
      </c>
      <c r="Z57" t="e" s="25">
        <f>K138</f>
        <v>#DIV/0!</v>
      </c>
      <c r="AA57" s="51"/>
      <c r="AB57" s="38"/>
      <c r="AC57" s="51"/>
      <c r="AD57" s="39"/>
      <c r="AE57" s="17">
        <f>IF(AND(ISNUMBER(U57),N(U57)&gt;=$D$31,N(U57)&lt;=$D$32),1,0)</f>
        <v>0</v>
      </c>
      <c r="AF57" t="e" s="17">
        <f>IF(AND(ISNUMBER(Z57),N(Z57)&gt;=$D$33),1,0)</f>
        <v>#DIV/0!</v>
      </c>
      <c r="AG57" s="17">
        <f>IF(AND(ISNUMBER(Y57),N(Y57)&lt;=$D$34),1,0)</f>
        <v>0</v>
      </c>
      <c r="AH57" s="17">
        <f>IF(AND(ISNUMBER(H57),N(H57)&gt;=$D$35),1,0)</f>
        <v>0</v>
      </c>
      <c r="AI57" s="17">
        <f>IF(AND(ISNUMBER(M57),N(M57)&gt;=$D$36),1,0)</f>
        <v>0</v>
      </c>
      <c r="AJ57" s="17">
        <f>IF(AND(ISNUMBER(S57),N(S57)&lt;=$D$37),1,0)</f>
        <v>0</v>
      </c>
      <c r="AK57" s="17">
        <f>IF(N(AB57)&gt;=$D$38,1,0)</f>
        <v>1</v>
      </c>
      <c r="AL57" s="17">
        <f>IF(N(AD57)&gt;0,1,0)</f>
        <v>0</v>
      </c>
      <c r="AM57" s="17">
        <f>SUM(AH57:AL57)</f>
        <v>1</v>
      </c>
      <c r="AN57" t="e" s="16">
        <f>IF(AND(AE57=1,AF57=1,AG57=1,AM57&gt;=$D$40),"Pass","Fail")</f>
        <v>#DIV/0!</v>
      </c>
      <c r="AO57" t="e" s="51">
        <f>IF(AN57="Pass","Pass: "&amp;AM57&amp;" of 5 traits; "&amp;TEXT(Y57,"0%")&amp;" of 52-week high"&amp;IF(AK57=1,"; "&amp;AA57,"")&amp;IF(AL57=1,"; "&amp;AC57,""),"Fail: "&amp;IF(AE57=0,"TEV outside range; ","")&amp;IF(AG57=0,"price "&amp;IF(ISNUMBER(Y57),TEXT(Y57,"0%"),"n.a.")&amp;" of 52-week high; ","")&amp;IF(AF57=0,IF(Z57="n.r.","recurring not reviewed; ","recurring below 75% or not disclosed; "),"")&amp;IF(AM57&lt;$D$40,"traits "&amp;AM57&amp;" of 5",""))</f>
        <v>#DIV/0!</v>
      </c>
    </row>
    <row r="58">
      <c r="B58"/>
      <c r="E58" s="35"/>
      <c r="F58" s="36"/>
      <c r="G58" s="36"/>
      <c r="H58" t="str" s="25">
        <f>IF(N(G58)&gt;0,F58/G58-1,"n.a.")</f>
        <v>n.a.</v>
      </c>
      <c r="I58" s="36"/>
      <c r="J58" s="36"/>
      <c r="K58" s="36"/>
      <c r="L58" s="24">
        <f>SUM(I58:K58)</f>
        <v>0</v>
      </c>
      <c r="M58" t="str" s="25">
        <f>IF(F58&gt;0,L58/F58,"n.a.")</f>
        <v>n.a.</v>
      </c>
      <c r="N58" s="36"/>
      <c r="O58" s="36"/>
      <c r="P58" s="24"/>
      <c r="Q58" s="36"/>
      <c r="R58" s="24">
        <f>SUM(N58:P58)-Q58</f>
        <v>0</v>
      </c>
      <c r="S58" t="str" s="26">
        <f>IF(L58&gt;0,R58/L58,"NM")</f>
        <v>NM</v>
      </c>
      <c r="T58" s="36"/>
      <c r="U58" t="str" s="24">
        <f>IF(N(T58)&gt;0,T58+R58,"n.a.")</f>
        <v>n.a.</v>
      </c>
      <c r="V58" s="37"/>
      <c r="W58" s="37"/>
      <c r="X58" s="35"/>
      <c r="Y58" t="str" s="25">
        <f>IF(N(W58)&gt;0,V58/W58,"n.a.")</f>
        <v>n.a.</v>
      </c>
      <c r="Z58" t="e" s="25">
        <f>K139</f>
        <v>#DIV/0!</v>
      </c>
      <c r="AA58" s="51"/>
      <c r="AB58" s="25"/>
      <c r="AC58" s="51"/>
      <c r="AD58" s="28"/>
      <c r="AE58" s="17">
        <f>IF(AND(ISNUMBER(U58),N(U58)&gt;=$D$31,N(U58)&lt;=$D$32),1,0)</f>
        <v>0</v>
      </c>
      <c r="AF58" t="e" s="17">
        <f>IF(AND(ISNUMBER(Z58),N(Z58)&gt;=$D$33),1,0)</f>
        <v>#DIV/0!</v>
      </c>
      <c r="AG58" s="17">
        <f>IF(AND(ISNUMBER(Y58),N(Y58)&lt;=$D$34),1,0)</f>
        <v>0</v>
      </c>
      <c r="AH58" s="17">
        <f>IF(AND(ISNUMBER(H58),N(H58)&gt;=$D$35),1,0)</f>
        <v>0</v>
      </c>
      <c r="AI58" s="17">
        <f>IF(AND(ISNUMBER(M58),N(M58)&gt;=$D$36),1,0)</f>
        <v>0</v>
      </c>
      <c r="AJ58" s="17">
        <f>IF(AND(ISNUMBER(S58),N(S58)&lt;=$D$37),1,0)</f>
        <v>0</v>
      </c>
      <c r="AK58" s="17">
        <f>IF(N(AB58)&gt;=$D$38,1,0)</f>
        <v>1</v>
      </c>
      <c r="AL58" s="17">
        <f>IF(N(AD58)&gt;0,1,0)</f>
        <v>0</v>
      </c>
      <c r="AM58" s="17">
        <f>SUM(AH58:AL58)</f>
        <v>1</v>
      </c>
      <c r="AN58" t="e" s="16">
        <f>IF(AND(AE58=1,AF58=1,AG58=1,AM58&gt;=$D$40),"Pass","Fail")</f>
        <v>#DIV/0!</v>
      </c>
      <c r="AO58" t="e" s="51">
        <f>IF(AN58="Pass","Pass: "&amp;AM58&amp;" of 5 traits; "&amp;TEXT(Y58,"0%")&amp;" of 52-week high"&amp;IF(AK58=1,"; "&amp;AA58,"")&amp;IF(AL58=1,"; "&amp;AC58,""),"Fail: "&amp;IF(AE58=0,"TEV outside range; ","")&amp;IF(AG58=0,"price "&amp;IF(ISNUMBER(Y58),TEXT(Y58,"0%"),"n.a.")&amp;" of 52-week high; ","")&amp;IF(AF58=0,IF(Z58="n.r.","recurring not reviewed; ","recurring below 75% or not disclosed; "),"")&amp;IF(AM58&lt;$D$40,"traits "&amp;AM58&amp;" of 5",""))</f>
        <v>#DIV/0!</v>
      </c>
    </row>
    <row r="59">
      <c r="B59"/>
      <c r="E59" s="35"/>
      <c r="F59" s="36"/>
      <c r="G59" s="36"/>
      <c r="H59" t="str" s="25">
        <f>IF(N(G59)&gt;0,F59/G59-1,"n.a.")</f>
        <v>n.a.</v>
      </c>
      <c r="I59" s="36"/>
      <c r="J59" s="36"/>
      <c r="K59" s="36"/>
      <c r="L59" s="24">
        <f>SUM(I59:K59)</f>
        <v>0</v>
      </c>
      <c r="M59" t="str" s="25">
        <f>IF(F59&gt;0,L59/F59,"n.a.")</f>
        <v>n.a.</v>
      </c>
      <c r="N59" s="36"/>
      <c r="O59" s="36"/>
      <c r="P59" s="24"/>
      <c r="Q59" s="36"/>
      <c r="R59" s="24">
        <f>SUM(N59:P59)-Q59</f>
        <v>0</v>
      </c>
      <c r="S59" t="str" s="26">
        <f>IF(L59&gt;0,R59/L59,"NM")</f>
        <v>NM</v>
      </c>
      <c r="T59" s="36"/>
      <c r="U59" t="str" s="24">
        <f>IF(N(T59)&gt;0,T59+R59,"n.a.")</f>
        <v>n.a.</v>
      </c>
      <c r="V59" s="37"/>
      <c r="W59" s="37"/>
      <c r="X59" s="35"/>
      <c r="Y59" t="str" s="25">
        <f>IF(N(W59)&gt;0,V59/W59,"n.a.")</f>
        <v>n.a.</v>
      </c>
      <c r="Z59" t="e" s="25">
        <f>K140</f>
        <v>#DIV/0!</v>
      </c>
      <c r="AA59" s="51"/>
      <c r="AB59" s="38"/>
      <c r="AC59" s="51"/>
      <c r="AD59" s="28"/>
      <c r="AE59" s="17">
        <f>IF(AND(ISNUMBER(U59),N(U59)&gt;=$D$31,N(U59)&lt;=$D$32),1,0)</f>
        <v>0</v>
      </c>
      <c r="AF59" t="e" s="17">
        <f>IF(AND(ISNUMBER(Z59),N(Z59)&gt;=$D$33),1,0)</f>
        <v>#DIV/0!</v>
      </c>
      <c r="AG59" s="17">
        <f>IF(AND(ISNUMBER(Y59),N(Y59)&lt;=$D$34),1,0)</f>
        <v>0</v>
      </c>
      <c r="AH59" s="17">
        <f>IF(AND(ISNUMBER(H59),N(H59)&gt;=$D$35),1,0)</f>
        <v>0</v>
      </c>
      <c r="AI59" s="17">
        <f>IF(AND(ISNUMBER(M59),N(M59)&gt;=$D$36),1,0)</f>
        <v>0</v>
      </c>
      <c r="AJ59" s="17">
        <f>IF(AND(ISNUMBER(S59),N(S59)&lt;=$D$37),1,0)</f>
        <v>0</v>
      </c>
      <c r="AK59" s="17">
        <f>IF(N(AB59)&gt;=$D$38,1,0)</f>
        <v>1</v>
      </c>
      <c r="AL59" s="17">
        <f>IF(N(AD59)&gt;0,1,0)</f>
        <v>0</v>
      </c>
      <c r="AM59" s="17">
        <f>SUM(AH59:AL59)</f>
        <v>1</v>
      </c>
      <c r="AN59" t="e" s="16">
        <f>IF(AND(AE59=1,AF59=1,AG59=1,AM59&gt;=$D$40),"Pass","Fail")</f>
        <v>#DIV/0!</v>
      </c>
      <c r="AO59" t="e" s="51">
        <f>IF(AN59="Pass","Pass: "&amp;AM59&amp;" of 5 traits; "&amp;TEXT(Y59,"0%")&amp;" of 52-week high"&amp;IF(AK59=1,"; "&amp;AA59,"")&amp;IF(AL59=1,"; "&amp;AC59,""),"Fail: "&amp;IF(AE59=0,"TEV outside range; ","")&amp;IF(AG59=0,"price "&amp;IF(ISNUMBER(Y59),TEXT(Y59,"0%"),"n.a.")&amp;" of 52-week high; ","")&amp;IF(AF59=0,IF(Z59="n.r.","recurring not reviewed; ","recurring below 75% or not disclosed; "),"")&amp;IF(AM59&lt;$D$40,"traits "&amp;AM59&amp;" of 5",""))</f>
        <v>#DIV/0!</v>
      </c>
    </row>
    <row r="60">
      <c r="E60" s="35"/>
      <c r="F60" s="36"/>
      <c r="G60" s="36"/>
      <c r="H60" t="str" s="25">
        <f>IF(N(G60)&gt;0,F60/G60-1,"n.a.")</f>
        <v>n.a.</v>
      </c>
      <c r="I60" s="36"/>
      <c r="J60" s="36"/>
      <c r="K60" s="36"/>
      <c r="L60" s="24">
        <f>SUM(I60:K60)</f>
        <v>0</v>
      </c>
      <c r="M60" t="str" s="25">
        <f>IF(F60&gt;0,L60/F60,"n.a.")</f>
        <v>n.a.</v>
      </c>
      <c r="N60" s="24"/>
      <c r="O60" s="36"/>
      <c r="P60" s="36"/>
      <c r="Q60" s="36"/>
      <c r="R60" s="24">
        <f>SUM(N60:P60)-Q60</f>
        <v>0</v>
      </c>
      <c r="S60" t="str" s="26">
        <f>IF(L60&gt;0,R60/L60,"NM")</f>
        <v>NM</v>
      </c>
      <c r="T60" s="36"/>
      <c r="U60" t="str" s="24">
        <f>IF(N(T60)&gt;0,T60+R60,"n.a.")</f>
        <v>n.a.</v>
      </c>
      <c r="V60" s="37"/>
      <c r="W60" s="37"/>
      <c r="X60" s="35"/>
      <c r="Y60" t="str" s="25">
        <f>IF(N(W60)&gt;0,V60/W60,"n.a.")</f>
        <v>n.a.</v>
      </c>
      <c r="Z60" t="e" s="25">
        <f>K141</f>
        <v>#DIV/0!</v>
      </c>
      <c r="AA60" s="51"/>
      <c r="AB60" s="25"/>
      <c r="AC60" s="51"/>
      <c r="AD60" s="28"/>
      <c r="AE60" s="17">
        <f>IF(AND(ISNUMBER(U60),N(U60)&gt;=$D$31,N(U60)&lt;=$D$32),1,0)</f>
        <v>0</v>
      </c>
      <c r="AF60" t="e" s="17">
        <f>IF(AND(ISNUMBER(Z60),N(Z60)&gt;=$D$33),1,0)</f>
        <v>#DIV/0!</v>
      </c>
      <c r="AG60" s="17">
        <f>IF(AND(ISNUMBER(Y60),N(Y60)&lt;=$D$34),1,0)</f>
        <v>0</v>
      </c>
      <c r="AH60" s="17">
        <f>IF(AND(ISNUMBER(H60),N(H60)&gt;=$D$35),1,0)</f>
        <v>0</v>
      </c>
      <c r="AI60" s="17">
        <f>IF(AND(ISNUMBER(M60),N(M60)&gt;=$D$36),1,0)</f>
        <v>0</v>
      </c>
      <c r="AJ60" s="17">
        <f>IF(AND(ISNUMBER(S60),N(S60)&lt;=$D$37),1,0)</f>
        <v>0</v>
      </c>
      <c r="AK60" s="17">
        <f>IF(N(AB60)&gt;=$D$38,1,0)</f>
        <v>1</v>
      </c>
      <c r="AL60" s="17">
        <f>IF(N(AD60)&gt;0,1,0)</f>
        <v>0</v>
      </c>
      <c r="AM60" s="17">
        <f>SUM(AH60:AL60)</f>
        <v>1</v>
      </c>
      <c r="AN60" t="e" s="16">
        <f>IF(AND(AE60=1,AF60=1,AG60=1,AM60&gt;=$D$40),"Pass","Fail")</f>
        <v>#DIV/0!</v>
      </c>
      <c r="AO60" t="e" s="51">
        <f>IF(AN60="Pass","Pass: "&amp;AM60&amp;" of 5 traits; "&amp;TEXT(Y60,"0%")&amp;" of 52-week high"&amp;IF(AK60=1,"; "&amp;AA60,"")&amp;IF(AL60=1,"; "&amp;AC60,""),"Fail: "&amp;IF(AE60=0,"TEV outside range; ","")&amp;IF(AG60=0,"price "&amp;IF(ISNUMBER(Y60),TEXT(Y60,"0%"),"n.a.")&amp;" of 52-week high; ","")&amp;IF(AF60=0,IF(Z60="n.r.","recurring not reviewed; ","recurring below 75% or not disclosed; "),"")&amp;IF(AM60&lt;$D$40,"traits "&amp;AM60&amp;" of 5",""))</f>
        <v>#DIV/0!</v>
      </c>
    </row>
    <row r="61">
      <c r="E61" s="35"/>
      <c r="F61" s="36"/>
      <c r="G61" s="36"/>
      <c r="H61" t="str" s="25">
        <f>IF(N(G61)&gt;0,F61/G61-1,"n.a.")</f>
        <v>n.a.</v>
      </c>
      <c r="I61" s="36"/>
      <c r="J61" s="36"/>
      <c r="K61" s="36"/>
      <c r="L61" s="24">
        <f>SUM(I61:K61)</f>
        <v>0</v>
      </c>
      <c r="M61" t="str" s="25">
        <f>IF(F61&gt;0,L61/F61,"n.a.")</f>
        <v>n.a.</v>
      </c>
      <c r="N61" s="24"/>
      <c r="O61" s="24"/>
      <c r="P61" s="24"/>
      <c r="Q61" s="36"/>
      <c r="R61" s="24">
        <f>SUM(N61:P61)-Q61</f>
        <v>0</v>
      </c>
      <c r="S61" t="str" s="26">
        <f>IF(L61&gt;0,R61/L61,"NM")</f>
        <v>NM</v>
      </c>
      <c r="T61" s="36"/>
      <c r="U61" t="str" s="24">
        <f>IF(N(T61)&gt;0,T61+R61,"n.a.")</f>
        <v>n.a.</v>
      </c>
      <c r="V61" s="37"/>
      <c r="W61" s="37"/>
      <c r="X61" s="35"/>
      <c r="Y61" t="str" s="25">
        <f>IF(N(W61)&gt;0,V61/W61,"n.a.")</f>
        <v>n.a.</v>
      </c>
      <c r="Z61" t="e" s="25">
        <f>K142</f>
        <v>#DIV/0!</v>
      </c>
      <c r="AA61" s="51"/>
      <c r="AB61" s="25"/>
      <c r="AC61" s="51"/>
      <c r="AD61" s="28"/>
      <c r="AE61" s="17">
        <f>IF(AND(ISNUMBER(U61),N(U61)&gt;=$D$31,N(U61)&lt;=$D$32),1,0)</f>
        <v>0</v>
      </c>
      <c r="AF61" t="e" s="17">
        <f>IF(AND(ISNUMBER(Z61),N(Z61)&gt;=$D$33),1,0)</f>
        <v>#DIV/0!</v>
      </c>
      <c r="AG61" s="17">
        <f>IF(AND(ISNUMBER(Y61),N(Y61)&lt;=$D$34),1,0)</f>
        <v>0</v>
      </c>
      <c r="AH61" s="17">
        <f>IF(AND(ISNUMBER(H61),N(H61)&gt;=$D$35),1,0)</f>
        <v>0</v>
      </c>
      <c r="AI61" s="17">
        <f>IF(AND(ISNUMBER(M61),N(M61)&gt;=$D$36),1,0)</f>
        <v>0</v>
      </c>
      <c r="AJ61" s="17">
        <f>IF(AND(ISNUMBER(S61),N(S61)&lt;=$D$37),1,0)</f>
        <v>0</v>
      </c>
      <c r="AK61" s="17">
        <f>IF(N(AB61)&gt;=$D$38,1,0)</f>
        <v>1</v>
      </c>
      <c r="AL61" s="17">
        <f>IF(N(AD61)&gt;0,1,0)</f>
        <v>0</v>
      </c>
      <c r="AM61" s="17">
        <f>SUM(AH61:AL61)</f>
        <v>1</v>
      </c>
      <c r="AN61" t="e" s="16">
        <f>IF(AND(AE61=1,AF61=1,AG61=1,AM61&gt;=$D$40),"Pass","Fail")</f>
        <v>#DIV/0!</v>
      </c>
      <c r="AO61" t="e" s="51">
        <f>IF(AN61="Pass","Pass: "&amp;AM61&amp;" of 5 traits; "&amp;TEXT(Y61,"0%")&amp;" of 52-week high"&amp;IF(AK61=1,"; "&amp;AA61,"")&amp;IF(AL61=1,"; "&amp;AC61,""),"Fail: "&amp;IF(AE61=0,"TEV outside range; ","")&amp;IF(AG61=0,"price "&amp;IF(ISNUMBER(Y61),TEXT(Y61,"0%"),"n.a.")&amp;" of 52-week high; ","")&amp;IF(AF61=0,IF(Z61="n.r.","recurring not reviewed; ","recurring below 75% or not disclosed; "),"")&amp;IF(AM61&lt;$D$40,"traits "&amp;AM61&amp;" of 5",""))</f>
        <v>#DIV/0!</v>
      </c>
    </row>
    <row r="62">
      <c r="E62" s="35"/>
      <c r="F62" s="36"/>
      <c r="G62" s="36"/>
      <c r="H62" t="str" s="25">
        <f>IF(N(G62)&gt;0,F62/G62-1,"n.a.")</f>
        <v>n.a.</v>
      </c>
      <c r="I62" s="36"/>
      <c r="J62" s="36"/>
      <c r="K62" s="36"/>
      <c r="L62" s="24">
        <f>SUM(I62:K62)</f>
        <v>0</v>
      </c>
      <c r="M62" t="str" s="25">
        <f>IF(F62&gt;0,L62/F62,"n.a.")</f>
        <v>n.a.</v>
      </c>
      <c r="N62" s="36"/>
      <c r="O62" s="36"/>
      <c r="P62" s="24"/>
      <c r="Q62" s="36"/>
      <c r="R62" s="24">
        <f>SUM(N62:P62)-Q62</f>
        <v>0</v>
      </c>
      <c r="S62" t="str" s="26">
        <f>IF(L62&gt;0,R62/L62,"NM")</f>
        <v>NM</v>
      </c>
      <c r="T62" s="36"/>
      <c r="U62" t="str" s="24">
        <f>IF(N(T62)&gt;0,T62+R62,"n.a.")</f>
        <v>n.a.</v>
      </c>
      <c r="V62" s="37"/>
      <c r="W62" s="37"/>
      <c r="X62" s="35"/>
      <c r="Y62" t="str" s="25">
        <f>IF(N(W62)&gt;0,V62/W62,"n.a.")</f>
        <v>n.a.</v>
      </c>
      <c r="Z62" s="25"/>
      <c r="AA62" s="51"/>
      <c r="AB62" s="25"/>
      <c r="AC62" s="51"/>
      <c r="AD62" s="28"/>
      <c r="AE62" s="17">
        <f>IF(AND(ISNUMBER(U62),N(U62)&gt;=$D$31,N(U62)&lt;=$D$32),1,0)</f>
        <v>0</v>
      </c>
      <c r="AF62" s="17">
        <f>IF(AND(ISNUMBER(Z62),N(Z62)&gt;=$D$33),1,0)</f>
        <v>0</v>
      </c>
      <c r="AG62" s="17">
        <f>IF(AND(ISNUMBER(Y62),N(Y62)&lt;=$D$34),1,0)</f>
        <v>0</v>
      </c>
      <c r="AH62" s="17">
        <f>IF(AND(ISNUMBER(H62),N(H62)&gt;=$D$35),1,0)</f>
        <v>0</v>
      </c>
      <c r="AI62" s="17">
        <f>IF(AND(ISNUMBER(M62),N(M62)&gt;=$D$36),1,0)</f>
        <v>0</v>
      </c>
      <c r="AJ62" s="17">
        <f>IF(AND(ISNUMBER(S62),N(S62)&lt;=$D$37),1,0)</f>
        <v>0</v>
      </c>
      <c r="AK62" s="17">
        <f>IF(N(AB62)&gt;=$D$38,1,0)</f>
        <v>1</v>
      </c>
      <c r="AL62" s="17">
        <f>IF(N(AD62)&gt;0,1,0)</f>
        <v>0</v>
      </c>
      <c r="AM62" s="17">
        <f>SUM(AH62:AL62)</f>
        <v>1</v>
      </c>
      <c r="AN62" t="str" s="16">
        <f>IF(AND(AE62=1,AF62=1,AG62=1,AM62&gt;=$D$40),"Pass","Fail")</f>
        <v>Fail</v>
      </c>
      <c r="AO62" t="str" s="51">
        <f>IF(AN62="Pass","Pass: "&amp;AM62&amp;" of 5 traits; "&amp;TEXT(Y62,"0%")&amp;" of 52-week high"&amp;IF(AK62=1,"; "&amp;AA62,"")&amp;IF(AL62=1,"; "&amp;AC62,""),"Fail: "&amp;IF(AE62=0,"TEV outside range; ","")&amp;IF(AG62=0,"price "&amp;IF(ISNUMBER(Y62),TEXT(Y62,"0%"),"n.a.")&amp;" of 52-week high; ","")&amp;IF(AF62=0,IF(Z62="n.r.","recurring not reviewed; ","recurring below 75% or not disclosed; "),"")&amp;IF(AM62&lt;$D$40,"traits "&amp;AM62&amp;" of 5",""))</f>
        <v>Fail: TEV outside range; price n.a. of 52-week high; recurring below 75% or not disclosed; </v>
      </c>
    </row>
    <row r="63">
      <c r="E63" s="35"/>
      <c r="F63" s="36"/>
      <c r="G63" s="36"/>
      <c r="H63" t="str" s="25">
        <f>IF(N(G63)&gt;0,F63/G63-1,"n.a.")</f>
        <v>n.a.</v>
      </c>
      <c r="I63" s="36"/>
      <c r="J63" s="36"/>
      <c r="K63" s="36"/>
      <c r="L63" s="24">
        <f>SUM(I63:K63)</f>
        <v>0</v>
      </c>
      <c r="M63" t="str" s="25">
        <f>IF(F63&gt;0,L63/F63,"n.a.")</f>
        <v>n.a.</v>
      </c>
      <c r="N63" s="24"/>
      <c r="O63" s="36"/>
      <c r="P63" s="36"/>
      <c r="Q63" s="36"/>
      <c r="R63" s="24">
        <f>SUM(N63:P63)-Q63</f>
        <v>0</v>
      </c>
      <c r="S63" t="str" s="26">
        <f>IF(L63&gt;0,R63/L63,"NM")</f>
        <v>NM</v>
      </c>
      <c r="T63" s="36"/>
      <c r="U63" t="str" s="24">
        <f>IF(N(T63)&gt;0,T63+R63,"n.a.")</f>
        <v>n.a.</v>
      </c>
      <c r="V63" s="37"/>
      <c r="W63" s="37"/>
      <c r="X63" s="35"/>
      <c r="Y63" t="str" s="25">
        <f>IF(N(W63)&gt;0,V63/W63,"n.a.")</f>
        <v>n.a.</v>
      </c>
      <c r="Z63" s="25"/>
      <c r="AA63" s="51"/>
      <c r="AB63" s="25"/>
      <c r="AC63" s="51"/>
      <c r="AD63" s="28"/>
      <c r="AE63" s="17">
        <f>IF(AND(ISNUMBER(U63),N(U63)&gt;=$D$31,N(U63)&lt;=$D$32),1,0)</f>
        <v>0</v>
      </c>
      <c r="AF63" s="17">
        <f>IF(AND(ISNUMBER(Z63),N(Z63)&gt;=$D$33),1,0)</f>
        <v>0</v>
      </c>
      <c r="AG63" s="17">
        <f>IF(AND(ISNUMBER(Y63),N(Y63)&lt;=$D$34),1,0)</f>
        <v>0</v>
      </c>
      <c r="AH63" s="17">
        <f>IF(AND(ISNUMBER(H63),N(H63)&gt;=$D$35),1,0)</f>
        <v>0</v>
      </c>
      <c r="AI63" s="17">
        <f>IF(AND(ISNUMBER(M63),N(M63)&gt;=$D$36),1,0)</f>
        <v>0</v>
      </c>
      <c r="AJ63" s="17">
        <f>IF(AND(ISNUMBER(S63),N(S63)&lt;=$D$37),1,0)</f>
        <v>0</v>
      </c>
      <c r="AK63" s="17">
        <f>IF(N(AB63)&gt;=$D$38,1,0)</f>
        <v>1</v>
      </c>
      <c r="AL63" s="17">
        <f>IF(N(AD63)&gt;0,1,0)</f>
        <v>0</v>
      </c>
      <c r="AM63" s="17">
        <f>SUM(AH63:AL63)</f>
        <v>1</v>
      </c>
      <c r="AN63" t="str" s="16">
        <f>IF(AND(AE63=1,AF63=1,AG63=1,AM63&gt;=$D$40),"Pass","Fail")</f>
        <v>Fail</v>
      </c>
      <c r="AO63" t="str" s="51">
        <f>IF(AN63="Pass","Pass: "&amp;AM63&amp;" of 5 traits; "&amp;TEXT(Y63,"0%")&amp;" of 52-week high"&amp;IF(AK63=1,"; "&amp;AA63,"")&amp;IF(AL63=1,"; "&amp;AC63,""),"Fail: "&amp;IF(AE63=0,"TEV outside range; ","")&amp;IF(AG63=0,"price "&amp;IF(ISNUMBER(Y63),TEXT(Y63,"0%"),"n.a.")&amp;" of 52-week high; ","")&amp;IF(AF63=0,IF(Z63="n.r.","recurring not reviewed; ","recurring below 75% or not disclosed; "),"")&amp;IF(AM63&lt;$D$40,"traits "&amp;AM63&amp;" of 5",""))</f>
        <v>Fail: TEV outside range; price n.a. of 52-week high; recurring below 75% or not disclosed; </v>
      </c>
    </row>
    <row r="64">
      <c r="E64" s="35"/>
      <c r="F64" s="36"/>
      <c r="G64" s="36"/>
      <c r="H64" t="str" s="25">
        <f>IF(N(G64)&gt;0,F64/G64-1,"n.a.")</f>
        <v>n.a.</v>
      </c>
      <c r="I64" s="36"/>
      <c r="J64" s="36"/>
      <c r="K64" s="36"/>
      <c r="L64" s="24">
        <f>SUM(I64:K64)</f>
        <v>0</v>
      </c>
      <c r="M64" t="str" s="25">
        <f>IF(F64&gt;0,L64/F64,"n.a.")</f>
        <v>n.a.</v>
      </c>
      <c r="N64" s="36"/>
      <c r="O64" s="36"/>
      <c r="P64" s="24"/>
      <c r="Q64" s="36"/>
      <c r="R64" s="24">
        <f>SUM(N64:P64)-Q64</f>
        <v>0</v>
      </c>
      <c r="S64" t="str" s="26">
        <f>IF(L64&gt;0,R64/L64,"NM")</f>
        <v>NM</v>
      </c>
      <c r="T64" s="36"/>
      <c r="U64" t="str" s="24">
        <f>IF(N(T64)&gt;0,T64+R64,"n.a.")</f>
        <v>n.a.</v>
      </c>
      <c r="V64" s="37"/>
      <c r="W64" s="37"/>
      <c r="X64" s="35"/>
      <c r="Y64" t="str" s="25">
        <f>IF(N(W64)&gt;0,V64/W64,"n.a.")</f>
        <v>n.a.</v>
      </c>
      <c r="Z64" s="25"/>
      <c r="AA64" s="51"/>
      <c r="AB64" s="25"/>
      <c r="AC64" s="51"/>
      <c r="AD64" s="28"/>
      <c r="AE64" s="17">
        <f>IF(AND(ISNUMBER(U64),N(U64)&gt;=$D$31,N(U64)&lt;=$D$32),1,0)</f>
        <v>0</v>
      </c>
      <c r="AF64" s="17">
        <f>IF(AND(ISNUMBER(Z64),N(Z64)&gt;=$D$33),1,0)</f>
        <v>0</v>
      </c>
      <c r="AG64" s="17">
        <f>IF(AND(ISNUMBER(Y64),N(Y64)&lt;=$D$34),1,0)</f>
        <v>0</v>
      </c>
      <c r="AH64" s="17">
        <f>IF(AND(ISNUMBER(H64),N(H64)&gt;=$D$35),1,0)</f>
        <v>0</v>
      </c>
      <c r="AI64" s="17">
        <f>IF(AND(ISNUMBER(M64),N(M64)&gt;=$D$36),1,0)</f>
        <v>0</v>
      </c>
      <c r="AJ64" s="17">
        <f>IF(AND(ISNUMBER(S64),N(S64)&lt;=$D$37),1,0)</f>
        <v>0</v>
      </c>
      <c r="AK64" s="17">
        <f>IF(N(AB64)&gt;=$D$38,1,0)</f>
        <v>1</v>
      </c>
      <c r="AL64" s="17">
        <f>IF(N(AD64)&gt;0,1,0)</f>
        <v>0</v>
      </c>
      <c r="AM64" s="17">
        <f>SUM(AH64:AL64)</f>
        <v>1</v>
      </c>
      <c r="AN64" t="str" s="16">
        <f>IF(AND(AE64=1,AF64=1,AG64=1,AM64&gt;=$D$40),"Pass","Fail")</f>
        <v>Fail</v>
      </c>
      <c r="AO64" t="str" s="51">
        <f>IF(AN64="Pass","Pass: "&amp;AM64&amp;" of 5 traits; "&amp;TEXT(Y64,"0%")&amp;" of 52-week high"&amp;IF(AK64=1,"; "&amp;AA64,"")&amp;IF(AL64=1,"; "&amp;AC64,""),"Fail: "&amp;IF(AE64=0,"TEV outside range; ","")&amp;IF(AG64=0,"price "&amp;IF(ISNUMBER(Y64),TEXT(Y64,"0%"),"n.a.")&amp;" of 52-week high; ","")&amp;IF(AF64=0,IF(Z64="n.r.","recurring not reviewed; ","recurring below 75% or not disclosed; "),"")&amp;IF(AM64&lt;$D$40,"traits "&amp;AM64&amp;" of 5",""))</f>
        <v>Fail: TEV outside range; price n.a. of 52-week high; recurring below 75% or not disclosed; </v>
      </c>
    </row>
    <row r="65">
      <c r="E65" s="35"/>
      <c r="F65" s="36"/>
      <c r="G65" s="36"/>
      <c r="H65" t="str" s="25">
        <f>IF(N(G65)&gt;0,F65/G65-1,"n.a.")</f>
        <v>n.a.</v>
      </c>
      <c r="I65" s="36"/>
      <c r="J65" s="36"/>
      <c r="K65" s="36"/>
      <c r="L65" s="24">
        <f>SUM(I65:K65)</f>
        <v>0</v>
      </c>
      <c r="M65" t="str" s="25">
        <f>IF(F65&gt;0,L65/F65,"n.a.")</f>
        <v>n.a.</v>
      </c>
      <c r="N65" s="24"/>
      <c r="O65" s="36"/>
      <c r="P65" s="24"/>
      <c r="Q65" s="36"/>
      <c r="R65" s="24">
        <f>SUM(N65:P65)-Q65</f>
        <v>0</v>
      </c>
      <c r="S65" t="str" s="26">
        <f>IF(L65&gt;0,R65/L65,"NM")</f>
        <v>NM</v>
      </c>
      <c r="T65" s="36"/>
      <c r="U65" t="str" s="24">
        <f>IF(N(T65)&gt;0,T65+R65,"n.a.")</f>
        <v>n.a.</v>
      </c>
      <c r="V65" s="37"/>
      <c r="W65" s="37"/>
      <c r="X65" s="35"/>
      <c r="Y65" t="str" s="25">
        <f>IF(N(W65)&gt;0,V65/W65,"n.a.")</f>
        <v>n.a.</v>
      </c>
      <c r="Z65" s="25"/>
      <c r="AA65" s="51"/>
      <c r="AB65" s="25"/>
      <c r="AC65" s="51"/>
      <c r="AD65" s="28"/>
      <c r="AE65" s="17">
        <f>IF(AND(ISNUMBER(U65),N(U65)&gt;=$D$31,N(U65)&lt;=$D$32),1,0)</f>
        <v>0</v>
      </c>
      <c r="AF65" s="17">
        <f>IF(AND(ISNUMBER(Z65),N(Z65)&gt;=$D$33),1,0)</f>
        <v>0</v>
      </c>
      <c r="AG65" s="17">
        <f>IF(AND(ISNUMBER(Y65),N(Y65)&lt;=$D$34),1,0)</f>
        <v>0</v>
      </c>
      <c r="AH65" s="17">
        <f>IF(AND(ISNUMBER(H65),N(H65)&gt;=$D$35),1,0)</f>
        <v>0</v>
      </c>
      <c r="AI65" s="17">
        <f>IF(AND(ISNUMBER(M65),N(M65)&gt;=$D$36),1,0)</f>
        <v>0</v>
      </c>
      <c r="AJ65" s="17">
        <f>IF(AND(ISNUMBER(S65),N(S65)&lt;=$D$37),1,0)</f>
        <v>0</v>
      </c>
      <c r="AK65" s="17">
        <f>IF(N(AB65)&gt;=$D$38,1,0)</f>
        <v>1</v>
      </c>
      <c r="AL65" s="17">
        <f>IF(N(AD65)&gt;0,1,0)</f>
        <v>0</v>
      </c>
      <c r="AM65" s="17">
        <f>SUM(AH65:AL65)</f>
        <v>1</v>
      </c>
      <c r="AN65" t="str" s="16">
        <f>IF(AND(AE65=1,AF65=1,AG65=1,AM65&gt;=$D$40),"Pass","Fail")</f>
        <v>Fail</v>
      </c>
      <c r="AO65" t="str" s="51">
        <f>IF(AN65="Pass","Pass: "&amp;AM65&amp;" of 5 traits; "&amp;TEXT(Y65,"0%")&amp;" of 52-week high"&amp;IF(AK65=1,"; "&amp;AA65,"")&amp;IF(AL65=1,"; "&amp;AC65,""),"Fail: "&amp;IF(AE65=0,"TEV outside range; ","")&amp;IF(AG65=0,"price "&amp;IF(ISNUMBER(Y65),TEXT(Y65,"0%"),"n.a.")&amp;" of 52-week high; ","")&amp;IF(AF65=0,IF(Z65="n.r.","recurring not reviewed; ","recurring below 75% or not disclosed; "),"")&amp;IF(AM65&lt;$D$40,"traits "&amp;AM65&amp;" of 5",""))</f>
        <v>Fail: TEV outside range; price n.a. of 52-week high; recurring below 75% or not disclosed; </v>
      </c>
    </row>
    <row r="66">
      <c r="E66" s="35"/>
      <c r="F66" s="36"/>
      <c r="G66" s="36"/>
      <c r="H66" t="str" s="25">
        <f>IF(N(G66)&gt;0,F66/G66-1,"n.a.")</f>
        <v>n.a.</v>
      </c>
      <c r="I66" s="36"/>
      <c r="J66" s="36"/>
      <c r="K66" s="36"/>
      <c r="L66" s="24">
        <f>SUM(I66:K66)</f>
        <v>0</v>
      </c>
      <c r="M66" t="str" s="25">
        <f>IF(F66&gt;0,L66/F66,"n.a.")</f>
        <v>n.a.</v>
      </c>
      <c r="N66" s="36"/>
      <c r="O66" s="36"/>
      <c r="P66" s="24"/>
      <c r="Q66" s="36"/>
      <c r="R66" s="24">
        <f>SUM(N66:P66)-Q66</f>
        <v>0</v>
      </c>
      <c r="S66" t="str" s="26">
        <f>IF(L66&gt;0,R66/L66,"NM")</f>
        <v>NM</v>
      </c>
      <c r="T66" s="36"/>
      <c r="U66" t="str" s="24">
        <f>IF(N(T66)&gt;0,T66+R66,"n.a.")</f>
        <v>n.a.</v>
      </c>
      <c r="V66" s="37"/>
      <c r="W66" s="37"/>
      <c r="X66" s="35"/>
      <c r="Y66" t="str" s="25">
        <f>IF(N(W66)&gt;0,V66/W66,"n.a.")</f>
        <v>n.a.</v>
      </c>
      <c r="Z66" s="25"/>
      <c r="AA66" s="51"/>
      <c r="AB66" s="25"/>
      <c r="AC66" s="51"/>
      <c r="AD66" s="28"/>
      <c r="AE66" s="17">
        <f>IF(AND(ISNUMBER(U66),N(U66)&gt;=$D$31,N(U66)&lt;=$D$32),1,0)</f>
        <v>0</v>
      </c>
      <c r="AF66" s="17">
        <f>IF(AND(ISNUMBER(Z66),N(Z66)&gt;=$D$33),1,0)</f>
        <v>0</v>
      </c>
      <c r="AG66" s="17">
        <f>IF(AND(ISNUMBER(Y66),N(Y66)&lt;=$D$34),1,0)</f>
        <v>0</v>
      </c>
      <c r="AH66" s="17">
        <f>IF(AND(ISNUMBER(H66),N(H66)&gt;=$D$35),1,0)</f>
        <v>0</v>
      </c>
      <c r="AI66" s="17">
        <f>IF(AND(ISNUMBER(M66),N(M66)&gt;=$D$36),1,0)</f>
        <v>0</v>
      </c>
      <c r="AJ66" s="17">
        <f>IF(AND(ISNUMBER(S66),N(S66)&lt;=$D$37),1,0)</f>
        <v>0</v>
      </c>
      <c r="AK66" s="17">
        <f>IF(N(AB66)&gt;=$D$38,1,0)</f>
        <v>1</v>
      </c>
      <c r="AL66" s="17">
        <f>IF(N(AD66)&gt;0,1,0)</f>
        <v>0</v>
      </c>
      <c r="AM66" s="17">
        <f>SUM(AH66:AL66)</f>
        <v>1</v>
      </c>
      <c r="AN66" t="str" s="16">
        <f>IF(AND(AE66=1,AF66=1,AG66=1,AM66&gt;=$D$40),"Pass","Fail")</f>
        <v>Fail</v>
      </c>
      <c r="AO66" t="str" s="51">
        <f>IF(AN66="Pass","Pass: "&amp;AM66&amp;" of 5 traits; "&amp;TEXT(Y66,"0%")&amp;" of 52-week high"&amp;IF(AK66=1,"; "&amp;AA66,"")&amp;IF(AL66=1,"; "&amp;AC66,""),"Fail: "&amp;IF(AE66=0,"TEV outside range; ","")&amp;IF(AG66=0,"price "&amp;IF(ISNUMBER(Y66),TEXT(Y66,"0%"),"n.a.")&amp;" of 52-week high; ","")&amp;IF(AF66=0,IF(Z66="n.r.","recurring not reviewed; ","recurring below 75% or not disclosed; "),"")&amp;IF(AM66&lt;$D$40,"traits "&amp;AM66&amp;" of 5",""))</f>
        <v>Fail: TEV outside range; price n.a. of 52-week high; recurring below 75% or not disclosed; </v>
      </c>
    </row>
    <row r="67">
      <c r="E67" s="35"/>
      <c r="F67" s="36"/>
      <c r="G67" s="36"/>
      <c r="H67" t="str" s="25">
        <f>IF(N(G67)&gt;0,F67/G67-1,"n.a.")</f>
        <v>n.a.</v>
      </c>
      <c r="I67" s="36"/>
      <c r="J67" s="36"/>
      <c r="K67" s="36"/>
      <c r="L67" s="24">
        <f>SUM(I67:K67)</f>
        <v>0</v>
      </c>
      <c r="M67" t="str" s="25">
        <f>IF(F67&gt;0,L67/F67,"n.a.")</f>
        <v>n.a.</v>
      </c>
      <c r="N67" s="24"/>
      <c r="O67" s="24"/>
      <c r="P67" s="24"/>
      <c r="Q67" s="36"/>
      <c r="R67" s="24">
        <f>SUM(N67:P67)-Q67</f>
        <v>0</v>
      </c>
      <c r="S67" t="str" s="26">
        <f>IF(L67&gt;0,R67/L67,"NM")</f>
        <v>NM</v>
      </c>
      <c r="T67" s="36"/>
      <c r="U67" t="str" s="24">
        <f>IF(N(T67)&gt;0,T67+R67,"n.a.")</f>
        <v>n.a.</v>
      </c>
      <c r="V67" s="37"/>
      <c r="W67" s="37"/>
      <c r="X67" s="35"/>
      <c r="Y67" t="str" s="25">
        <f>IF(N(W67)&gt;0,V67/W67,"n.a.")</f>
        <v>n.a.</v>
      </c>
      <c r="Z67" s="25"/>
      <c r="AA67" s="51"/>
      <c r="AB67" s="25"/>
      <c r="AC67" s="51"/>
      <c r="AD67" s="28"/>
      <c r="AE67" s="17">
        <f>IF(AND(ISNUMBER(U67),N(U67)&gt;=$D$31,N(U67)&lt;=$D$32),1,0)</f>
        <v>0</v>
      </c>
      <c r="AF67" s="17">
        <f>IF(AND(ISNUMBER(Z67),N(Z67)&gt;=$D$33),1,0)</f>
        <v>0</v>
      </c>
      <c r="AG67" s="17">
        <f>IF(AND(ISNUMBER(Y67),N(Y67)&lt;=$D$34),1,0)</f>
        <v>0</v>
      </c>
      <c r="AH67" s="17">
        <f>IF(AND(ISNUMBER(H67),N(H67)&gt;=$D$35),1,0)</f>
        <v>0</v>
      </c>
      <c r="AI67" s="17">
        <f>IF(AND(ISNUMBER(M67),N(M67)&gt;=$D$36),1,0)</f>
        <v>0</v>
      </c>
      <c r="AJ67" s="17">
        <f>IF(AND(ISNUMBER(S67),N(S67)&lt;=$D$37),1,0)</f>
        <v>0</v>
      </c>
      <c r="AK67" s="17">
        <f>IF(N(AB67)&gt;=$D$38,1,0)</f>
        <v>1</v>
      </c>
      <c r="AL67" s="17">
        <f>IF(N(AD67)&gt;0,1,0)</f>
        <v>0</v>
      </c>
      <c r="AM67" s="17">
        <f>SUM(AH67:AL67)</f>
        <v>1</v>
      </c>
      <c r="AN67" t="str" s="16">
        <f>IF(AND(AE67=1,AF67=1,AG67=1,AM67&gt;=$D$40),"Pass","Fail")</f>
        <v>Fail</v>
      </c>
      <c r="AO67" t="str" s="51">
        <f>IF(AN67="Pass","Pass: "&amp;AM67&amp;" of 5 traits; "&amp;TEXT(Y67,"0%")&amp;" of 52-week high"&amp;IF(AK67=1,"; "&amp;AA67,"")&amp;IF(AL67=1,"; "&amp;AC67,""),"Fail: "&amp;IF(AE67=0,"TEV outside range; ","")&amp;IF(AG67=0,"price "&amp;IF(ISNUMBER(Y67),TEXT(Y67,"0%"),"n.a.")&amp;" of 52-week high; ","")&amp;IF(AF67=0,IF(Z67="n.r.","recurring not reviewed; ","recurring below 75% or not disclosed; "),"")&amp;IF(AM67&lt;$D$40,"traits "&amp;AM67&amp;" of 5",""))</f>
        <v>Fail: TEV outside range; price n.a. of 52-week high; recurring below 75% or not disclosed; </v>
      </c>
    </row>
    <row r="68">
      <c r="E68" s="35"/>
      <c r="F68" s="36"/>
      <c r="G68" s="36"/>
      <c r="H68" t="str" s="25">
        <f>IF(N(G68)&gt;0,F68/G68-1,"n.a.")</f>
        <v>n.a.</v>
      </c>
      <c r="I68" s="36"/>
      <c r="J68" s="36"/>
      <c r="K68" s="36"/>
      <c r="L68" s="24">
        <f>SUM(I68:K68)</f>
        <v>0</v>
      </c>
      <c r="M68" t="str" s="25">
        <f>IF(F68&gt;0,L68/F68,"n.a.")</f>
        <v>n.a.</v>
      </c>
      <c r="N68" s="24"/>
      <c r="O68" s="36"/>
      <c r="P68" s="24"/>
      <c r="Q68" s="36"/>
      <c r="R68" s="24">
        <f>SUM(N68:P68)-Q68</f>
        <v>0</v>
      </c>
      <c r="S68" t="str" s="26">
        <f>IF(L68&gt;0,R68/L68,"NM")</f>
        <v>NM</v>
      </c>
      <c r="T68" s="36"/>
      <c r="U68" t="str" s="24">
        <f>IF(N(T68)&gt;0,T68+R68,"n.a.")</f>
        <v>n.a.</v>
      </c>
      <c r="V68" s="37"/>
      <c r="W68" s="37"/>
      <c r="X68" s="35"/>
      <c r="Y68" t="str" s="25">
        <f>IF(N(W68)&gt;0,V68/W68,"n.a.")</f>
        <v>n.a.</v>
      </c>
      <c r="Z68" s="25"/>
      <c r="AA68" s="51"/>
      <c r="AB68" s="25"/>
      <c r="AC68" s="51"/>
      <c r="AD68" s="28"/>
      <c r="AE68" s="17">
        <f>IF(AND(ISNUMBER(U68),N(U68)&gt;=$D$31,N(U68)&lt;=$D$32),1,0)</f>
        <v>0</v>
      </c>
      <c r="AF68" s="17">
        <f>IF(AND(ISNUMBER(Z68),N(Z68)&gt;=$D$33),1,0)</f>
        <v>0</v>
      </c>
      <c r="AG68" s="17">
        <f>IF(AND(ISNUMBER(Y68),N(Y68)&lt;=$D$34),1,0)</f>
        <v>0</v>
      </c>
      <c r="AH68" s="17">
        <f>IF(AND(ISNUMBER(H68),N(H68)&gt;=$D$35),1,0)</f>
        <v>0</v>
      </c>
      <c r="AI68" s="17">
        <f>IF(AND(ISNUMBER(M68),N(M68)&gt;=$D$36),1,0)</f>
        <v>0</v>
      </c>
      <c r="AJ68" s="17">
        <f>IF(AND(ISNUMBER(S68),N(S68)&lt;=$D$37),1,0)</f>
        <v>0</v>
      </c>
      <c r="AK68" s="17">
        <f>IF(N(AB68)&gt;=$D$38,1,0)</f>
        <v>1</v>
      </c>
      <c r="AL68" s="17">
        <f>IF(N(AD68)&gt;0,1,0)</f>
        <v>0</v>
      </c>
      <c r="AM68" s="17">
        <f>SUM(AH68:AL68)</f>
        <v>1</v>
      </c>
      <c r="AN68" t="str" s="16">
        <f>IF(AND(AE68=1,AF68=1,AG68=1,AM68&gt;=$D$40),"Pass","Fail")</f>
        <v>Fail</v>
      </c>
      <c r="AO68" t="str" s="51">
        <f>IF(AN68="Pass","Pass: "&amp;AM68&amp;" of 5 traits; "&amp;TEXT(Y68,"0%")&amp;" of 52-week high"&amp;IF(AK68=1,"; "&amp;AA68,"")&amp;IF(AL68=1,"; "&amp;AC68,""),"Fail: "&amp;IF(AE68=0,"TEV outside range; ","")&amp;IF(AG68=0,"price "&amp;IF(ISNUMBER(Y68),TEXT(Y68,"0%"),"n.a.")&amp;" of 52-week high; ","")&amp;IF(AF68=0,IF(Z68="n.r.","recurring not reviewed; ","recurring below 75% or not disclosed; "),"")&amp;IF(AM68&lt;$D$40,"traits "&amp;AM68&amp;" of 5",""))</f>
        <v>Fail: TEV outside range; price n.a. of 52-week high; recurring below 75% or not disclosed; </v>
      </c>
    </row>
    <row r="69">
      <c r="E69" s="35"/>
      <c r="F69" s="36"/>
      <c r="G69" s="36"/>
      <c r="H69" t="str" s="25">
        <f>IF(N(G69)&gt;0,F69/G69-1,"n.a.")</f>
        <v>n.a.</v>
      </c>
      <c r="I69" s="36"/>
      <c r="J69" s="36"/>
      <c r="K69" s="36"/>
      <c r="L69" s="24">
        <f>SUM(I69:K69)</f>
        <v>0</v>
      </c>
      <c r="M69" t="str" s="25">
        <f>IF(F69&gt;0,L69/F69,"n.a.")</f>
        <v>n.a.</v>
      </c>
      <c r="N69" s="24"/>
      <c r="O69" s="36"/>
      <c r="P69" s="36"/>
      <c r="Q69" s="36"/>
      <c r="R69" s="24">
        <f>SUM(N69:P69)-Q69</f>
        <v>0</v>
      </c>
      <c r="S69" t="str" s="26">
        <f>IF(L69&gt;0,R69/L69,"NM")</f>
        <v>NM</v>
      </c>
      <c r="T69" s="36"/>
      <c r="U69" t="str" s="24">
        <f>IF(N(T69)&gt;0,T69+R69,"n.a.")</f>
        <v>n.a.</v>
      </c>
      <c r="V69" s="37"/>
      <c r="W69" s="37"/>
      <c r="X69" s="35"/>
      <c r="Y69" t="str" s="25">
        <f>IF(N(W69)&gt;0,V69/W69,"n.a.")</f>
        <v>n.a.</v>
      </c>
      <c r="Z69" s="25"/>
      <c r="AA69" s="51"/>
      <c r="AB69" s="25"/>
      <c r="AC69" s="51"/>
      <c r="AD69" s="28"/>
      <c r="AE69" s="17">
        <f>IF(AND(ISNUMBER(U69),N(U69)&gt;=$D$31,N(U69)&lt;=$D$32),1,0)</f>
        <v>0</v>
      </c>
      <c r="AF69" s="17">
        <f>IF(AND(ISNUMBER(Z69),N(Z69)&gt;=$D$33),1,0)</f>
        <v>0</v>
      </c>
      <c r="AG69" s="17">
        <f>IF(AND(ISNUMBER(Y69),N(Y69)&lt;=$D$34),1,0)</f>
        <v>0</v>
      </c>
      <c r="AH69" s="17">
        <f>IF(AND(ISNUMBER(H69),N(H69)&gt;=$D$35),1,0)</f>
        <v>0</v>
      </c>
      <c r="AI69" s="17">
        <f>IF(AND(ISNUMBER(M69),N(M69)&gt;=$D$36),1,0)</f>
        <v>0</v>
      </c>
      <c r="AJ69" s="17">
        <f>IF(AND(ISNUMBER(S69),N(S69)&lt;=$D$37),1,0)</f>
        <v>0</v>
      </c>
      <c r="AK69" s="17">
        <f>IF(N(AB69)&gt;=$D$38,1,0)</f>
        <v>1</v>
      </c>
      <c r="AL69" s="17">
        <f>IF(N(AD69)&gt;0,1,0)</f>
        <v>0</v>
      </c>
      <c r="AM69" s="17">
        <f>SUM(AH69:AL69)</f>
        <v>1</v>
      </c>
      <c r="AN69" t="str" s="16">
        <f>IF(AND(AE69=1,AF69=1,AG69=1,AM69&gt;=$D$40),"Pass","Fail")</f>
        <v>Fail</v>
      </c>
      <c r="AO69" t="str" s="51">
        <f>IF(AN69="Pass","Pass: "&amp;AM69&amp;" of 5 traits; "&amp;TEXT(Y69,"0%")&amp;" of 52-week high"&amp;IF(AK69=1,"; "&amp;AA69,"")&amp;IF(AL69=1,"; "&amp;AC69,""),"Fail: "&amp;IF(AE69=0,"TEV outside range; ","")&amp;IF(AG69=0,"price "&amp;IF(ISNUMBER(Y69),TEXT(Y69,"0%"),"n.a.")&amp;" of 52-week high; ","")&amp;IF(AF69=0,IF(Z69="n.r.","recurring not reviewed; ","recurring below 75% or not disclosed; "),"")&amp;IF(AM69&lt;$D$40,"traits "&amp;AM69&amp;" of 5",""))</f>
        <v>Fail: TEV outside range; price n.a. of 52-week high; recurring below 75% or not disclosed; </v>
      </c>
    </row>
    <row r="70">
      <c r="E70" s="35"/>
      <c r="F70" s="36"/>
      <c r="G70" s="36"/>
      <c r="H70" t="str" s="25">
        <f>IF(N(G70)&gt;0,F70/G70-1,"n.a.")</f>
        <v>n.a.</v>
      </c>
      <c r="I70" s="36"/>
      <c r="J70" s="36"/>
      <c r="K70" s="36"/>
      <c r="L70" s="24">
        <f>SUM(I70:K70)</f>
        <v>0</v>
      </c>
      <c r="M70" t="str" s="25">
        <f>IF(F70&gt;0,L70/F70,"n.a.")</f>
        <v>n.a.</v>
      </c>
      <c r="N70" s="24"/>
      <c r="O70" s="24"/>
      <c r="P70" s="24"/>
      <c r="Q70" s="36"/>
      <c r="R70" s="24">
        <f>SUM(N70:P70)-Q70</f>
        <v>0</v>
      </c>
      <c r="S70" t="str" s="26">
        <f>IF(L70&gt;0,R70/L70,"NM")</f>
        <v>NM</v>
      </c>
      <c r="T70" s="36"/>
      <c r="U70" t="str" s="24">
        <f>IF(N(T70)&gt;0,T70+R70,"n.a.")</f>
        <v>n.a.</v>
      </c>
      <c r="V70" s="37"/>
      <c r="W70" s="37"/>
      <c r="X70" s="35"/>
      <c r="Y70" t="str" s="25">
        <f>IF(N(W70)&gt;0,V70/W70,"n.a.")</f>
        <v>n.a.</v>
      </c>
      <c r="Z70" s="25"/>
      <c r="AA70" s="51"/>
      <c r="AB70" s="25"/>
      <c r="AC70" s="51"/>
      <c r="AD70" s="28"/>
      <c r="AE70" s="17">
        <f>IF(AND(ISNUMBER(U70),N(U70)&gt;=$D$31,N(U70)&lt;=$D$32),1,0)</f>
        <v>0</v>
      </c>
      <c r="AF70" s="17">
        <f>IF(AND(ISNUMBER(Z70),N(Z70)&gt;=$D$33),1,0)</f>
        <v>0</v>
      </c>
      <c r="AG70" s="17">
        <f>IF(AND(ISNUMBER(Y70),N(Y70)&lt;=$D$34),1,0)</f>
        <v>0</v>
      </c>
      <c r="AH70" s="17">
        <f>IF(AND(ISNUMBER(H70),N(H70)&gt;=$D$35),1,0)</f>
        <v>0</v>
      </c>
      <c r="AI70" s="17">
        <f>IF(AND(ISNUMBER(M70),N(M70)&gt;=$D$36),1,0)</f>
        <v>0</v>
      </c>
      <c r="AJ70" s="17">
        <f>IF(AND(ISNUMBER(S70),N(S70)&lt;=$D$37),1,0)</f>
        <v>0</v>
      </c>
      <c r="AK70" s="17">
        <f>IF(N(AB70)&gt;=$D$38,1,0)</f>
        <v>1</v>
      </c>
      <c r="AL70" s="17">
        <f>IF(N(AD70)&gt;0,1,0)</f>
        <v>0</v>
      </c>
      <c r="AM70" s="17">
        <f>SUM(AH70:AL70)</f>
        <v>1</v>
      </c>
      <c r="AN70" t="str" s="16">
        <f>IF(AND(AE70=1,AF70=1,AG70=1,AM70&gt;=$D$40),"Pass","Fail")</f>
        <v>Fail</v>
      </c>
      <c r="AO70" t="str" s="51">
        <f>IF(AN70="Pass","Pass: "&amp;AM70&amp;" of 5 traits; "&amp;TEXT(Y70,"0%")&amp;" of 52-week high"&amp;IF(AK70=1,"; "&amp;AA70,"")&amp;IF(AL70=1,"; "&amp;AC70,""),"Fail: "&amp;IF(AE70=0,"TEV outside range; ","")&amp;IF(AG70=0,"price "&amp;IF(ISNUMBER(Y70),TEXT(Y70,"0%"),"n.a.")&amp;" of 52-week high; ","")&amp;IF(AF70=0,IF(Z70="n.r.","recurring not reviewed; ","recurring below 75% or not disclosed; "),"")&amp;IF(AM70&lt;$D$40,"traits "&amp;AM70&amp;" of 5",""))</f>
        <v>Fail: TEV outside range; price n.a. of 52-week high; recurring below 75% or not disclosed; </v>
      </c>
    </row>
    <row r="71">
      <c r="E71" s="35"/>
      <c r="F71" s="36"/>
      <c r="G71" s="36"/>
      <c r="H71" t="str" s="25">
        <f>IF(N(G71)&gt;0,F71/G71-1,"n.a.")</f>
        <v>n.a.</v>
      </c>
      <c r="I71" s="36"/>
      <c r="J71" s="36"/>
      <c r="K71" s="36"/>
      <c r="L71" s="24">
        <f>SUM(I71:K71)</f>
        <v>0</v>
      </c>
      <c r="M71" t="str" s="25">
        <f>IF(F71&gt;0,L71/F71,"n.a.")</f>
        <v>n.a.</v>
      </c>
      <c r="N71" s="24"/>
      <c r="O71" s="36"/>
      <c r="P71" s="36"/>
      <c r="Q71" s="36"/>
      <c r="R71" s="24">
        <f>SUM(N71:P71)-Q71</f>
        <v>0</v>
      </c>
      <c r="S71" t="str" s="26">
        <f>IF(L71&gt;0,R71/L71,"NM")</f>
        <v>NM</v>
      </c>
      <c r="T71" s="36"/>
      <c r="U71" t="str" s="24">
        <f>IF(N(T71)&gt;0,T71+R71,"n.a.")</f>
        <v>n.a.</v>
      </c>
      <c r="V71" s="37"/>
      <c r="W71" s="37"/>
      <c r="X71" s="35"/>
      <c r="Y71" t="str" s="25">
        <f>IF(N(W71)&gt;0,V71/W71,"n.a.")</f>
        <v>n.a.</v>
      </c>
      <c r="Z71" s="25"/>
      <c r="AA71" s="51"/>
      <c r="AB71" s="25"/>
      <c r="AC71" s="51"/>
      <c r="AD71" s="28"/>
      <c r="AE71" s="17">
        <f>IF(AND(ISNUMBER(U71),N(U71)&gt;=$D$31,N(U71)&lt;=$D$32),1,0)</f>
        <v>0</v>
      </c>
      <c r="AF71" s="17">
        <f>IF(AND(ISNUMBER(Z71),N(Z71)&gt;=$D$33),1,0)</f>
        <v>0</v>
      </c>
      <c r="AG71" s="17">
        <f>IF(AND(ISNUMBER(Y71),N(Y71)&lt;=$D$34),1,0)</f>
        <v>0</v>
      </c>
      <c r="AH71" s="17">
        <f>IF(AND(ISNUMBER(H71),N(H71)&gt;=$D$35),1,0)</f>
        <v>0</v>
      </c>
      <c r="AI71" s="17">
        <f>IF(AND(ISNUMBER(M71),N(M71)&gt;=$D$36),1,0)</f>
        <v>0</v>
      </c>
      <c r="AJ71" s="17">
        <f>IF(AND(ISNUMBER(S71),N(S71)&lt;=$D$37),1,0)</f>
        <v>0</v>
      </c>
      <c r="AK71" s="17">
        <f>IF(N(AB71)&gt;=$D$38,1,0)</f>
        <v>1</v>
      </c>
      <c r="AL71" s="17">
        <f>IF(N(AD71)&gt;0,1,0)</f>
        <v>0</v>
      </c>
      <c r="AM71" s="17">
        <f>SUM(AH71:AL71)</f>
        <v>1</v>
      </c>
      <c r="AN71" t="str" s="16">
        <f>IF(AND(AE71=1,AF71=1,AG71=1,AM71&gt;=$D$40),"Pass","Fail")</f>
        <v>Fail</v>
      </c>
      <c r="AO71" t="str" s="51">
        <f>IF(AN71="Pass","Pass: "&amp;AM71&amp;" of 5 traits; "&amp;TEXT(Y71,"0%")&amp;" of 52-week high"&amp;IF(AK71=1,"; "&amp;AA71,"")&amp;IF(AL71=1,"; "&amp;AC71,""),"Fail: "&amp;IF(AE71=0,"TEV outside range; ","")&amp;IF(AG71=0,"price "&amp;IF(ISNUMBER(Y71),TEXT(Y71,"0%"),"n.a.")&amp;" of 52-week high; ","")&amp;IF(AF71=0,IF(Z71="n.r.","recurring not reviewed; ","recurring below 75% or not disclosed; "),"")&amp;IF(AM71&lt;$D$40,"traits "&amp;AM71&amp;" of 5",""))</f>
        <v>Fail: TEV outside range; price n.a. of 52-week high; recurring below 75% or not disclosed; </v>
      </c>
    </row>
    <row r="72">
      <c r="E72" s="35"/>
      <c r="F72" s="36"/>
      <c r="G72" s="36"/>
      <c r="H72" t="str" s="25">
        <f>IF(N(G72)&gt;0,F72/G72-1,"n.a.")</f>
        <v>n.a.</v>
      </c>
      <c r="I72" s="36"/>
      <c r="J72" s="36"/>
      <c r="K72" s="36"/>
      <c r="L72" s="24">
        <f>SUM(I72:K72)</f>
        <v>0</v>
      </c>
      <c r="M72" t="str" s="25">
        <f>IF(F72&gt;0,L72/F72,"n.a.")</f>
        <v>n.a.</v>
      </c>
      <c r="N72" s="24"/>
      <c r="O72" s="36"/>
      <c r="P72" s="24"/>
      <c r="Q72" s="36"/>
      <c r="R72" s="24">
        <f>SUM(N72:P72)-Q72</f>
        <v>0</v>
      </c>
      <c r="S72" t="str" s="26">
        <f>IF(L72&gt;0,R72/L72,"NM")</f>
        <v>NM</v>
      </c>
      <c r="T72" s="36"/>
      <c r="U72" t="str" s="24">
        <f>IF(N(T72)&gt;0,T72+R72,"n.a.")</f>
        <v>n.a.</v>
      </c>
      <c r="V72" s="37"/>
      <c r="W72" s="37"/>
      <c r="X72" s="35"/>
      <c r="Y72" t="str" s="25">
        <f>IF(N(W72)&gt;0,V72/W72,"n.a.")</f>
        <v>n.a.</v>
      </c>
      <c r="Z72" s="25"/>
      <c r="AA72" s="51"/>
      <c r="AB72" s="25"/>
      <c r="AC72" s="51"/>
      <c r="AD72" s="39"/>
      <c r="AE72" s="17">
        <f>IF(AND(ISNUMBER(U72),N(U72)&gt;=$D$31,N(U72)&lt;=$D$32),1,0)</f>
        <v>0</v>
      </c>
      <c r="AF72" s="17">
        <f>IF(AND(ISNUMBER(Z72),N(Z72)&gt;=$D$33),1,0)</f>
        <v>0</v>
      </c>
      <c r="AG72" s="17">
        <f>IF(AND(ISNUMBER(Y72),N(Y72)&lt;=$D$34),1,0)</f>
        <v>0</v>
      </c>
      <c r="AH72" s="17">
        <f>IF(AND(ISNUMBER(H72),N(H72)&gt;=$D$35),1,0)</f>
        <v>0</v>
      </c>
      <c r="AI72" s="17">
        <f>IF(AND(ISNUMBER(M72),N(M72)&gt;=$D$36),1,0)</f>
        <v>0</v>
      </c>
      <c r="AJ72" s="17">
        <f>IF(AND(ISNUMBER(S72),N(S72)&lt;=$D$37),1,0)</f>
        <v>0</v>
      </c>
      <c r="AK72" s="17">
        <f>IF(N(AB72)&gt;=$D$38,1,0)</f>
        <v>1</v>
      </c>
      <c r="AL72" s="17">
        <f>IF(N(AD72)&gt;0,1,0)</f>
        <v>0</v>
      </c>
      <c r="AM72" s="17">
        <f>SUM(AH72:AL72)</f>
        <v>1</v>
      </c>
      <c r="AN72" t="str" s="16">
        <f>IF(AND(AE72=1,AF72=1,AG72=1,AM72&gt;=$D$40),"Pass","Fail")</f>
        <v>Fail</v>
      </c>
      <c r="AO72" t="str" s="51">
        <f>IF(AN72="Pass","Pass: "&amp;AM72&amp;" of 5 traits; "&amp;TEXT(Y72,"0%")&amp;" of 52-week high"&amp;IF(AK72=1,"; "&amp;AA72,"")&amp;IF(AL72=1,"; "&amp;AC72,""),"Fail: "&amp;IF(AE72=0,"TEV outside range; ","")&amp;IF(AG72=0,"price "&amp;IF(ISNUMBER(Y72),TEXT(Y72,"0%"),"n.a.")&amp;" of 52-week high; ","")&amp;IF(AF72=0,IF(Z72="n.r.","recurring not reviewed; ","recurring below 75% or not disclosed; "),"")&amp;IF(AM72&lt;$D$40,"traits "&amp;AM72&amp;" of 5",""))</f>
        <v>Fail: TEV outside range; price n.a. of 52-week high; recurring below 75% or not disclosed; </v>
      </c>
    </row>
    <row r="73">
      <c r="E73" s="35"/>
      <c r="F73" s="36"/>
      <c r="G73" s="36"/>
      <c r="H73" t="str" s="25">
        <f>IF(N(G73)&gt;0,F73/G73-1,"n.a.")</f>
        <v>n.a.</v>
      </c>
      <c r="I73" s="36"/>
      <c r="J73" s="36"/>
      <c r="K73" s="36"/>
      <c r="L73" s="24">
        <f>SUM(I73:K73)</f>
        <v>0</v>
      </c>
      <c r="M73" t="str" s="25">
        <f>IF(F73&gt;0,L73/F73,"n.a.")</f>
        <v>n.a.</v>
      </c>
      <c r="N73" s="36"/>
      <c r="O73" s="36"/>
      <c r="P73" s="24"/>
      <c r="Q73" s="36"/>
      <c r="R73" s="24">
        <f>SUM(N73:P73)-Q73</f>
        <v>0</v>
      </c>
      <c r="S73" t="str" s="26">
        <f>IF(L73&gt;0,R73/L73,"NM")</f>
        <v>NM</v>
      </c>
      <c r="T73" s="36"/>
      <c r="U73" t="str" s="24">
        <f>IF(N(T73)&gt;0,T73+R73,"n.a.")</f>
        <v>n.a.</v>
      </c>
      <c r="V73" s="37"/>
      <c r="W73" s="37"/>
      <c r="X73" s="35"/>
      <c r="Y73" t="str" s="25">
        <f>IF(N(W73)&gt;0,V73/W73,"n.a.")</f>
        <v>n.a.</v>
      </c>
      <c r="Z73" s="25"/>
      <c r="AA73" s="51"/>
      <c r="AB73" s="25"/>
      <c r="AC73" s="51"/>
      <c r="AD73" s="28"/>
      <c r="AE73" s="17">
        <f>IF(AND(ISNUMBER(U73),N(U73)&gt;=$D$31,N(U73)&lt;=$D$32),1,0)</f>
        <v>0</v>
      </c>
      <c r="AF73" s="17">
        <f>IF(AND(ISNUMBER(Z73),N(Z73)&gt;=$D$33),1,0)</f>
        <v>0</v>
      </c>
      <c r="AG73" s="17">
        <f>IF(AND(ISNUMBER(Y73),N(Y73)&lt;=$D$34),1,0)</f>
        <v>0</v>
      </c>
      <c r="AH73" s="17">
        <f>IF(AND(ISNUMBER(H73),N(H73)&gt;=$D$35),1,0)</f>
        <v>0</v>
      </c>
      <c r="AI73" s="17">
        <f>IF(AND(ISNUMBER(M73),N(M73)&gt;=$D$36),1,0)</f>
        <v>0</v>
      </c>
      <c r="AJ73" s="17">
        <f>IF(AND(ISNUMBER(S73),N(S73)&lt;=$D$37),1,0)</f>
        <v>0</v>
      </c>
      <c r="AK73" s="17">
        <f>IF(N(AB73)&gt;=$D$38,1,0)</f>
        <v>1</v>
      </c>
      <c r="AL73" s="17">
        <f>IF(N(AD73)&gt;0,1,0)</f>
        <v>0</v>
      </c>
      <c r="AM73" s="17">
        <f>SUM(AH73:AL73)</f>
        <v>1</v>
      </c>
      <c r="AN73" t="str" s="16">
        <f>IF(AND(AE73=1,AF73=1,AG73=1,AM73&gt;=$D$40),"Pass","Fail")</f>
        <v>Fail</v>
      </c>
      <c r="AO73" t="str" s="51">
        <f>IF(AN73="Pass","Pass: "&amp;AM73&amp;" of 5 traits; "&amp;TEXT(Y73,"0%")&amp;" of 52-week high"&amp;IF(AK73=1,"; "&amp;AA73,"")&amp;IF(AL73=1,"; "&amp;AC73,""),"Fail: "&amp;IF(AE73=0,"TEV outside range; ","")&amp;IF(AG73=0,"price "&amp;IF(ISNUMBER(Y73),TEXT(Y73,"0%"),"n.a.")&amp;" of 52-week high; ","")&amp;IF(AF73=0,IF(Z73="n.r.","recurring not reviewed; ","recurring below 75% or not disclosed; "),"")&amp;IF(AM73&lt;$D$40,"traits "&amp;AM73&amp;" of 5",""))</f>
        <v>Fail: TEV outside range; price n.a. of 52-week high; recurring below 75% or not disclosed; </v>
      </c>
    </row>
    <row r="74">
      <c r="E74" s="35"/>
      <c r="F74" s="36"/>
      <c r="G74" s="36"/>
      <c r="H74" t="str" s="25">
        <f>IF(N(G74)&gt;0,F74/G74-1,"n.a.")</f>
        <v>n.a.</v>
      </c>
      <c r="I74" s="36"/>
      <c r="J74" s="36"/>
      <c r="K74" s="36"/>
      <c r="L74" s="24">
        <f>SUM(I74:K74)</f>
        <v>0</v>
      </c>
      <c r="M74" t="str" s="25">
        <f>IF(F74&gt;0,L74/F74,"n.a.")</f>
        <v>n.a.</v>
      </c>
      <c r="N74" s="24"/>
      <c r="O74" s="24"/>
      <c r="P74" s="24"/>
      <c r="Q74" s="36"/>
      <c r="R74" s="24">
        <f>SUM(N74:P74)-Q74</f>
        <v>0</v>
      </c>
      <c r="S74" t="str" s="26">
        <f>IF(L74&gt;0,R74/L74,"NM")</f>
        <v>NM</v>
      </c>
      <c r="T74" s="36"/>
      <c r="U74" t="str" s="24">
        <f>IF(N(T74)&gt;0,T74+R74,"n.a.")</f>
        <v>n.a.</v>
      </c>
      <c r="V74" s="37"/>
      <c r="W74" s="37"/>
      <c r="X74" s="35"/>
      <c r="Y74" t="str" s="25">
        <f>IF(N(W74)&gt;0,V74/W74,"n.a.")</f>
        <v>n.a.</v>
      </c>
      <c r="Z74" s="25"/>
      <c r="AA74" s="51"/>
      <c r="AB74" s="25"/>
      <c r="AC74" s="51"/>
      <c r="AD74" s="28"/>
      <c r="AE74" s="17">
        <f>IF(AND(ISNUMBER(U74),N(U74)&gt;=$D$31,N(U74)&lt;=$D$32),1,0)</f>
        <v>0</v>
      </c>
      <c r="AF74" s="17">
        <f>IF(AND(ISNUMBER(Z74),N(Z74)&gt;=$D$33),1,0)</f>
        <v>0</v>
      </c>
      <c r="AG74" s="17">
        <f>IF(AND(ISNUMBER(Y74),N(Y74)&lt;=$D$34),1,0)</f>
        <v>0</v>
      </c>
      <c r="AH74" s="17">
        <f>IF(AND(ISNUMBER(H74),N(H74)&gt;=$D$35),1,0)</f>
        <v>0</v>
      </c>
      <c r="AI74" s="17">
        <f>IF(AND(ISNUMBER(M74),N(M74)&gt;=$D$36),1,0)</f>
        <v>0</v>
      </c>
      <c r="AJ74" s="17">
        <f>IF(AND(ISNUMBER(S74),N(S74)&lt;=$D$37),1,0)</f>
        <v>0</v>
      </c>
      <c r="AK74" s="17">
        <f>IF(N(AB74)&gt;=$D$38,1,0)</f>
        <v>1</v>
      </c>
      <c r="AL74" s="17">
        <f>IF(N(AD74)&gt;0,1,0)</f>
        <v>0</v>
      </c>
      <c r="AM74" s="17">
        <f>SUM(AH74:AL74)</f>
        <v>1</v>
      </c>
      <c r="AN74" t="str" s="16">
        <f>IF(AND(AE74=1,AF74=1,AG74=1,AM74&gt;=$D$40),"Pass","Fail")</f>
        <v>Fail</v>
      </c>
      <c r="AO74" t="str" s="51">
        <f>IF(AN74="Pass","Pass: "&amp;AM74&amp;" of 5 traits; "&amp;TEXT(Y74,"0%")&amp;" of 52-week high"&amp;IF(AK74=1,"; "&amp;AA74,"")&amp;IF(AL74=1,"; "&amp;AC74,""),"Fail: "&amp;IF(AE74=0,"TEV outside range; ","")&amp;IF(AG74=0,"price "&amp;IF(ISNUMBER(Y74),TEXT(Y74,"0%"),"n.a.")&amp;" of 52-week high; ","")&amp;IF(AF74=0,IF(Z74="n.r.","recurring not reviewed; ","recurring below 75% or not disclosed; "),"")&amp;IF(AM74&lt;$D$40,"traits "&amp;AM74&amp;" of 5",""))</f>
        <v>Fail: TEV outside range; price n.a. of 52-week high; recurring below 75% or not disclosed; </v>
      </c>
    </row>
    <row r="75">
      <c r="E75" s="35"/>
      <c r="F75" s="36"/>
      <c r="G75" s="36"/>
      <c r="H75" t="str" s="25">
        <f>IF(N(G75)&gt;0,F75/G75-1,"n.a.")</f>
        <v>n.a.</v>
      </c>
      <c r="I75" s="36"/>
      <c r="J75" s="36"/>
      <c r="K75" s="36"/>
      <c r="L75" s="24">
        <f>SUM(I75:K75)</f>
        <v>0</v>
      </c>
      <c r="M75" t="str" s="25">
        <f>IF(F75&gt;0,L75/F75,"n.a.")</f>
        <v>n.a.</v>
      </c>
      <c r="N75" s="36"/>
      <c r="O75" s="36"/>
      <c r="P75" s="24"/>
      <c r="Q75" s="36"/>
      <c r="R75" s="24">
        <f>SUM(N75:P75)-Q75</f>
        <v>0</v>
      </c>
      <c r="S75" t="str" s="26">
        <f>IF(L75&gt;0,R75/L75,"NM")</f>
        <v>NM</v>
      </c>
      <c r="T75" s="36"/>
      <c r="U75" t="str" s="24">
        <f>IF(N(T75)&gt;0,T75+R75,"n.a.")</f>
        <v>n.a.</v>
      </c>
      <c r="V75" s="37"/>
      <c r="W75" s="37"/>
      <c r="X75" s="35"/>
      <c r="Y75" t="str" s="25">
        <f>IF(N(W75)&gt;0,V75/W75,"n.a.")</f>
        <v>n.a.</v>
      </c>
      <c r="Z75" s="25"/>
      <c r="AA75" s="51"/>
      <c r="AB75" s="38"/>
      <c r="AC75" s="51"/>
      <c r="AD75" s="39"/>
      <c r="AE75" s="17">
        <f>IF(AND(ISNUMBER(U75),N(U75)&gt;=$D$31,N(U75)&lt;=$D$32),1,0)</f>
        <v>0</v>
      </c>
      <c r="AF75" s="17">
        <f>IF(AND(ISNUMBER(Z75),N(Z75)&gt;=$D$33),1,0)</f>
        <v>0</v>
      </c>
      <c r="AG75" s="17">
        <f>IF(AND(ISNUMBER(Y75),N(Y75)&lt;=$D$34),1,0)</f>
        <v>0</v>
      </c>
      <c r="AH75" s="17">
        <f>IF(AND(ISNUMBER(H75),N(H75)&gt;=$D$35),1,0)</f>
        <v>0</v>
      </c>
      <c r="AI75" s="17">
        <f>IF(AND(ISNUMBER(M75),N(M75)&gt;=$D$36),1,0)</f>
        <v>0</v>
      </c>
      <c r="AJ75" s="17">
        <f>IF(AND(ISNUMBER(S75),N(S75)&lt;=$D$37),1,0)</f>
        <v>0</v>
      </c>
      <c r="AK75" s="17">
        <f>IF(N(AB75)&gt;=$D$38,1,0)</f>
        <v>1</v>
      </c>
      <c r="AL75" s="17">
        <f>IF(N(AD75)&gt;0,1,0)</f>
        <v>0</v>
      </c>
      <c r="AM75" s="17">
        <f>SUM(AH75:AL75)</f>
        <v>1</v>
      </c>
      <c r="AN75" t="str" s="16">
        <f>IF(AND(AE75=1,AF75=1,AG75=1,AM75&gt;=$D$40),"Pass","Fail")</f>
        <v>Fail</v>
      </c>
      <c r="AO75" t="str" s="51">
        <f>IF(AN75="Pass","Pass: "&amp;AM75&amp;" of 5 traits; "&amp;TEXT(Y75,"0%")&amp;" of 52-week high"&amp;IF(AK75=1,"; "&amp;AA75,"")&amp;IF(AL75=1,"; "&amp;AC75,""),"Fail: "&amp;IF(AE75=0,"TEV outside range; ","")&amp;IF(AG75=0,"price "&amp;IF(ISNUMBER(Y75),TEXT(Y75,"0%"),"n.a.")&amp;" of 52-week high; ","")&amp;IF(AF75=0,IF(Z75="n.r.","recurring not reviewed; ","recurring below 75% or not disclosed; "),"")&amp;IF(AM75&lt;$D$40,"traits "&amp;AM75&amp;" of 5",""))</f>
        <v>Fail: TEV outside range; price n.a. of 52-week high; recurring below 75% or not disclosed; </v>
      </c>
    </row>
    <row r="76">
      <c r="E76" s="35"/>
      <c r="F76" s="36"/>
      <c r="G76" s="36"/>
      <c r="H76" t="str" s="25">
        <f>IF(N(G76)&gt;0,F76/G76-1,"n.a.")</f>
        <v>n.a.</v>
      </c>
      <c r="I76" s="36"/>
      <c r="J76" s="36"/>
      <c r="K76" s="36"/>
      <c r="L76" s="24">
        <f>SUM(I76:K76)</f>
        <v>0</v>
      </c>
      <c r="M76" t="str" s="25">
        <f>IF(F76&gt;0,L76/F76,"n.a.")</f>
        <v>n.a.</v>
      </c>
      <c r="N76" s="36"/>
      <c r="O76" s="36"/>
      <c r="P76" s="24"/>
      <c r="Q76" s="36"/>
      <c r="R76" s="24">
        <f>SUM(N76:P76)-Q76</f>
        <v>0</v>
      </c>
      <c r="S76" t="str" s="26">
        <f>IF(L76&gt;0,R76/L76,"NM")</f>
        <v>NM</v>
      </c>
      <c r="T76" s="36"/>
      <c r="U76" t="str" s="24">
        <f>IF(N(T76)&gt;0,T76+R76,"n.a.")</f>
        <v>n.a.</v>
      </c>
      <c r="V76" s="37"/>
      <c r="W76" s="37"/>
      <c r="X76" s="35"/>
      <c r="Y76" t="str" s="25">
        <f>IF(N(W76)&gt;0,V76/W76,"n.a.")</f>
        <v>n.a.</v>
      </c>
      <c r="Z76" s="25"/>
      <c r="AA76" s="51"/>
      <c r="AB76" s="25"/>
      <c r="AC76" s="51"/>
      <c r="AD76" s="28"/>
      <c r="AE76" s="17">
        <f>IF(AND(ISNUMBER(U76),N(U76)&gt;=$D$31,N(U76)&lt;=$D$32),1,0)</f>
        <v>0</v>
      </c>
      <c r="AF76" s="17">
        <f>IF(AND(ISNUMBER(Z76),N(Z76)&gt;=$D$33),1,0)</f>
        <v>0</v>
      </c>
      <c r="AG76" s="17">
        <f>IF(AND(ISNUMBER(Y76),N(Y76)&lt;=$D$34),1,0)</f>
        <v>0</v>
      </c>
      <c r="AH76" s="17">
        <f>IF(AND(ISNUMBER(H76),N(H76)&gt;=$D$35),1,0)</f>
        <v>0</v>
      </c>
      <c r="AI76" s="17">
        <f>IF(AND(ISNUMBER(M76),N(M76)&gt;=$D$36),1,0)</f>
        <v>0</v>
      </c>
      <c r="AJ76" s="17">
        <f>IF(AND(ISNUMBER(S76),N(S76)&lt;=$D$37),1,0)</f>
        <v>0</v>
      </c>
      <c r="AK76" s="17">
        <f>IF(N(AB76)&gt;=$D$38,1,0)</f>
        <v>1</v>
      </c>
      <c r="AL76" s="17">
        <f>IF(N(AD76)&gt;0,1,0)</f>
        <v>0</v>
      </c>
      <c r="AM76" s="17">
        <f>SUM(AH76:AL76)</f>
        <v>1</v>
      </c>
      <c r="AN76" t="str" s="16">
        <f>IF(AND(AE76=1,AF76=1,AG76=1,AM76&gt;=$D$40),"Pass","Fail")</f>
        <v>Fail</v>
      </c>
      <c r="AO76" t="str" s="51">
        <f>IF(AN76="Pass","Pass: "&amp;AM76&amp;" of 5 traits; "&amp;TEXT(Y76,"0%")&amp;" of 52-week high"&amp;IF(AK76=1,"; "&amp;AA76,"")&amp;IF(AL76=1,"; "&amp;AC76,""),"Fail: "&amp;IF(AE76=0,"TEV outside range; ","")&amp;IF(AG76=0,"price "&amp;IF(ISNUMBER(Y76),TEXT(Y76,"0%"),"n.a.")&amp;" of 52-week high; ","")&amp;IF(AF76=0,IF(Z76="n.r.","recurring not reviewed; ","recurring below 75% or not disclosed; "),"")&amp;IF(AM76&lt;$D$40,"traits "&amp;AM76&amp;" of 5",""))</f>
        <v>Fail: TEV outside range; price n.a. of 52-week high; recurring below 75% or not disclosed; </v>
      </c>
    </row>
    <row r="77">
      <c r="E77" s="35"/>
      <c r="F77" s="36"/>
      <c r="G77" s="36"/>
      <c r="H77" t="str" s="25">
        <f>IF(N(G77)&gt;0,F77/G77-1,"n.a.")</f>
        <v>n.a.</v>
      </c>
      <c r="I77" s="36"/>
      <c r="J77" s="36"/>
      <c r="K77" s="36"/>
      <c r="L77" s="24">
        <f>SUM(I77:K77)</f>
        <v>0</v>
      </c>
      <c r="M77" t="str" s="25">
        <f>IF(F77&gt;0,L77/F77,"n.a.")</f>
        <v>n.a.</v>
      </c>
      <c r="N77" s="36"/>
      <c r="O77" s="36"/>
      <c r="P77" s="36"/>
      <c r="Q77" s="36"/>
      <c r="R77" s="24">
        <f>SUM(N77:P77)-Q77</f>
        <v>0</v>
      </c>
      <c r="S77" t="str" s="26">
        <f>IF(L77&gt;0,R77/L77,"NM")</f>
        <v>NM</v>
      </c>
      <c r="T77" s="36"/>
      <c r="U77" t="str" s="24">
        <f>IF(N(T77)&gt;0,T77+R77,"n.a.")</f>
        <v>n.a.</v>
      </c>
      <c r="V77" s="37"/>
      <c r="W77" s="37"/>
      <c r="X77" s="35"/>
      <c r="Y77" t="str" s="25">
        <f>IF(N(W77)&gt;0,V77/W77,"n.a.")</f>
        <v>n.a.</v>
      </c>
      <c r="Z77" s="25"/>
      <c r="AA77" s="51"/>
      <c r="AB77" s="38"/>
      <c r="AC77" s="51"/>
      <c r="AD77" s="39"/>
      <c r="AE77" s="17">
        <f>IF(AND(ISNUMBER(U77),N(U77)&gt;=$D$31,N(U77)&lt;=$D$32),1,0)</f>
        <v>0</v>
      </c>
      <c r="AF77" s="17">
        <f>IF(AND(ISNUMBER(Z77),N(Z77)&gt;=$D$33),1,0)</f>
        <v>0</v>
      </c>
      <c r="AG77" s="17">
        <f>IF(AND(ISNUMBER(Y77),N(Y77)&lt;=$D$34),1,0)</f>
        <v>0</v>
      </c>
      <c r="AH77" s="17">
        <f>IF(AND(ISNUMBER(H77),N(H77)&gt;=$D$35),1,0)</f>
        <v>0</v>
      </c>
      <c r="AI77" s="17">
        <f>IF(AND(ISNUMBER(M77),N(M77)&gt;=$D$36),1,0)</f>
        <v>0</v>
      </c>
      <c r="AJ77" s="17">
        <f>IF(AND(ISNUMBER(S77),N(S77)&lt;=$D$37),1,0)</f>
        <v>0</v>
      </c>
      <c r="AK77" s="17">
        <f>IF(N(AB77)&gt;=$D$38,1,0)</f>
        <v>1</v>
      </c>
      <c r="AL77" s="17">
        <f>IF(N(AD77)&gt;0,1,0)</f>
        <v>0</v>
      </c>
      <c r="AM77" s="17">
        <f>SUM(AH77:AL77)</f>
        <v>1</v>
      </c>
      <c r="AN77" t="str" s="16">
        <f>IF(AND(AE77=1,AF77=1,AG77=1,AM77&gt;=$D$40),"Pass","Fail")</f>
        <v>Fail</v>
      </c>
      <c r="AO77" t="str" s="51">
        <f>IF(AN77="Pass","Pass: "&amp;AM77&amp;" of 5 traits; "&amp;TEXT(Y77,"0%")&amp;" of 52-week high"&amp;IF(AK77=1,"; "&amp;AA77,"")&amp;IF(AL77=1,"; "&amp;AC77,""),"Fail: "&amp;IF(AE77=0,"TEV outside range; ","")&amp;IF(AG77=0,"price "&amp;IF(ISNUMBER(Y77),TEXT(Y77,"0%"),"n.a.")&amp;" of 52-week high; ","")&amp;IF(AF77=0,IF(Z77="n.r.","recurring not reviewed; ","recurring below 75% or not disclosed; "),"")&amp;IF(AM77&lt;$D$40,"traits "&amp;AM77&amp;" of 5",""))</f>
        <v>Fail: TEV outside range; price n.a. of 52-week high; recurring below 75% or not disclosed; </v>
      </c>
    </row>
    <row r="78">
      <c r="E78" s="35"/>
      <c r="F78" s="36"/>
      <c r="G78" s="36"/>
      <c r="H78" t="str" s="25">
        <f>IF(N(G78)&gt;0,F78/G78-1,"n.a.")</f>
        <v>n.a.</v>
      </c>
      <c r="I78" s="36"/>
      <c r="J78" s="36"/>
      <c r="K78" s="36"/>
      <c r="L78" s="24">
        <f>SUM(I78:K78)</f>
        <v>0</v>
      </c>
      <c r="M78" t="str" s="25">
        <f>IF(F78&gt;0,L78/F78,"n.a.")</f>
        <v>n.a.</v>
      </c>
      <c r="N78" s="36"/>
      <c r="O78" s="36"/>
      <c r="P78" s="24"/>
      <c r="Q78" s="36"/>
      <c r="R78" s="24">
        <f>SUM(N78:P78)-Q78</f>
        <v>0</v>
      </c>
      <c r="S78" t="str" s="26">
        <f>IF(L78&gt;0,R78/L78,"NM")</f>
        <v>NM</v>
      </c>
      <c r="T78" s="36"/>
      <c r="U78" t="str" s="24">
        <f>IF(N(T78)&gt;0,T78+R78,"n.a.")</f>
        <v>n.a.</v>
      </c>
      <c r="V78" s="37"/>
      <c r="W78" s="37"/>
      <c r="X78" s="35"/>
      <c r="Y78" t="str" s="25">
        <f>IF(N(W78)&gt;0,V78/W78,"n.a.")</f>
        <v>n.a.</v>
      </c>
      <c r="Z78" s="25"/>
      <c r="AA78" s="51"/>
      <c r="AB78" s="38"/>
      <c r="AC78" s="51"/>
      <c r="AD78" s="28"/>
      <c r="AE78" s="17">
        <f>IF(AND(ISNUMBER(U78),N(U78)&gt;=$D$31,N(U78)&lt;=$D$32),1,0)</f>
        <v>0</v>
      </c>
      <c r="AF78" s="17">
        <f>IF(AND(ISNUMBER(Z78),N(Z78)&gt;=$D$33),1,0)</f>
        <v>0</v>
      </c>
      <c r="AG78" s="17">
        <f>IF(AND(ISNUMBER(Y78),N(Y78)&lt;=$D$34),1,0)</f>
        <v>0</v>
      </c>
      <c r="AH78" s="17">
        <f>IF(AND(ISNUMBER(H78),N(H78)&gt;=$D$35),1,0)</f>
        <v>0</v>
      </c>
      <c r="AI78" s="17">
        <f>IF(AND(ISNUMBER(M78),N(M78)&gt;=$D$36),1,0)</f>
        <v>0</v>
      </c>
      <c r="AJ78" s="17">
        <f>IF(AND(ISNUMBER(S78),N(S78)&lt;=$D$37),1,0)</f>
        <v>0</v>
      </c>
      <c r="AK78" s="17">
        <f>IF(N(AB78)&gt;=$D$38,1,0)</f>
        <v>1</v>
      </c>
      <c r="AL78" s="17">
        <f>IF(N(AD78)&gt;0,1,0)</f>
        <v>0</v>
      </c>
      <c r="AM78" s="17">
        <f>SUM(AH78:AL78)</f>
        <v>1</v>
      </c>
      <c r="AN78" t="str" s="16">
        <f>IF(AND(AE78=1,AF78=1,AG78=1,AM78&gt;=$D$40),"Pass","Fail")</f>
        <v>Fail</v>
      </c>
      <c r="AO78" t="str" s="51">
        <f>IF(AN78="Pass","Pass: "&amp;AM78&amp;" of 5 traits; "&amp;TEXT(Y78,"0%")&amp;" of 52-week high"&amp;IF(AK78=1,"; "&amp;AA78,"")&amp;IF(AL78=1,"; "&amp;AC78,""),"Fail: "&amp;IF(AE78=0,"TEV outside range; ","")&amp;IF(AG78=0,"price "&amp;IF(ISNUMBER(Y78),TEXT(Y78,"0%"),"n.a.")&amp;" of 52-week high; ","")&amp;IF(AF78=0,IF(Z78="n.r.","recurring not reviewed; ","recurring below 75% or not disclosed; "),"")&amp;IF(AM78&lt;$D$40,"traits "&amp;AM78&amp;" of 5",""))</f>
        <v>Fail: TEV outside range; price n.a. of 52-week high; recurring below 75% or not disclosed; </v>
      </c>
    </row>
    <row r="79">
      <c r="E79" s="35"/>
      <c r="F79" s="36"/>
      <c r="G79" s="36"/>
      <c r="H79" t="str" s="25">
        <f>IF(N(G79)&gt;0,F79/G79-1,"n.a.")</f>
        <v>n.a.</v>
      </c>
      <c r="I79" s="36"/>
      <c r="J79" s="36"/>
      <c r="K79" s="36"/>
      <c r="L79" s="24">
        <f>SUM(I79:K79)</f>
        <v>0</v>
      </c>
      <c r="M79" t="str" s="25">
        <f>IF(F79&gt;0,L79/F79,"n.a.")</f>
        <v>n.a.</v>
      </c>
      <c r="N79" s="36"/>
      <c r="O79" s="36"/>
      <c r="P79" s="24"/>
      <c r="Q79" s="36"/>
      <c r="R79" s="24">
        <f>SUM(N79:P79)-Q79</f>
        <v>0</v>
      </c>
      <c r="S79" t="str" s="26">
        <f>IF(L79&gt;0,R79/L79,"NM")</f>
        <v>NM</v>
      </c>
      <c r="T79" s="36"/>
      <c r="U79" t="str" s="24">
        <f>IF(N(T79)&gt;0,T79+R79,"n.a.")</f>
        <v>n.a.</v>
      </c>
      <c r="V79" s="37"/>
      <c r="W79" s="37"/>
      <c r="X79" s="35"/>
      <c r="Y79" t="str" s="25">
        <f>IF(N(W79)&gt;0,V79/W79,"n.a.")</f>
        <v>n.a.</v>
      </c>
      <c r="Z79" s="25"/>
      <c r="AA79" s="51"/>
      <c r="AB79" s="25"/>
      <c r="AC79" s="51"/>
      <c r="AD79" s="28"/>
      <c r="AE79" s="17">
        <f>IF(AND(ISNUMBER(U79),N(U79)&gt;=$D$31,N(U79)&lt;=$D$32),1,0)</f>
        <v>0</v>
      </c>
      <c r="AF79" s="17">
        <f>IF(AND(ISNUMBER(Z79),N(Z79)&gt;=$D$33),1,0)</f>
        <v>0</v>
      </c>
      <c r="AG79" s="17">
        <f>IF(AND(ISNUMBER(Y79),N(Y79)&lt;=$D$34),1,0)</f>
        <v>0</v>
      </c>
      <c r="AH79" s="17">
        <f>IF(AND(ISNUMBER(H79),N(H79)&gt;=$D$35),1,0)</f>
        <v>0</v>
      </c>
      <c r="AI79" s="17">
        <f>IF(AND(ISNUMBER(M79),N(M79)&gt;=$D$36),1,0)</f>
        <v>0</v>
      </c>
      <c r="AJ79" s="17">
        <f>IF(AND(ISNUMBER(S79),N(S79)&lt;=$D$37),1,0)</f>
        <v>0</v>
      </c>
      <c r="AK79" s="17">
        <f>IF(N(AB79)&gt;=$D$38,1,0)</f>
        <v>1</v>
      </c>
      <c r="AL79" s="17">
        <f>IF(N(AD79)&gt;0,1,0)</f>
        <v>0</v>
      </c>
      <c r="AM79" s="17">
        <f>SUM(AH79:AL79)</f>
        <v>1</v>
      </c>
      <c r="AN79" t="str" s="16">
        <f>IF(AND(AE79=1,AF79=1,AG79=1,AM79&gt;=$D$40),"Pass","Fail")</f>
        <v>Fail</v>
      </c>
      <c r="AO79" t="str" s="51">
        <f>IF(AN79="Pass","Pass: "&amp;AM79&amp;" of 5 traits; "&amp;TEXT(Y79,"0%")&amp;" of 52-week high"&amp;IF(AK79=1,"; "&amp;AA79,"")&amp;IF(AL79=1,"; "&amp;AC79,""),"Fail: "&amp;IF(AE79=0,"TEV outside range; ","")&amp;IF(AG79=0,"price "&amp;IF(ISNUMBER(Y79),TEXT(Y79,"0%"),"n.a.")&amp;" of 52-week high; ","")&amp;IF(AF79=0,IF(Z79="n.r.","recurring not reviewed; ","recurring below 75% or not disclosed; "),"")&amp;IF(AM79&lt;$D$40,"traits "&amp;AM79&amp;" of 5",""))</f>
        <v>Fail: TEV outside range; price n.a. of 52-week high; recurring below 75% or not disclosed; </v>
      </c>
    </row>
    <row r="80">
      <c r="E80" s="35"/>
      <c r="F80" s="36"/>
      <c r="G80" s="36"/>
      <c r="H80" t="str" s="25">
        <f>IF(N(G80)&gt;0,F80/G80-1,"n.a.")</f>
        <v>n.a.</v>
      </c>
      <c r="I80" s="36"/>
      <c r="J80" s="36"/>
      <c r="K80" s="36"/>
      <c r="L80" s="24">
        <f>SUM(I80:K80)</f>
        <v>0</v>
      </c>
      <c r="M80" t="str" s="25">
        <f>IF(F80&gt;0,L80/F80,"n.a.")</f>
        <v>n.a.</v>
      </c>
      <c r="N80" s="36"/>
      <c r="O80" s="36"/>
      <c r="P80" s="24"/>
      <c r="Q80" s="36"/>
      <c r="R80" s="24">
        <f>SUM(N80:P80)-Q80</f>
        <v>0</v>
      </c>
      <c r="S80" t="str" s="26">
        <f>IF(L80&gt;0,R80/L80,"NM")</f>
        <v>NM</v>
      </c>
      <c r="T80" s="36"/>
      <c r="U80" t="str" s="24">
        <f>IF(N(T80)&gt;0,T80+R80,"n.a.")</f>
        <v>n.a.</v>
      </c>
      <c r="V80" s="37"/>
      <c r="W80" s="37"/>
      <c r="X80" s="35"/>
      <c r="Y80" t="str" s="25">
        <f>IF(N(W80)&gt;0,V80/W80,"n.a.")</f>
        <v>n.a.</v>
      </c>
      <c r="Z80" s="25"/>
      <c r="AA80" s="51"/>
      <c r="AB80" s="25"/>
      <c r="AC80" s="51"/>
      <c r="AD80" s="28"/>
      <c r="AE80" s="17">
        <f>IF(AND(ISNUMBER(U80),N(U80)&gt;=$D$31,N(U80)&lt;=$D$32),1,0)</f>
        <v>0</v>
      </c>
      <c r="AF80" s="17">
        <f>IF(AND(ISNUMBER(Z80),N(Z80)&gt;=$D$33),1,0)</f>
        <v>0</v>
      </c>
      <c r="AG80" s="17">
        <f>IF(AND(ISNUMBER(Y80),N(Y80)&lt;=$D$34),1,0)</f>
        <v>0</v>
      </c>
      <c r="AH80" s="17">
        <f>IF(AND(ISNUMBER(H80),N(H80)&gt;=$D$35),1,0)</f>
        <v>0</v>
      </c>
      <c r="AI80" s="17">
        <f>IF(AND(ISNUMBER(M80),N(M80)&gt;=$D$36),1,0)</f>
        <v>0</v>
      </c>
      <c r="AJ80" s="17">
        <f>IF(AND(ISNUMBER(S80),N(S80)&lt;=$D$37),1,0)</f>
        <v>0</v>
      </c>
      <c r="AK80" s="17">
        <f>IF(N(AB80)&gt;=$D$38,1,0)</f>
        <v>1</v>
      </c>
      <c r="AL80" s="17">
        <f>IF(N(AD80)&gt;0,1,0)</f>
        <v>0</v>
      </c>
      <c r="AM80" s="17">
        <f>SUM(AH80:AL80)</f>
        <v>1</v>
      </c>
      <c r="AN80" t="str" s="16">
        <f>IF(AND(AE80=1,AF80=1,AG80=1,AM80&gt;=$D$40),"Pass","Fail")</f>
        <v>Fail</v>
      </c>
      <c r="AO80" t="str" s="51">
        <f>IF(AN80="Pass","Pass: "&amp;AM80&amp;" of 5 traits; "&amp;TEXT(Y80,"0%")&amp;" of 52-week high"&amp;IF(AK80=1,"; "&amp;AA80,"")&amp;IF(AL80=1,"; "&amp;AC80,""),"Fail: "&amp;IF(AE80=0,"TEV outside range; ","")&amp;IF(AG80=0,"price "&amp;IF(ISNUMBER(Y80),TEXT(Y80,"0%"),"n.a.")&amp;" of 52-week high; ","")&amp;IF(AF80=0,IF(Z80="n.r.","recurring not reviewed; ","recurring below 75% or not disclosed; "),"")&amp;IF(AM80&lt;$D$40,"traits "&amp;AM80&amp;" of 5",""))</f>
        <v>Fail: TEV outside range; price n.a. of 52-week high; recurring below 75% or not disclosed; </v>
      </c>
    </row>
    <row r="81">
      <c r="E81" s="35"/>
      <c r="F81" s="36"/>
      <c r="G81" s="36"/>
      <c r="H81" t="str" s="25">
        <f>IF(N(G81)&gt;0,F81/G81-1,"n.a.")</f>
        <v>n.a.</v>
      </c>
      <c r="I81" s="36"/>
      <c r="J81" s="36"/>
      <c r="K81" s="36"/>
      <c r="L81" s="24">
        <f>SUM(I81:K81)</f>
        <v>0</v>
      </c>
      <c r="M81" t="str" s="25">
        <f>IF(F81&gt;0,L81/F81,"n.a.")</f>
        <v>n.a.</v>
      </c>
      <c r="N81" s="24"/>
      <c r="O81" s="36"/>
      <c r="P81" s="36"/>
      <c r="Q81" s="36"/>
      <c r="R81" s="24">
        <f>SUM(N81:P81)-Q81</f>
        <v>0</v>
      </c>
      <c r="S81" t="str" s="26">
        <f>IF(L81&gt;0,R81/L81,"NM")</f>
        <v>NM</v>
      </c>
      <c r="T81" s="36"/>
      <c r="U81" t="str" s="24">
        <f>IF(N(T81)&gt;0,T81+R81,"n.a.")</f>
        <v>n.a.</v>
      </c>
      <c r="V81" s="37"/>
      <c r="W81" s="37"/>
      <c r="X81" s="35"/>
      <c r="Y81" t="str" s="25">
        <f>IF(N(W81)&gt;0,V81/W81,"n.a.")</f>
        <v>n.a.</v>
      </c>
      <c r="Z81" s="25"/>
      <c r="AA81" s="51"/>
      <c r="AB81" s="25"/>
      <c r="AC81" s="51"/>
      <c r="AD81" s="28"/>
      <c r="AE81" s="17">
        <f>IF(AND(ISNUMBER(U81),N(U81)&gt;=$D$31,N(U81)&lt;=$D$32),1,0)</f>
        <v>0</v>
      </c>
      <c r="AF81" s="17">
        <f>IF(AND(ISNUMBER(Z81),N(Z81)&gt;=$D$33),1,0)</f>
        <v>0</v>
      </c>
      <c r="AG81" s="17">
        <f>IF(AND(ISNUMBER(Y81),N(Y81)&lt;=$D$34),1,0)</f>
        <v>0</v>
      </c>
      <c r="AH81" s="17">
        <f>IF(AND(ISNUMBER(H81),N(H81)&gt;=$D$35),1,0)</f>
        <v>0</v>
      </c>
      <c r="AI81" s="17">
        <f>IF(AND(ISNUMBER(M81),N(M81)&gt;=$D$36),1,0)</f>
        <v>0</v>
      </c>
      <c r="AJ81" s="17">
        <f>IF(AND(ISNUMBER(S81),N(S81)&lt;=$D$37),1,0)</f>
        <v>0</v>
      </c>
      <c r="AK81" s="17">
        <f>IF(N(AB81)&gt;=$D$38,1,0)</f>
        <v>1</v>
      </c>
      <c r="AL81" s="17">
        <f>IF(N(AD81)&gt;0,1,0)</f>
        <v>0</v>
      </c>
      <c r="AM81" s="17">
        <f>SUM(AH81:AL81)</f>
        <v>1</v>
      </c>
      <c r="AN81" t="str" s="16">
        <f>IF(AND(AE81=1,AF81=1,AG81=1,AM81&gt;=$D$40),"Pass","Fail")</f>
        <v>Fail</v>
      </c>
      <c r="AO81" t="str" s="51">
        <f>IF(AN81="Pass","Pass: "&amp;AM81&amp;" of 5 traits; "&amp;TEXT(Y81,"0%")&amp;" of 52-week high"&amp;IF(AK81=1,"; "&amp;AA81,"")&amp;IF(AL81=1,"; "&amp;AC81,""),"Fail: "&amp;IF(AE81=0,"TEV outside range; ","")&amp;IF(AG81=0,"price "&amp;IF(ISNUMBER(Y81),TEXT(Y81,"0%"),"n.a.")&amp;" of 52-week high; ","")&amp;IF(AF81=0,IF(Z81="n.r.","recurring not reviewed; ","recurring below 75% or not disclosed; "),"")&amp;IF(AM81&lt;$D$40,"traits "&amp;AM81&amp;" of 5",""))</f>
        <v>Fail: TEV outside range; price n.a. of 52-week high; recurring below 75% or not disclosed; </v>
      </c>
    </row>
    <row r="82">
      <c r="E82" s="35"/>
      <c r="F82" s="36"/>
      <c r="G82" s="36"/>
      <c r="H82" t="str" s="25">
        <f>IF(N(G82)&gt;0,F82/G82-1,"n.a.")</f>
        <v>n.a.</v>
      </c>
      <c r="I82" s="36"/>
      <c r="J82" s="36"/>
      <c r="K82" s="36"/>
      <c r="L82" s="24">
        <f>SUM(I82:K82)</f>
        <v>0</v>
      </c>
      <c r="M82" t="str" s="25">
        <f>IF(F82&gt;0,L82/F82,"n.a.")</f>
        <v>n.a.</v>
      </c>
      <c r="N82" s="24"/>
      <c r="O82" s="24"/>
      <c r="P82" s="24"/>
      <c r="Q82" s="36"/>
      <c r="R82" s="24">
        <f>SUM(N82:P82)-Q82</f>
        <v>0</v>
      </c>
      <c r="S82" t="str" s="26">
        <f>IF(L82&gt;0,R82/L82,"NM")</f>
        <v>NM</v>
      </c>
      <c r="T82" s="36"/>
      <c r="U82" t="str" s="24">
        <f>IF(N(T82)&gt;0,T82+R82,"n.a.")</f>
        <v>n.a.</v>
      </c>
      <c r="V82" s="37"/>
      <c r="W82" s="37"/>
      <c r="X82" s="35"/>
      <c r="Y82" t="str" s="25">
        <f>IF(N(W82)&gt;0,V82/W82,"n.a.")</f>
        <v>n.a.</v>
      </c>
      <c r="Z82" s="25"/>
      <c r="AA82" s="51"/>
      <c r="AB82" s="25"/>
      <c r="AC82" s="51"/>
      <c r="AD82" s="28"/>
      <c r="AE82" s="17">
        <f>IF(AND(ISNUMBER(U82),N(U82)&gt;=$D$31,N(U82)&lt;=$D$32),1,0)</f>
        <v>0</v>
      </c>
      <c r="AF82" s="17">
        <f>IF(AND(ISNUMBER(Z82),N(Z82)&gt;=$D$33),1,0)</f>
        <v>0</v>
      </c>
      <c r="AG82" s="17">
        <f>IF(AND(ISNUMBER(Y82),N(Y82)&lt;=$D$34),1,0)</f>
        <v>0</v>
      </c>
      <c r="AH82" s="17">
        <f>IF(AND(ISNUMBER(H82),N(H82)&gt;=$D$35),1,0)</f>
        <v>0</v>
      </c>
      <c r="AI82" s="17">
        <f>IF(AND(ISNUMBER(M82),N(M82)&gt;=$D$36),1,0)</f>
        <v>0</v>
      </c>
      <c r="AJ82" s="17">
        <f>IF(AND(ISNUMBER(S82),N(S82)&lt;=$D$37),1,0)</f>
        <v>0</v>
      </c>
      <c r="AK82" s="17">
        <f>IF(N(AB82)&gt;=$D$38,1,0)</f>
        <v>1</v>
      </c>
      <c r="AL82" s="17">
        <f>IF(N(AD82)&gt;0,1,0)</f>
        <v>0</v>
      </c>
      <c r="AM82" s="17">
        <f>SUM(AH82:AL82)</f>
        <v>1</v>
      </c>
      <c r="AN82" t="str" s="16">
        <f>IF(AND(AE82=1,AF82=1,AG82=1,AM82&gt;=$D$40),"Pass","Fail")</f>
        <v>Fail</v>
      </c>
      <c r="AO82" t="str" s="51">
        <f>IF(AN82="Pass","Pass: "&amp;AM82&amp;" of 5 traits; "&amp;TEXT(Y82,"0%")&amp;" of 52-week high"&amp;IF(AK82=1,"; "&amp;AA82,"")&amp;IF(AL82=1,"; "&amp;AC82,""),"Fail: "&amp;IF(AE82=0,"TEV outside range; ","")&amp;IF(AG82=0,"price "&amp;IF(ISNUMBER(Y82),TEXT(Y82,"0%"),"n.a.")&amp;" of 52-week high; ","")&amp;IF(AF82=0,IF(Z82="n.r.","recurring not reviewed; ","recurring below 75% or not disclosed; "),"")&amp;IF(AM82&lt;$D$40,"traits "&amp;AM82&amp;" of 5",""))</f>
        <v>Fail: TEV outside range; price n.a. of 52-week high; recurring below 75% or not disclosed; </v>
      </c>
    </row>
    <row r="83">
      <c r="E83" s="35"/>
      <c r="F83" s="36"/>
      <c r="G83" s="36"/>
      <c r="H83" t="str" s="25">
        <f>IF(N(G83)&gt;0,F83/G83-1,"n.a.")</f>
        <v>n.a.</v>
      </c>
      <c r="I83" s="36"/>
      <c r="J83" s="36"/>
      <c r="K83" s="36"/>
      <c r="L83" s="24">
        <f>SUM(I83:K83)</f>
        <v>0</v>
      </c>
      <c r="M83" t="str" s="25">
        <f>IF(F83&gt;0,L83/F83,"n.a.")</f>
        <v>n.a.</v>
      </c>
      <c r="N83" s="24"/>
      <c r="O83" s="24"/>
      <c r="P83" s="24"/>
      <c r="Q83" s="36"/>
      <c r="R83" s="24">
        <f>SUM(N83:P83)-Q83</f>
        <v>0</v>
      </c>
      <c r="S83" t="str" s="26">
        <f>IF(L83&gt;0,R83/L83,"NM")</f>
        <v>NM</v>
      </c>
      <c r="T83" s="36"/>
      <c r="U83" t="str" s="24">
        <f>IF(N(T83)&gt;0,T83+R83,"n.a.")</f>
        <v>n.a.</v>
      </c>
      <c r="V83" s="37"/>
      <c r="W83" s="37"/>
      <c r="X83" s="35"/>
      <c r="Y83" t="str" s="25">
        <f>IF(N(W83)&gt;0,V83/W83,"n.a.")</f>
        <v>n.a.</v>
      </c>
      <c r="Z83" s="25"/>
      <c r="AA83" s="51"/>
      <c r="AB83" s="38"/>
      <c r="AC83" s="51"/>
      <c r="AD83" s="28"/>
      <c r="AE83" s="17">
        <f>IF(AND(ISNUMBER(U83),N(U83)&gt;=$D$31,N(U83)&lt;=$D$32),1,0)</f>
        <v>0</v>
      </c>
      <c r="AF83" s="17">
        <f>IF(AND(ISNUMBER(Z83),N(Z83)&gt;=$D$33),1,0)</f>
        <v>0</v>
      </c>
      <c r="AG83" s="17">
        <f>IF(AND(ISNUMBER(Y83),N(Y83)&lt;=$D$34),1,0)</f>
        <v>0</v>
      </c>
      <c r="AH83" s="17">
        <f>IF(AND(ISNUMBER(H83),N(H83)&gt;=$D$35),1,0)</f>
        <v>0</v>
      </c>
      <c r="AI83" s="17">
        <f>IF(AND(ISNUMBER(M83),N(M83)&gt;=$D$36),1,0)</f>
        <v>0</v>
      </c>
      <c r="AJ83" s="17">
        <f>IF(AND(ISNUMBER(S83),N(S83)&lt;=$D$37),1,0)</f>
        <v>0</v>
      </c>
      <c r="AK83" s="17">
        <f>IF(N(AB83)&gt;=$D$38,1,0)</f>
        <v>1</v>
      </c>
      <c r="AL83" s="17">
        <f>IF(N(AD83)&gt;0,1,0)</f>
        <v>0</v>
      </c>
      <c r="AM83" s="17">
        <f>SUM(AH83:AL83)</f>
        <v>1</v>
      </c>
      <c r="AN83" t="str" s="16">
        <f>IF(AND(AE83=1,AF83=1,AG83=1,AM83&gt;=$D$40),"Pass","Fail")</f>
        <v>Fail</v>
      </c>
      <c r="AO83" t="str" s="51">
        <f>IF(AN83="Pass","Pass: "&amp;AM83&amp;" of 5 traits; "&amp;TEXT(Y83,"0%")&amp;" of 52-week high"&amp;IF(AK83=1,"; "&amp;AA83,"")&amp;IF(AL83=1,"; "&amp;AC83,""),"Fail: "&amp;IF(AE83=0,"TEV outside range; ","")&amp;IF(AG83=0,"price "&amp;IF(ISNUMBER(Y83),TEXT(Y83,"0%"),"n.a.")&amp;" of 52-week high; ","")&amp;IF(AF83=0,IF(Z83="n.r.","recurring not reviewed; ","recurring below 75% or not disclosed; "),"")&amp;IF(AM83&lt;$D$40,"traits "&amp;AM83&amp;" of 5",""))</f>
        <v>Fail: TEV outside range; price n.a. of 52-week high; recurring below 75% or not disclosed; </v>
      </c>
    </row>
    <row r="84">
      <c r="E84" s="35"/>
      <c r="F84" s="36"/>
      <c r="G84" s="36"/>
      <c r="H84" t="str" s="25">
        <f>IF(N(G84)&gt;0,F84/G84-1,"n.a.")</f>
        <v>n.a.</v>
      </c>
      <c r="I84" s="36"/>
      <c r="J84" s="36"/>
      <c r="K84" s="36"/>
      <c r="L84" s="24">
        <f>SUM(I84:K84)</f>
        <v>0</v>
      </c>
      <c r="M84" t="str" s="25">
        <f>IF(F84&gt;0,L84/F84,"n.a.")</f>
        <v>n.a.</v>
      </c>
      <c r="N84" s="24"/>
      <c r="O84" s="24"/>
      <c r="P84" s="24"/>
      <c r="Q84" s="36"/>
      <c r="R84" s="24">
        <f>SUM(N84:P84)-Q84</f>
        <v>0</v>
      </c>
      <c r="S84" t="str" s="26">
        <f>IF(L84&gt;0,R84/L84,"NM")</f>
        <v>NM</v>
      </c>
      <c r="T84" s="36"/>
      <c r="U84" t="str" s="24">
        <f>IF(N(T84)&gt;0,T84+R84,"n.a.")</f>
        <v>n.a.</v>
      </c>
      <c r="V84" s="37"/>
      <c r="W84" s="37"/>
      <c r="X84" s="35"/>
      <c r="Y84" t="str" s="25">
        <f>IF(N(W84)&gt;0,V84/W84,"n.a.")</f>
        <v>n.a.</v>
      </c>
      <c r="Z84" s="25"/>
      <c r="AA84" s="51"/>
      <c r="AB84" s="38"/>
      <c r="AC84" s="51"/>
      <c r="AD84" s="28"/>
      <c r="AE84" s="17">
        <f>IF(AND(ISNUMBER(U84),N(U84)&gt;=$D$31,N(U84)&lt;=$D$32),1,0)</f>
        <v>0</v>
      </c>
      <c r="AF84" s="17">
        <f>IF(AND(ISNUMBER(Z84),N(Z84)&gt;=$D$33),1,0)</f>
        <v>0</v>
      </c>
      <c r="AG84" s="17">
        <f>IF(AND(ISNUMBER(Y84),N(Y84)&lt;=$D$34),1,0)</f>
        <v>0</v>
      </c>
      <c r="AH84" s="17">
        <f>IF(AND(ISNUMBER(H84),N(H84)&gt;=$D$35),1,0)</f>
        <v>0</v>
      </c>
      <c r="AI84" s="17">
        <f>IF(AND(ISNUMBER(M84),N(M84)&gt;=$D$36),1,0)</f>
        <v>0</v>
      </c>
      <c r="AJ84" s="17">
        <f>IF(AND(ISNUMBER(S84),N(S84)&lt;=$D$37),1,0)</f>
        <v>0</v>
      </c>
      <c r="AK84" s="17">
        <f>IF(N(AB84)&gt;=$D$38,1,0)</f>
        <v>1</v>
      </c>
      <c r="AL84" s="17">
        <f>IF(N(AD84)&gt;0,1,0)</f>
        <v>0</v>
      </c>
      <c r="AM84" s="17">
        <f>SUM(AH84:AL84)</f>
        <v>1</v>
      </c>
      <c r="AN84" t="str" s="16">
        <f>IF(AND(AE84=1,AF84=1,AG84=1,AM84&gt;=$D$40),"Pass","Fail")</f>
        <v>Fail</v>
      </c>
      <c r="AO84" t="str" s="51">
        <f>IF(AN84="Pass","Pass: "&amp;AM84&amp;" of 5 traits; "&amp;TEXT(Y84,"0%")&amp;" of 52-week high"&amp;IF(AK84=1,"; "&amp;AA84,"")&amp;IF(AL84=1,"; "&amp;AC84,""),"Fail: "&amp;IF(AE84=0,"TEV outside range; ","")&amp;IF(AG84=0,"price "&amp;IF(ISNUMBER(Y84),TEXT(Y84,"0%"),"n.a.")&amp;" of 52-week high; ","")&amp;IF(AF84=0,IF(Z84="n.r.","recurring not reviewed; ","recurring below 75% or not disclosed; "),"")&amp;IF(AM84&lt;$D$40,"traits "&amp;AM84&amp;" of 5",""))</f>
        <v>Fail: TEV outside range; price n.a. of 52-week high; recurring below 75% or not disclosed; </v>
      </c>
    </row>
    <row r="85">
      <c r="E85" s="35"/>
      <c r="F85" s="36"/>
      <c r="G85" s="36"/>
      <c r="H85" t="str" s="25">
        <f>IF(N(G85)&gt;0,F85/G85-1,"n.a.")</f>
        <v>n.a.</v>
      </c>
      <c r="I85" s="36"/>
      <c r="J85" s="36"/>
      <c r="K85" s="36"/>
      <c r="L85" s="24">
        <f>SUM(I85:K85)</f>
        <v>0</v>
      </c>
      <c r="M85" t="str" s="25">
        <f>IF(F85&gt;0,L85/F85,"n.a.")</f>
        <v>n.a.</v>
      </c>
      <c r="N85" s="24"/>
      <c r="O85" s="24"/>
      <c r="P85" s="24"/>
      <c r="Q85" s="36"/>
      <c r="R85" s="24">
        <f>SUM(N85:P85)-Q85</f>
        <v>0</v>
      </c>
      <c r="S85" t="str" s="26">
        <f>IF(L85&gt;0,R85/L85,"NM")</f>
        <v>NM</v>
      </c>
      <c r="T85" s="36"/>
      <c r="U85" t="str" s="24">
        <f>IF(N(T85)&gt;0,T85+R85,"n.a.")</f>
        <v>n.a.</v>
      </c>
      <c r="V85" s="37"/>
      <c r="W85" s="37"/>
      <c r="X85" s="35"/>
      <c r="Y85" t="str" s="25">
        <f>IF(N(W85)&gt;0,V85/W85,"n.a.")</f>
        <v>n.a.</v>
      </c>
      <c r="Z85" s="25"/>
      <c r="AA85" s="51"/>
      <c r="AB85" s="25"/>
      <c r="AC85" s="51"/>
      <c r="AD85" s="28"/>
      <c r="AE85" s="17">
        <f>IF(AND(ISNUMBER(U85),N(U85)&gt;=$D$31,N(U85)&lt;=$D$32),1,0)</f>
        <v>0</v>
      </c>
      <c r="AF85" s="17">
        <f>IF(AND(ISNUMBER(Z85),N(Z85)&gt;=$D$33),1,0)</f>
        <v>0</v>
      </c>
      <c r="AG85" s="17">
        <f>IF(AND(ISNUMBER(Y85),N(Y85)&lt;=$D$34),1,0)</f>
        <v>0</v>
      </c>
      <c r="AH85" s="17">
        <f>IF(AND(ISNUMBER(H85),N(H85)&gt;=$D$35),1,0)</f>
        <v>0</v>
      </c>
      <c r="AI85" s="17">
        <f>IF(AND(ISNUMBER(M85),N(M85)&gt;=$D$36),1,0)</f>
        <v>0</v>
      </c>
      <c r="AJ85" s="17">
        <f>IF(AND(ISNUMBER(S85),N(S85)&lt;=$D$37),1,0)</f>
        <v>0</v>
      </c>
      <c r="AK85" s="17">
        <f>IF(N(AB85)&gt;=$D$38,1,0)</f>
        <v>1</v>
      </c>
      <c r="AL85" s="17">
        <f>IF(N(AD85)&gt;0,1,0)</f>
        <v>0</v>
      </c>
      <c r="AM85" s="17">
        <f>SUM(AH85:AL85)</f>
        <v>1</v>
      </c>
      <c r="AN85" t="str" s="16">
        <f>IF(AND(AE85=1,AF85=1,AG85=1,AM85&gt;=$D$40),"Pass","Fail")</f>
        <v>Fail</v>
      </c>
      <c r="AO85" t="str" s="51">
        <f>IF(AN85="Pass","Pass: "&amp;AM85&amp;" of 5 traits; "&amp;TEXT(Y85,"0%")&amp;" of 52-week high"&amp;IF(AK85=1,"; "&amp;AA85,"")&amp;IF(AL85=1,"; "&amp;AC85,""),"Fail: "&amp;IF(AE85=0,"TEV outside range; ","")&amp;IF(AG85=0,"price "&amp;IF(ISNUMBER(Y85),TEXT(Y85,"0%"),"n.a.")&amp;" of 52-week high; ","")&amp;IF(AF85=0,IF(Z85="n.r.","recurring not reviewed; ","recurring below 75% or not disclosed; "),"")&amp;IF(AM85&lt;$D$40,"traits "&amp;AM85&amp;" of 5",""))</f>
        <v>Fail: TEV outside range; price n.a. of 52-week high; recurring below 75% or not disclosed; </v>
      </c>
    </row>
    <row r="86">
      <c r="E86" s="35"/>
      <c r="F86" s="36"/>
      <c r="G86" s="36"/>
      <c r="H86" t="str" s="25">
        <f>IF(N(G86)&gt;0,F86/G86-1,"n.a.")</f>
        <v>n.a.</v>
      </c>
      <c r="I86" s="36"/>
      <c r="J86" s="36"/>
      <c r="K86" s="36"/>
      <c r="L86" s="24">
        <f>SUM(I86:K86)</f>
        <v>0</v>
      </c>
      <c r="M86" t="str" s="25">
        <f>IF(F86&gt;0,L86/F86,"n.a.")</f>
        <v>n.a.</v>
      </c>
      <c r="N86" s="36"/>
      <c r="O86" s="36"/>
      <c r="P86" s="36"/>
      <c r="Q86" s="36"/>
      <c r="R86" s="24">
        <f>SUM(N86:P86)-Q86</f>
        <v>0</v>
      </c>
      <c r="S86" t="str" s="26">
        <f>IF(L86&gt;0,R86/L86,"NM")</f>
        <v>NM</v>
      </c>
      <c r="T86" s="36"/>
      <c r="U86" t="str" s="24">
        <f>IF(N(T86)&gt;0,T86+R86,"n.a.")</f>
        <v>n.a.</v>
      </c>
      <c r="V86" s="37"/>
      <c r="W86" s="37"/>
      <c r="X86" s="35"/>
      <c r="Y86" t="str" s="25">
        <f>IF(N(W86)&gt;0,V86/W86,"n.a.")</f>
        <v>n.a.</v>
      </c>
      <c r="Z86" s="25"/>
      <c r="AA86" s="51"/>
      <c r="AB86" s="25"/>
      <c r="AC86" s="51"/>
      <c r="AD86" s="28"/>
      <c r="AE86" s="17">
        <f>IF(AND(ISNUMBER(U86),N(U86)&gt;=$D$31,N(U86)&lt;=$D$32),1,0)</f>
        <v>0</v>
      </c>
      <c r="AF86" s="17">
        <f>IF(AND(ISNUMBER(Z86),N(Z86)&gt;=$D$33),1,0)</f>
        <v>0</v>
      </c>
      <c r="AG86" s="17">
        <f>IF(AND(ISNUMBER(Y86),N(Y86)&lt;=$D$34),1,0)</f>
        <v>0</v>
      </c>
      <c r="AH86" s="17">
        <f>IF(AND(ISNUMBER(H86),N(H86)&gt;=$D$35),1,0)</f>
        <v>0</v>
      </c>
      <c r="AI86" s="17">
        <f>IF(AND(ISNUMBER(M86),N(M86)&gt;=$D$36),1,0)</f>
        <v>0</v>
      </c>
      <c r="AJ86" s="17">
        <f>IF(AND(ISNUMBER(S86),N(S86)&lt;=$D$37),1,0)</f>
        <v>0</v>
      </c>
      <c r="AK86" s="17">
        <f>IF(N(AB86)&gt;=$D$38,1,0)</f>
        <v>1</v>
      </c>
      <c r="AL86" s="17">
        <f>IF(N(AD86)&gt;0,1,0)</f>
        <v>0</v>
      </c>
      <c r="AM86" s="17">
        <f>SUM(AH86:AL86)</f>
        <v>1</v>
      </c>
      <c r="AN86" t="str" s="16">
        <f>IF(AND(AE86=1,AF86=1,AG86=1,AM86&gt;=$D$40),"Pass","Fail")</f>
        <v>Fail</v>
      </c>
      <c r="AO86" t="str" s="51">
        <f>IF(AN86="Pass","Pass: "&amp;AM86&amp;" of 5 traits; "&amp;TEXT(Y86,"0%")&amp;" of 52-week high"&amp;IF(AK86=1,"; "&amp;AA86,"")&amp;IF(AL86=1,"; "&amp;AC86,""),"Fail: "&amp;IF(AE86=0,"TEV outside range; ","")&amp;IF(AG86=0,"price "&amp;IF(ISNUMBER(Y86),TEXT(Y86,"0%"),"n.a.")&amp;" of 52-week high; ","")&amp;IF(AF86=0,IF(Z86="n.r.","recurring not reviewed; ","recurring below 75% or not disclosed; "),"")&amp;IF(AM86&lt;$D$40,"traits "&amp;AM86&amp;" of 5",""))</f>
        <v>Fail: TEV outside range; price n.a. of 52-week high; recurring below 75% or not disclosed; </v>
      </c>
    </row>
    <row r="87">
      <c r="E87" s="35"/>
      <c r="F87" s="36"/>
      <c r="G87" s="36"/>
      <c r="H87" t="str" s="25">
        <f>IF(N(G87)&gt;0,F87/G87-1,"n.a.")</f>
        <v>n.a.</v>
      </c>
      <c r="I87" s="36"/>
      <c r="J87" s="36"/>
      <c r="K87" s="36"/>
      <c r="L87" s="24">
        <f>SUM(I87:K87)</f>
        <v>0</v>
      </c>
      <c r="M87" t="str" s="25">
        <f>IF(F87&gt;0,L87/F87,"n.a.")</f>
        <v>n.a.</v>
      </c>
      <c r="N87" s="24"/>
      <c r="O87" s="36"/>
      <c r="P87" s="24"/>
      <c r="Q87" s="36"/>
      <c r="R87" s="24">
        <f>SUM(N87:P87)-Q87</f>
        <v>0</v>
      </c>
      <c r="S87" t="str" s="26">
        <f>IF(L87&gt;0,R87/L87,"NM")</f>
        <v>NM</v>
      </c>
      <c r="T87" s="36"/>
      <c r="U87" t="str" s="24">
        <f>IF(N(T87)&gt;0,T87+R87,"n.a.")</f>
        <v>n.a.</v>
      </c>
      <c r="V87" s="37"/>
      <c r="W87" s="37"/>
      <c r="X87" s="35"/>
      <c r="Y87" t="str" s="25">
        <f>IF(N(W87)&gt;0,V87/W87,"n.a.")</f>
        <v>n.a.</v>
      </c>
      <c r="Z87" s="25"/>
      <c r="AA87" s="51"/>
      <c r="AB87" s="25"/>
      <c r="AC87" s="51"/>
      <c r="AD87" s="28"/>
      <c r="AE87" s="17">
        <f>IF(AND(ISNUMBER(U87),N(U87)&gt;=$D$31,N(U87)&lt;=$D$32),1,0)</f>
        <v>0</v>
      </c>
      <c r="AF87" s="17">
        <f>IF(AND(ISNUMBER(Z87),N(Z87)&gt;=$D$33),1,0)</f>
        <v>0</v>
      </c>
      <c r="AG87" s="17">
        <f>IF(AND(ISNUMBER(Y87),N(Y87)&lt;=$D$34),1,0)</f>
        <v>0</v>
      </c>
      <c r="AH87" s="17">
        <f>IF(AND(ISNUMBER(H87),N(H87)&gt;=$D$35),1,0)</f>
        <v>0</v>
      </c>
      <c r="AI87" s="17">
        <f>IF(AND(ISNUMBER(M87),N(M87)&gt;=$D$36),1,0)</f>
        <v>0</v>
      </c>
      <c r="AJ87" s="17">
        <f>IF(AND(ISNUMBER(S87),N(S87)&lt;=$D$37),1,0)</f>
        <v>0</v>
      </c>
      <c r="AK87" s="17">
        <f>IF(N(AB87)&gt;=$D$38,1,0)</f>
        <v>1</v>
      </c>
      <c r="AL87" s="17">
        <f>IF(N(AD87)&gt;0,1,0)</f>
        <v>0</v>
      </c>
      <c r="AM87" s="17">
        <f>SUM(AH87:AL87)</f>
        <v>1</v>
      </c>
      <c r="AN87" t="str" s="16">
        <f>IF(AND(AE87=1,AF87=1,AG87=1,AM87&gt;=$D$40),"Pass","Fail")</f>
        <v>Fail</v>
      </c>
      <c r="AO87" t="str" s="51">
        <f>IF(AN87="Pass","Pass: "&amp;AM87&amp;" of 5 traits; "&amp;TEXT(Y87,"0%")&amp;" of 52-week high"&amp;IF(AK87=1,"; "&amp;AA87,"")&amp;IF(AL87=1,"; "&amp;AC87,""),"Fail: "&amp;IF(AE87=0,"TEV outside range; ","")&amp;IF(AG87=0,"price "&amp;IF(ISNUMBER(Y87),TEXT(Y87,"0%"),"n.a.")&amp;" of 52-week high; ","")&amp;IF(AF87=0,IF(Z87="n.r.","recurring not reviewed; ","recurring below 75% or not disclosed; "),"")&amp;IF(AM87&lt;$D$40,"traits "&amp;AM87&amp;" of 5",""))</f>
        <v>Fail: TEV outside range; price n.a. of 52-week high; recurring below 75% or not disclosed; </v>
      </c>
    </row>
    <row r="88">
      <c r="E88" s="35"/>
      <c r="F88" s="36"/>
      <c r="G88" s="36"/>
      <c r="H88" t="str" s="25">
        <f>IF(N(G88)&gt;0,F88/G88-1,"n.a.")</f>
        <v>n.a.</v>
      </c>
      <c r="I88" s="36"/>
      <c r="J88" s="36"/>
      <c r="K88" s="36"/>
      <c r="L88" s="24">
        <f>SUM(I88:K88)</f>
        <v>0</v>
      </c>
      <c r="M88" t="str" s="25">
        <f>IF(F88&gt;0,L88/F88,"n.a.")</f>
        <v>n.a.</v>
      </c>
      <c r="N88" s="24"/>
      <c r="O88" s="24"/>
      <c r="P88" s="24"/>
      <c r="Q88" s="36"/>
      <c r="R88" s="24">
        <f>SUM(N88:P88)-Q88</f>
        <v>0</v>
      </c>
      <c r="S88" t="str" s="26">
        <f>IF(L88&gt;0,R88/L88,"NM")</f>
        <v>NM</v>
      </c>
      <c r="T88" s="36"/>
      <c r="U88" t="str" s="24">
        <f>IF(N(T88)&gt;0,T88+R88,"n.a.")</f>
        <v>n.a.</v>
      </c>
      <c r="V88" s="37"/>
      <c r="W88" s="37"/>
      <c r="X88" s="35"/>
      <c r="Y88" t="str" s="25">
        <f>IF(N(W88)&gt;0,V88/W88,"n.a.")</f>
        <v>n.a.</v>
      </c>
      <c r="Z88" s="25"/>
      <c r="AA88" s="51"/>
      <c r="AB88" s="25"/>
      <c r="AC88" s="51"/>
      <c r="AD88" s="28"/>
      <c r="AE88" s="17">
        <f>IF(AND(ISNUMBER(U88),N(U88)&gt;=$D$31,N(U88)&lt;=$D$32),1,0)</f>
        <v>0</v>
      </c>
      <c r="AF88" s="17">
        <f>IF(AND(ISNUMBER(Z88),N(Z88)&gt;=$D$33),1,0)</f>
        <v>0</v>
      </c>
      <c r="AG88" s="17">
        <f>IF(AND(ISNUMBER(Y88),N(Y88)&lt;=$D$34),1,0)</f>
        <v>0</v>
      </c>
      <c r="AH88" s="17">
        <f>IF(AND(ISNUMBER(H88),N(H88)&gt;=$D$35),1,0)</f>
        <v>0</v>
      </c>
      <c r="AI88" s="17">
        <f>IF(AND(ISNUMBER(M88),N(M88)&gt;=$D$36),1,0)</f>
        <v>0</v>
      </c>
      <c r="AJ88" s="17">
        <f>IF(AND(ISNUMBER(S88),N(S88)&lt;=$D$37),1,0)</f>
        <v>0</v>
      </c>
      <c r="AK88" s="17">
        <f>IF(N(AB88)&gt;=$D$38,1,0)</f>
        <v>1</v>
      </c>
      <c r="AL88" s="17">
        <f>IF(N(AD88)&gt;0,1,0)</f>
        <v>0</v>
      </c>
      <c r="AM88" s="17">
        <f>SUM(AH88:AL88)</f>
        <v>1</v>
      </c>
      <c r="AN88" t="str" s="16">
        <f>IF(AND(AE88=1,AF88=1,AG88=1,AM88&gt;=$D$40),"Pass","Fail")</f>
        <v>Fail</v>
      </c>
      <c r="AO88" t="str" s="51">
        <f>IF(AN88="Pass","Pass: "&amp;AM88&amp;" of 5 traits; "&amp;TEXT(Y88,"0%")&amp;" of 52-week high"&amp;IF(AK88=1,"; "&amp;AA88,"")&amp;IF(AL88=1,"; "&amp;AC88,""),"Fail: "&amp;IF(AE88=0,"TEV outside range; ","")&amp;IF(AG88=0,"price "&amp;IF(ISNUMBER(Y88),TEXT(Y88,"0%"),"n.a.")&amp;" of 52-week high; ","")&amp;IF(AF88=0,IF(Z88="n.r.","recurring not reviewed; ","recurring below 75% or not disclosed; "),"")&amp;IF(AM88&lt;$D$40,"traits "&amp;AM88&amp;" of 5",""))</f>
        <v>Fail: TEV outside range; price n.a. of 52-week high; recurring below 75% or not disclosed; </v>
      </c>
    </row>
    <row r="89">
      <c r="E89" s="35"/>
      <c r="F89" s="36"/>
      <c r="G89" s="36"/>
      <c r="H89" t="str" s="25">
        <f>IF(N(G89)&gt;0,F89/G89-1,"n.a.")</f>
        <v>n.a.</v>
      </c>
      <c r="I89" s="36"/>
      <c r="J89" s="36"/>
      <c r="K89" s="36"/>
      <c r="L89" s="24">
        <f>SUM(I89:K89)</f>
        <v>0</v>
      </c>
      <c r="M89" t="str" s="25">
        <f>IF(F89&gt;0,L89/F89,"n.a.")</f>
        <v>n.a.</v>
      </c>
      <c r="N89" s="24"/>
      <c r="O89" s="36"/>
      <c r="P89" s="24"/>
      <c r="Q89" s="36"/>
      <c r="R89" s="24">
        <f>SUM(N89:P89)-Q89</f>
        <v>0</v>
      </c>
      <c r="S89" t="str" s="26">
        <f>IF(L89&gt;0,R89/L89,"NM")</f>
        <v>NM</v>
      </c>
      <c r="T89" s="36"/>
      <c r="U89" t="str" s="24">
        <f>IF(N(T89)&gt;0,T89+R89,"n.a.")</f>
        <v>n.a.</v>
      </c>
      <c r="V89" s="37"/>
      <c r="W89" s="37"/>
      <c r="X89" s="35"/>
      <c r="Y89" t="str" s="25">
        <f>IF(N(W89)&gt;0,V89/W89,"n.a.")</f>
        <v>n.a.</v>
      </c>
      <c r="Z89" s="25"/>
      <c r="AA89" s="51"/>
      <c r="AB89" s="25"/>
      <c r="AC89" s="51"/>
      <c r="AD89" s="28"/>
      <c r="AE89" s="17">
        <f>IF(AND(ISNUMBER(U89),N(U89)&gt;=$D$31,N(U89)&lt;=$D$32),1,0)</f>
        <v>0</v>
      </c>
      <c r="AF89" s="17">
        <f>IF(AND(ISNUMBER(Z89),N(Z89)&gt;=$D$33),1,0)</f>
        <v>0</v>
      </c>
      <c r="AG89" s="17">
        <f>IF(AND(ISNUMBER(Y89),N(Y89)&lt;=$D$34),1,0)</f>
        <v>0</v>
      </c>
      <c r="AH89" s="17">
        <f>IF(AND(ISNUMBER(H89),N(H89)&gt;=$D$35),1,0)</f>
        <v>0</v>
      </c>
      <c r="AI89" s="17">
        <f>IF(AND(ISNUMBER(M89),N(M89)&gt;=$D$36),1,0)</f>
        <v>0</v>
      </c>
      <c r="AJ89" s="17">
        <f>IF(AND(ISNUMBER(S89),N(S89)&lt;=$D$37),1,0)</f>
        <v>0</v>
      </c>
      <c r="AK89" s="17">
        <f>IF(N(AB89)&gt;=$D$38,1,0)</f>
        <v>1</v>
      </c>
      <c r="AL89" s="17">
        <f>IF(N(AD89)&gt;0,1,0)</f>
        <v>0</v>
      </c>
      <c r="AM89" s="17">
        <f>SUM(AH89:AL89)</f>
        <v>1</v>
      </c>
      <c r="AN89" t="str" s="16">
        <f>IF(AND(AE89=1,AF89=1,AG89=1,AM89&gt;=$D$40),"Pass","Fail")</f>
        <v>Fail</v>
      </c>
      <c r="AO89" t="str" s="51">
        <f>IF(AN89="Pass","Pass: "&amp;AM89&amp;" of 5 traits; "&amp;TEXT(Y89,"0%")&amp;" of 52-week high"&amp;IF(AK89=1,"; "&amp;AA89,"")&amp;IF(AL89=1,"; "&amp;AC89,""),"Fail: "&amp;IF(AE89=0,"TEV outside range; ","")&amp;IF(AG89=0,"price "&amp;IF(ISNUMBER(Y89),TEXT(Y89,"0%"),"n.a.")&amp;" of 52-week high; ","")&amp;IF(AF89=0,IF(Z89="n.r.","recurring not reviewed; ","recurring below 75% or not disclosed; "),"")&amp;IF(AM89&lt;$D$40,"traits "&amp;AM89&amp;" of 5",""))</f>
        <v>Fail: TEV outside range; price n.a. of 52-week high; recurring below 75% or not disclosed; </v>
      </c>
    </row>
    <row r="90">
      <c r="E90" s="35"/>
      <c r="F90" s="36"/>
      <c r="G90" s="36"/>
      <c r="H90" t="str" s="25">
        <f>IF(N(G90)&gt;0,F90/G90-1,"n.a.")</f>
        <v>n.a.</v>
      </c>
      <c r="I90" s="36"/>
      <c r="J90" s="36"/>
      <c r="K90" s="36"/>
      <c r="L90" s="24">
        <f>SUM(I90:K90)</f>
        <v>0</v>
      </c>
      <c r="M90" t="str" s="25">
        <f>IF(F90&gt;0,L90/F90,"n.a.")</f>
        <v>n.a.</v>
      </c>
      <c r="N90" s="24"/>
      <c r="O90" s="36"/>
      <c r="P90" s="24"/>
      <c r="Q90" s="36"/>
      <c r="R90" s="24">
        <f>SUM(N90:P90)-Q90</f>
        <v>0</v>
      </c>
      <c r="S90" t="str" s="26">
        <f>IF(L90&gt;0,R90/L90,"NM")</f>
        <v>NM</v>
      </c>
      <c r="T90" s="36"/>
      <c r="U90" t="str" s="24">
        <f>IF(N(T90)&gt;0,T90+R90,"n.a.")</f>
        <v>n.a.</v>
      </c>
      <c r="V90" s="37"/>
      <c r="W90" s="37"/>
      <c r="X90" s="35"/>
      <c r="Y90" t="str" s="25">
        <f>IF(N(W90)&gt;0,V90/W90,"n.a.")</f>
        <v>n.a.</v>
      </c>
      <c r="Z90" s="25"/>
      <c r="AA90" s="51"/>
      <c r="AB90" s="25"/>
      <c r="AC90" s="51"/>
      <c r="AD90" s="28"/>
      <c r="AE90" s="17">
        <f>IF(AND(ISNUMBER(U90),N(U90)&gt;=$D$31,N(U90)&lt;=$D$32),1,0)</f>
        <v>0</v>
      </c>
      <c r="AF90" s="17">
        <f>IF(AND(ISNUMBER(Z90),N(Z90)&gt;=$D$33),1,0)</f>
        <v>0</v>
      </c>
      <c r="AG90" s="17">
        <f>IF(AND(ISNUMBER(Y90),N(Y90)&lt;=$D$34),1,0)</f>
        <v>0</v>
      </c>
      <c r="AH90" s="17">
        <f>IF(AND(ISNUMBER(H90),N(H90)&gt;=$D$35),1,0)</f>
        <v>0</v>
      </c>
      <c r="AI90" s="17">
        <f>IF(AND(ISNUMBER(M90),N(M90)&gt;=$D$36),1,0)</f>
        <v>0</v>
      </c>
      <c r="AJ90" s="17">
        <f>IF(AND(ISNUMBER(S90),N(S90)&lt;=$D$37),1,0)</f>
        <v>0</v>
      </c>
      <c r="AK90" s="17">
        <f>IF(N(AB90)&gt;=$D$38,1,0)</f>
        <v>1</v>
      </c>
      <c r="AL90" s="17">
        <f>IF(N(AD90)&gt;0,1,0)</f>
        <v>0</v>
      </c>
      <c r="AM90" s="17">
        <f>SUM(AH90:AL90)</f>
        <v>1</v>
      </c>
      <c r="AN90" t="str" s="16">
        <f>IF(AND(AE90=1,AF90=1,AG90=1,AM90&gt;=$D$40),"Pass","Fail")</f>
        <v>Fail</v>
      </c>
      <c r="AO90" t="str" s="51">
        <f>IF(AN90="Pass","Pass: "&amp;AM90&amp;" of 5 traits; "&amp;TEXT(Y90,"0%")&amp;" of 52-week high"&amp;IF(AK90=1,"; "&amp;AA90,"")&amp;IF(AL90=1,"; "&amp;AC90,""),"Fail: "&amp;IF(AE90=0,"TEV outside range; ","")&amp;IF(AG90=0,"price "&amp;IF(ISNUMBER(Y90),TEXT(Y90,"0%"),"n.a.")&amp;" of 52-week high; ","")&amp;IF(AF90=0,IF(Z90="n.r.","recurring not reviewed; ","recurring below 75% or not disclosed; "),"")&amp;IF(AM90&lt;$D$40,"traits "&amp;AM90&amp;" of 5",""))</f>
        <v>Fail: TEV outside range; price n.a. of 52-week high; recurring below 75% or not disclosed; </v>
      </c>
    </row>
    <row r="91">
      <c r="E91" s="35"/>
      <c r="F91" s="36"/>
      <c r="G91" s="36"/>
      <c r="H91" t="str" s="25">
        <f>IF(N(G91)&gt;0,F91/G91-1,"n.a.")</f>
        <v>n.a.</v>
      </c>
      <c r="I91" s="36"/>
      <c r="J91" s="36"/>
      <c r="K91" s="36"/>
      <c r="L91" s="24">
        <f>SUM(I91:K91)</f>
        <v>0</v>
      </c>
      <c r="M91" t="str" s="25">
        <f>IF(F91&gt;0,L91/F91,"n.a.")</f>
        <v>n.a.</v>
      </c>
      <c r="N91" s="24"/>
      <c r="O91" s="24"/>
      <c r="P91" s="24"/>
      <c r="Q91" s="36"/>
      <c r="R91" s="24">
        <f>SUM(N91:P91)-Q91</f>
        <v>0</v>
      </c>
      <c r="S91" t="str" s="26">
        <f>IF(L91&gt;0,R91/L91,"NM")</f>
        <v>NM</v>
      </c>
      <c r="T91" s="36"/>
      <c r="U91" t="str" s="24">
        <f>IF(N(T91)&gt;0,T91+R91,"n.a.")</f>
        <v>n.a.</v>
      </c>
      <c r="V91" s="37"/>
      <c r="W91" s="37"/>
      <c r="X91" s="35"/>
      <c r="Y91" t="str" s="25">
        <f>IF(N(W91)&gt;0,V91/W91,"n.a.")</f>
        <v>n.a.</v>
      </c>
      <c r="Z91" s="25"/>
      <c r="AA91" s="51"/>
      <c r="AB91" s="38"/>
      <c r="AC91" s="51"/>
      <c r="AD91" s="28"/>
      <c r="AE91" s="17">
        <f>IF(AND(ISNUMBER(U91),N(U91)&gt;=$D$31,N(U91)&lt;=$D$32),1,0)</f>
        <v>0</v>
      </c>
      <c r="AF91" s="17">
        <f>IF(AND(ISNUMBER(Z91),N(Z91)&gt;=$D$33),1,0)</f>
        <v>0</v>
      </c>
      <c r="AG91" s="17">
        <f>IF(AND(ISNUMBER(Y91),N(Y91)&lt;=$D$34),1,0)</f>
        <v>0</v>
      </c>
      <c r="AH91" s="17">
        <f>IF(AND(ISNUMBER(H91),N(H91)&gt;=$D$35),1,0)</f>
        <v>0</v>
      </c>
      <c r="AI91" s="17">
        <f>IF(AND(ISNUMBER(M91),N(M91)&gt;=$D$36),1,0)</f>
        <v>0</v>
      </c>
      <c r="AJ91" s="17">
        <f>IF(AND(ISNUMBER(S91),N(S91)&lt;=$D$37),1,0)</f>
        <v>0</v>
      </c>
      <c r="AK91" s="17">
        <f>IF(N(AB91)&gt;=$D$38,1,0)</f>
        <v>1</v>
      </c>
      <c r="AL91" s="17">
        <f>IF(N(AD91)&gt;0,1,0)</f>
        <v>0</v>
      </c>
      <c r="AM91" s="17">
        <f>SUM(AH91:AL91)</f>
        <v>1</v>
      </c>
      <c r="AN91" t="str" s="16">
        <f>IF(AND(AE91=1,AF91=1,AG91=1,AM91&gt;=$D$40),"Pass","Fail")</f>
        <v>Fail</v>
      </c>
      <c r="AO91" t="str" s="51">
        <f>IF(AN91="Pass","Pass: "&amp;AM91&amp;" of 5 traits; "&amp;TEXT(Y91,"0%")&amp;" of 52-week high"&amp;IF(AK91=1,"; "&amp;AA91,"")&amp;IF(AL91=1,"; "&amp;AC91,""),"Fail: "&amp;IF(AE91=0,"TEV outside range; ","")&amp;IF(AG91=0,"price "&amp;IF(ISNUMBER(Y91),TEXT(Y91,"0%"),"n.a.")&amp;" of 52-week high; ","")&amp;IF(AF91=0,IF(Z91="n.r.","recurring not reviewed; ","recurring below 75% or not disclosed; "),"")&amp;IF(AM91&lt;$D$40,"traits "&amp;AM91&amp;" of 5",""))</f>
        <v>Fail: TEV outside range; price n.a. of 52-week high; recurring below 75% or not disclosed; </v>
      </c>
    </row>
    <row r="92">
      <c r="E92" s="35"/>
      <c r="F92" s="36"/>
      <c r="G92" s="36"/>
      <c r="H92" t="str" s="25">
        <f>IF(N(G92)&gt;0,F92/G92-1,"n.a.")</f>
        <v>n.a.</v>
      </c>
      <c r="I92" s="36"/>
      <c r="J92" s="36"/>
      <c r="K92" s="36"/>
      <c r="L92" s="24">
        <f>SUM(I92:K92)</f>
        <v>0</v>
      </c>
      <c r="M92" t="str" s="25">
        <f>IF(F92&gt;0,L92/F92,"n.a.")</f>
        <v>n.a.</v>
      </c>
      <c r="N92" s="36"/>
      <c r="O92" s="36"/>
      <c r="P92" s="24"/>
      <c r="Q92" s="36"/>
      <c r="R92" s="24">
        <f>SUM(N92:P92)-Q92</f>
        <v>0</v>
      </c>
      <c r="S92" t="str" s="26">
        <f>IF(L92&gt;0,R92/L92,"NM")</f>
        <v>NM</v>
      </c>
      <c r="T92" s="36"/>
      <c r="U92" t="str" s="24">
        <f>IF(N(T92)&gt;0,T92+R92,"n.a.")</f>
        <v>n.a.</v>
      </c>
      <c r="V92" s="37"/>
      <c r="W92" s="37"/>
      <c r="X92" s="35"/>
      <c r="Y92" t="str" s="25">
        <f>IF(N(W92)&gt;0,V92/W92,"n.a.")</f>
        <v>n.a.</v>
      </c>
      <c r="Z92" s="25"/>
      <c r="AA92" s="51"/>
      <c r="AB92" s="25"/>
      <c r="AC92" s="51"/>
      <c r="AD92" s="28"/>
      <c r="AE92" s="17">
        <f>IF(AND(ISNUMBER(U92),N(U92)&gt;=$D$31,N(U92)&lt;=$D$32),1,0)</f>
        <v>0</v>
      </c>
      <c r="AF92" s="17">
        <f>IF(AND(ISNUMBER(Z92),N(Z92)&gt;=$D$33),1,0)</f>
        <v>0</v>
      </c>
      <c r="AG92" s="17">
        <f>IF(AND(ISNUMBER(Y92),N(Y92)&lt;=$D$34),1,0)</f>
        <v>0</v>
      </c>
      <c r="AH92" s="17">
        <f>IF(AND(ISNUMBER(H92),N(H92)&gt;=$D$35),1,0)</f>
        <v>0</v>
      </c>
      <c r="AI92" s="17">
        <f>IF(AND(ISNUMBER(M92),N(M92)&gt;=$D$36),1,0)</f>
        <v>0</v>
      </c>
      <c r="AJ92" s="17">
        <f>IF(AND(ISNUMBER(S92),N(S92)&lt;=$D$37),1,0)</f>
        <v>0</v>
      </c>
      <c r="AK92" s="17">
        <f>IF(N(AB92)&gt;=$D$38,1,0)</f>
        <v>1</v>
      </c>
      <c r="AL92" s="17">
        <f>IF(N(AD92)&gt;0,1,0)</f>
        <v>0</v>
      </c>
      <c r="AM92" s="17">
        <f>SUM(AH92:AL92)</f>
        <v>1</v>
      </c>
      <c r="AN92" t="str" s="16">
        <f>IF(AND(AE92=1,AF92=1,AG92=1,AM92&gt;=$D$40),"Pass","Fail")</f>
        <v>Fail</v>
      </c>
      <c r="AO92" t="str" s="51">
        <f>IF(AN92="Pass","Pass: "&amp;AM92&amp;" of 5 traits; "&amp;TEXT(Y92,"0%")&amp;" of 52-week high"&amp;IF(AK92=1,"; "&amp;AA92,"")&amp;IF(AL92=1,"; "&amp;AC92,""),"Fail: "&amp;IF(AE92=0,"TEV outside range; ","")&amp;IF(AG92=0,"price "&amp;IF(ISNUMBER(Y92),TEXT(Y92,"0%"),"n.a.")&amp;" of 52-week high; ","")&amp;IF(AF92=0,IF(Z92="n.r.","recurring not reviewed; ","recurring below 75% or not disclosed; "),"")&amp;IF(AM92&lt;$D$40,"traits "&amp;AM92&amp;" of 5",""))</f>
        <v>Fail: TEV outside range; price n.a. of 52-week high; recurring below 75% or not disclosed; </v>
      </c>
    </row>
    <row r="93">
      <c r="E93" s="35"/>
      <c r="F93" s="36"/>
      <c r="G93" s="36"/>
      <c r="H93" t="str" s="25">
        <f>IF(N(G93)&gt;0,F93/G93-1,"n.a.")</f>
        <v>n.a.</v>
      </c>
      <c r="I93" s="36"/>
      <c r="J93" s="36"/>
      <c r="K93" s="36"/>
      <c r="L93" s="24">
        <f>SUM(I93:K93)</f>
        <v>0</v>
      </c>
      <c r="M93" t="str" s="25">
        <f>IF(F93&gt;0,L93/F93,"n.a.")</f>
        <v>n.a.</v>
      </c>
      <c r="N93" s="36"/>
      <c r="O93" s="36"/>
      <c r="P93" s="24"/>
      <c r="Q93" s="36"/>
      <c r="R93" s="24">
        <f>SUM(N93:P93)-Q93</f>
        <v>0</v>
      </c>
      <c r="S93" t="str" s="26">
        <f>IF(L93&gt;0,R93/L93,"NM")</f>
        <v>NM</v>
      </c>
      <c r="T93" s="36"/>
      <c r="U93" t="str" s="24">
        <f>IF(N(T93)&gt;0,T93+R93,"n.a.")</f>
        <v>n.a.</v>
      </c>
      <c r="V93" s="37"/>
      <c r="W93" s="37"/>
      <c r="X93" s="35"/>
      <c r="Y93" t="str" s="25">
        <f>IF(N(W93)&gt;0,V93/W93,"n.a.")</f>
        <v>n.a.</v>
      </c>
      <c r="Z93" s="25"/>
      <c r="AA93" s="51"/>
      <c r="AB93" s="38"/>
      <c r="AC93" s="51"/>
      <c r="AD93" s="28"/>
      <c r="AE93" s="17">
        <f>IF(AND(ISNUMBER(U93),N(U93)&gt;=$D$31,N(U93)&lt;=$D$32),1,0)</f>
        <v>0</v>
      </c>
      <c r="AF93" s="17">
        <f>IF(AND(ISNUMBER(Z93),N(Z93)&gt;=$D$33),1,0)</f>
        <v>0</v>
      </c>
      <c r="AG93" s="17">
        <f>IF(AND(ISNUMBER(Y93),N(Y93)&lt;=$D$34),1,0)</f>
        <v>0</v>
      </c>
      <c r="AH93" s="17">
        <f>IF(AND(ISNUMBER(H93),N(H93)&gt;=$D$35),1,0)</f>
        <v>0</v>
      </c>
      <c r="AI93" s="17">
        <f>IF(AND(ISNUMBER(M93),N(M93)&gt;=$D$36),1,0)</f>
        <v>0</v>
      </c>
      <c r="AJ93" s="17">
        <f>IF(AND(ISNUMBER(S93),N(S93)&lt;=$D$37),1,0)</f>
        <v>0</v>
      </c>
      <c r="AK93" s="17">
        <f>IF(N(AB93)&gt;=$D$38,1,0)</f>
        <v>1</v>
      </c>
      <c r="AL93" s="17">
        <f>IF(N(AD93)&gt;0,1,0)</f>
        <v>0</v>
      </c>
      <c r="AM93" s="17">
        <f>SUM(AH93:AL93)</f>
        <v>1</v>
      </c>
      <c r="AN93" t="str" s="16">
        <f>IF(AND(AE93=1,AF93=1,AG93=1,AM93&gt;=$D$40),"Pass","Fail")</f>
        <v>Fail</v>
      </c>
      <c r="AO93" t="str" s="51">
        <f>IF(AN93="Pass","Pass: "&amp;AM93&amp;" of 5 traits; "&amp;TEXT(Y93,"0%")&amp;" of 52-week high"&amp;IF(AK93=1,"; "&amp;AA93,"")&amp;IF(AL93=1,"; "&amp;AC93,""),"Fail: "&amp;IF(AE93=0,"TEV outside range; ","")&amp;IF(AG93=0,"price "&amp;IF(ISNUMBER(Y93),TEXT(Y93,"0%"),"n.a.")&amp;" of 52-week high; ","")&amp;IF(AF93=0,IF(Z93="n.r.","recurring not reviewed; ","recurring below 75% or not disclosed; "),"")&amp;IF(AM93&lt;$D$40,"traits "&amp;AM93&amp;" of 5",""))</f>
        <v>Fail: TEV outside range; price n.a. of 52-week high; recurring below 75% or not disclosed; </v>
      </c>
    </row>
    <row r="94">
      <c r="E94" s="35"/>
      <c r="F94" s="36"/>
      <c r="G94" s="36"/>
      <c r="H94" t="str" s="25">
        <f>IF(N(G94)&gt;0,F94/G94-1,"n.a.")</f>
        <v>n.a.</v>
      </c>
      <c r="I94" s="36"/>
      <c r="J94" s="36"/>
      <c r="K94" s="36"/>
      <c r="L94" s="24">
        <f>SUM(I94:K94)</f>
        <v>0</v>
      </c>
      <c r="M94" t="str" s="25">
        <f>IF(F94&gt;0,L94/F94,"n.a.")</f>
        <v>n.a.</v>
      </c>
      <c r="N94" s="36"/>
      <c r="O94" s="36"/>
      <c r="P94" s="24"/>
      <c r="Q94" s="36"/>
      <c r="R94" s="24">
        <f>SUM(N94:P94)-Q94</f>
        <v>0</v>
      </c>
      <c r="S94" t="str" s="26">
        <f>IF(L94&gt;0,R94/L94,"NM")</f>
        <v>NM</v>
      </c>
      <c r="T94" s="36"/>
      <c r="U94" t="str" s="24">
        <f>IF(N(T94)&gt;0,T94+R94,"n.a.")</f>
        <v>n.a.</v>
      </c>
      <c r="V94" s="37"/>
      <c r="W94" s="37"/>
      <c r="X94" s="35"/>
      <c r="Y94" t="str" s="25">
        <f>IF(N(W94)&gt;0,V94/W94,"n.a.")</f>
        <v>n.a.</v>
      </c>
      <c r="Z94" s="25"/>
      <c r="AA94" s="51"/>
      <c r="AB94" s="25"/>
      <c r="AC94" s="51"/>
      <c r="AD94" s="28"/>
      <c r="AE94" s="17">
        <f>IF(AND(ISNUMBER(U94),N(U94)&gt;=$D$31,N(U94)&lt;=$D$32),1,0)</f>
        <v>0</v>
      </c>
      <c r="AF94" s="17">
        <f>IF(AND(ISNUMBER(Z94),N(Z94)&gt;=$D$33),1,0)</f>
        <v>0</v>
      </c>
      <c r="AG94" s="17">
        <f>IF(AND(ISNUMBER(Y94),N(Y94)&lt;=$D$34),1,0)</f>
        <v>0</v>
      </c>
      <c r="AH94" s="17">
        <f>IF(AND(ISNUMBER(H94),N(H94)&gt;=$D$35),1,0)</f>
        <v>0</v>
      </c>
      <c r="AI94" s="17">
        <f>IF(AND(ISNUMBER(M94),N(M94)&gt;=$D$36),1,0)</f>
        <v>0</v>
      </c>
      <c r="AJ94" s="17">
        <f>IF(AND(ISNUMBER(S94),N(S94)&lt;=$D$37),1,0)</f>
        <v>0</v>
      </c>
      <c r="AK94" s="17">
        <f>IF(N(AB94)&gt;=$D$38,1,0)</f>
        <v>1</v>
      </c>
      <c r="AL94" s="17">
        <f>IF(N(AD94)&gt;0,1,0)</f>
        <v>0</v>
      </c>
      <c r="AM94" s="17">
        <f>SUM(AH94:AL94)</f>
        <v>1</v>
      </c>
      <c r="AN94" t="str" s="16">
        <f>IF(AND(AE94=1,AF94=1,AG94=1,AM94&gt;=$D$40),"Pass","Fail")</f>
        <v>Fail</v>
      </c>
      <c r="AO94" t="str" s="51">
        <f>IF(AN94="Pass","Pass: "&amp;AM94&amp;" of 5 traits; "&amp;TEXT(Y94,"0%")&amp;" of 52-week high"&amp;IF(AK94=1,"; "&amp;AA94,"")&amp;IF(AL94=1,"; "&amp;AC94,""),"Fail: "&amp;IF(AE94=0,"TEV outside range; ","")&amp;IF(AG94=0,"price "&amp;IF(ISNUMBER(Y94),TEXT(Y94,"0%"),"n.a.")&amp;" of 52-week high; ","")&amp;IF(AF94=0,IF(Z94="n.r.","recurring not reviewed; ","recurring below 75% or not disclosed; "),"")&amp;IF(AM94&lt;$D$40,"traits "&amp;AM94&amp;" of 5",""))</f>
        <v>Fail: TEV outside range; price n.a. of 52-week high; recurring below 75% or not disclosed; </v>
      </c>
    </row>
    <row r="95">
      <c r="E95" s="35"/>
      <c r="F95" s="36"/>
      <c r="G95" s="36"/>
      <c r="H95" t="str" s="25">
        <f>IF(N(G95)&gt;0,F95/G95-1,"n.a.")</f>
        <v>n.a.</v>
      </c>
      <c r="I95" s="36"/>
      <c r="J95" s="36"/>
      <c r="K95" s="36"/>
      <c r="L95" s="24">
        <f>SUM(I95:K95)</f>
        <v>0</v>
      </c>
      <c r="M95" t="str" s="25">
        <f>IF(F95&gt;0,L95/F95,"n.a.")</f>
        <v>n.a.</v>
      </c>
      <c r="N95" s="24"/>
      <c r="O95" s="24"/>
      <c r="P95" s="24"/>
      <c r="Q95" s="36"/>
      <c r="R95" s="24">
        <f>SUM(N95:P95)-Q95</f>
        <v>0</v>
      </c>
      <c r="S95" t="str" s="26">
        <f>IF(L95&gt;0,R95/L95,"NM")</f>
        <v>NM</v>
      </c>
      <c r="T95" s="36"/>
      <c r="U95" t="str" s="24">
        <f>IF(N(T95)&gt;0,T95+R95,"n.a.")</f>
        <v>n.a.</v>
      </c>
      <c r="V95" s="37"/>
      <c r="W95" s="37"/>
      <c r="X95" s="35"/>
      <c r="Y95" t="str" s="25">
        <f>IF(N(W95)&gt;0,V95/W95,"n.a.")</f>
        <v>n.a.</v>
      </c>
      <c r="Z95" s="25"/>
      <c r="AA95" s="51"/>
      <c r="AB95" s="25"/>
      <c r="AC95" s="51"/>
      <c r="AD95" s="28"/>
      <c r="AE95" s="17">
        <f>IF(AND(ISNUMBER(U95),N(U95)&gt;=$D$31,N(U95)&lt;=$D$32),1,0)</f>
        <v>0</v>
      </c>
      <c r="AF95" s="17">
        <f>IF(AND(ISNUMBER(Z95),N(Z95)&gt;=$D$33),1,0)</f>
        <v>0</v>
      </c>
      <c r="AG95" s="17">
        <f>IF(AND(ISNUMBER(Y95),N(Y95)&lt;=$D$34),1,0)</f>
        <v>0</v>
      </c>
      <c r="AH95" s="17">
        <f>IF(AND(ISNUMBER(H95),N(H95)&gt;=$D$35),1,0)</f>
        <v>0</v>
      </c>
      <c r="AI95" s="17">
        <f>IF(AND(ISNUMBER(M95),N(M95)&gt;=$D$36),1,0)</f>
        <v>0</v>
      </c>
      <c r="AJ95" s="17">
        <f>IF(AND(ISNUMBER(S95),N(S95)&lt;=$D$37),1,0)</f>
        <v>0</v>
      </c>
      <c r="AK95" s="17">
        <f>IF(N(AB95)&gt;=$D$38,1,0)</f>
        <v>1</v>
      </c>
      <c r="AL95" s="17">
        <f>IF(N(AD95)&gt;0,1,0)</f>
        <v>0</v>
      </c>
      <c r="AM95" s="17">
        <f>SUM(AH95:AL95)</f>
        <v>1</v>
      </c>
      <c r="AN95" t="str" s="16">
        <f>IF(AND(AE95=1,AF95=1,AG95=1,AM95&gt;=$D$40),"Pass","Fail")</f>
        <v>Fail</v>
      </c>
      <c r="AO95" t="str" s="51">
        <f>IF(AN95="Pass","Pass: "&amp;AM95&amp;" of 5 traits; "&amp;TEXT(Y95,"0%")&amp;" of 52-week high"&amp;IF(AK95=1,"; "&amp;AA95,"")&amp;IF(AL95=1,"; "&amp;AC95,""),"Fail: "&amp;IF(AE95=0,"TEV outside range; ","")&amp;IF(AG95=0,"price "&amp;IF(ISNUMBER(Y95),TEXT(Y95,"0%"),"n.a.")&amp;" of 52-week high; ","")&amp;IF(AF95=0,IF(Z95="n.r.","recurring not reviewed; ","recurring below 75% or not disclosed; "),"")&amp;IF(AM95&lt;$D$40,"traits "&amp;AM95&amp;" of 5",""))</f>
        <v>Fail: TEV outside range; price n.a. of 52-week high; recurring below 75% or not disclosed; </v>
      </c>
    </row>
    <row r="96">
      <c r="E96" s="35"/>
      <c r="F96" s="36"/>
      <c r="G96" s="36"/>
      <c r="H96" t="str" s="25">
        <f>IF(N(G96)&gt;0,F96/G96-1,"n.a.")</f>
        <v>n.a.</v>
      </c>
      <c r="I96" s="36"/>
      <c r="J96" s="36"/>
      <c r="K96" s="36"/>
      <c r="L96" s="24">
        <f>SUM(I96:K96)</f>
        <v>0</v>
      </c>
      <c r="M96" t="str" s="25">
        <f>IF(F96&gt;0,L96/F96,"n.a.")</f>
        <v>n.a.</v>
      </c>
      <c r="N96" s="24"/>
      <c r="O96" s="24"/>
      <c r="P96" s="24"/>
      <c r="Q96" s="36"/>
      <c r="R96" s="24">
        <f>SUM(N96:P96)-Q96</f>
        <v>0</v>
      </c>
      <c r="S96" t="str" s="26">
        <f>IF(L96&gt;0,R96/L96,"NM")</f>
        <v>NM</v>
      </c>
      <c r="T96" s="36"/>
      <c r="U96" t="str" s="24">
        <f>IF(N(T96)&gt;0,T96+R96,"n.a.")</f>
        <v>n.a.</v>
      </c>
      <c r="V96" s="37"/>
      <c r="W96" s="37"/>
      <c r="X96" s="35"/>
      <c r="Y96" t="str" s="25">
        <f>IF(N(W96)&gt;0,V96/W96,"n.a.")</f>
        <v>n.a.</v>
      </c>
      <c r="Z96" s="25"/>
      <c r="AA96" s="51"/>
      <c r="AB96" s="38"/>
      <c r="AC96" s="51"/>
      <c r="AD96" s="28"/>
      <c r="AE96" s="17">
        <f>IF(AND(ISNUMBER(U96),N(U96)&gt;=$D$31,N(U96)&lt;=$D$32),1,0)</f>
        <v>0</v>
      </c>
      <c r="AF96" s="17">
        <f>IF(AND(ISNUMBER(Z96),N(Z96)&gt;=$D$33),1,0)</f>
        <v>0</v>
      </c>
      <c r="AG96" s="17">
        <f>IF(AND(ISNUMBER(Y96),N(Y96)&lt;=$D$34),1,0)</f>
        <v>0</v>
      </c>
      <c r="AH96" s="17">
        <f>IF(AND(ISNUMBER(H96),N(H96)&gt;=$D$35),1,0)</f>
        <v>0</v>
      </c>
      <c r="AI96" s="17">
        <f>IF(AND(ISNUMBER(M96),N(M96)&gt;=$D$36),1,0)</f>
        <v>0</v>
      </c>
      <c r="AJ96" s="17">
        <f>IF(AND(ISNUMBER(S96),N(S96)&lt;=$D$37),1,0)</f>
        <v>0</v>
      </c>
      <c r="AK96" s="17">
        <f>IF(N(AB96)&gt;=$D$38,1,0)</f>
        <v>1</v>
      </c>
      <c r="AL96" s="17">
        <f>IF(N(AD96)&gt;0,1,0)</f>
        <v>0</v>
      </c>
      <c r="AM96" s="17">
        <f>SUM(AH96:AL96)</f>
        <v>1</v>
      </c>
      <c r="AN96" t="str" s="16">
        <f>IF(AND(AE96=1,AF96=1,AG96=1,AM96&gt;=$D$40),"Pass","Fail")</f>
        <v>Fail</v>
      </c>
      <c r="AO96" t="str" s="51">
        <f>IF(AN96="Pass","Pass: "&amp;AM96&amp;" of 5 traits; "&amp;TEXT(Y96,"0%")&amp;" of 52-week high"&amp;IF(AK96=1,"; "&amp;AA96,"")&amp;IF(AL96=1,"; "&amp;AC96,""),"Fail: "&amp;IF(AE96=0,"TEV outside range; ","")&amp;IF(AG96=0,"price "&amp;IF(ISNUMBER(Y96),TEXT(Y96,"0%"),"n.a.")&amp;" of 52-week high; ","")&amp;IF(AF96=0,IF(Z96="n.r.","recurring not reviewed; ","recurring below 75% or not disclosed; "),"")&amp;IF(AM96&lt;$D$40,"traits "&amp;AM96&amp;" of 5",""))</f>
        <v>Fail: TEV outside range; price n.a. of 52-week high; recurring below 75% or not disclosed; </v>
      </c>
    </row>
    <row r="97">
      <c r="E97" s="35"/>
      <c r="F97" s="36"/>
      <c r="G97" s="36"/>
      <c r="H97" t="str" s="25">
        <f>IF(N(G97)&gt;0,F97/G97-1,"n.a.")</f>
        <v>n.a.</v>
      </c>
      <c r="I97" s="36"/>
      <c r="J97" s="36"/>
      <c r="K97" s="36"/>
      <c r="L97" s="24">
        <f>SUM(I97:K97)</f>
        <v>0</v>
      </c>
      <c r="M97" t="str" s="25">
        <f>IF(F97&gt;0,L97/F97,"n.a.")</f>
        <v>n.a.</v>
      </c>
      <c r="N97" s="24"/>
      <c r="O97" s="36"/>
      <c r="P97" s="24"/>
      <c r="Q97" s="36"/>
      <c r="R97" s="24">
        <f>SUM(N97:P97)-Q97</f>
        <v>0</v>
      </c>
      <c r="S97" t="str" s="26">
        <f>IF(L97&gt;0,R97/L97,"NM")</f>
        <v>NM</v>
      </c>
      <c r="T97" s="36"/>
      <c r="U97" t="str" s="24">
        <f>IF(N(T97)&gt;0,T97+R97,"n.a.")</f>
        <v>n.a.</v>
      </c>
      <c r="V97" s="37"/>
      <c r="W97" s="37"/>
      <c r="X97" s="35"/>
      <c r="Y97" t="str" s="25">
        <f>IF(N(W97)&gt;0,V97/W97,"n.a.")</f>
        <v>n.a.</v>
      </c>
      <c r="Z97" s="25"/>
      <c r="AA97" s="51"/>
      <c r="AB97" s="25"/>
      <c r="AC97" s="51"/>
      <c r="AD97" s="28"/>
      <c r="AE97" s="17">
        <f>IF(AND(ISNUMBER(U97),N(U97)&gt;=$D$31,N(U97)&lt;=$D$32),1,0)</f>
        <v>0</v>
      </c>
      <c r="AF97" s="17">
        <f>IF(AND(ISNUMBER(Z97),N(Z97)&gt;=$D$33),1,0)</f>
        <v>0</v>
      </c>
      <c r="AG97" s="17">
        <f>IF(AND(ISNUMBER(Y97),N(Y97)&lt;=$D$34),1,0)</f>
        <v>0</v>
      </c>
      <c r="AH97" s="17">
        <f>IF(AND(ISNUMBER(H97),N(H97)&gt;=$D$35),1,0)</f>
        <v>0</v>
      </c>
      <c r="AI97" s="17">
        <f>IF(AND(ISNUMBER(M97),N(M97)&gt;=$D$36),1,0)</f>
        <v>0</v>
      </c>
      <c r="AJ97" s="17">
        <f>IF(AND(ISNUMBER(S97),N(S97)&lt;=$D$37),1,0)</f>
        <v>0</v>
      </c>
      <c r="AK97" s="17">
        <f>IF(N(AB97)&gt;=$D$38,1,0)</f>
        <v>1</v>
      </c>
      <c r="AL97" s="17">
        <f>IF(N(AD97)&gt;0,1,0)</f>
        <v>0</v>
      </c>
      <c r="AM97" s="17">
        <f>SUM(AH97:AL97)</f>
        <v>1</v>
      </c>
      <c r="AN97" t="str" s="16">
        <f>IF(AND(AE97=1,AF97=1,AG97=1,AM97&gt;=$D$40),"Pass","Fail")</f>
        <v>Fail</v>
      </c>
      <c r="AO97" t="str" s="51">
        <f>IF(AN97="Pass","Pass: "&amp;AM97&amp;" of 5 traits; "&amp;TEXT(Y97,"0%")&amp;" of 52-week high"&amp;IF(AK97=1,"; "&amp;AA97,"")&amp;IF(AL97=1,"; "&amp;AC97,""),"Fail: "&amp;IF(AE97=0,"TEV outside range; ","")&amp;IF(AG97=0,"price "&amp;IF(ISNUMBER(Y97),TEXT(Y97,"0%"),"n.a.")&amp;" of 52-week high; ","")&amp;IF(AF97=0,IF(Z97="n.r.","recurring not reviewed; ","recurring below 75% or not disclosed; "),"")&amp;IF(AM97&lt;$D$40,"traits "&amp;AM97&amp;" of 5",""))</f>
        <v>Fail: TEV outside range; price n.a. of 52-week high; recurring below 75% or not disclosed; </v>
      </c>
    </row>
    <row r="98">
      <c r="E98" s="35"/>
      <c r="F98" s="36"/>
      <c r="G98" s="36"/>
      <c r="H98" t="str" s="25">
        <f>IF(N(G98)&gt;0,F98/G98-1,"n.a.")</f>
        <v>n.a.</v>
      </c>
      <c r="I98" s="36"/>
      <c r="J98" s="36"/>
      <c r="K98" s="36"/>
      <c r="L98" s="24">
        <f>SUM(I98:K98)</f>
        <v>0</v>
      </c>
      <c r="M98" t="str" s="25">
        <f>IF(F98&gt;0,L98/F98,"n.a.")</f>
        <v>n.a.</v>
      </c>
      <c r="N98" s="36"/>
      <c r="O98" s="36"/>
      <c r="P98" s="24"/>
      <c r="Q98" s="36"/>
      <c r="R98" s="24">
        <f>SUM(N98:P98)-Q98</f>
        <v>0</v>
      </c>
      <c r="S98" t="str" s="26">
        <f>IF(L98&gt;0,R98/L98,"NM")</f>
        <v>NM</v>
      </c>
      <c r="T98" s="36"/>
      <c r="U98" t="str" s="24">
        <f>IF(N(T98)&gt;0,T98+R98,"n.a.")</f>
        <v>n.a.</v>
      </c>
      <c r="V98" s="37"/>
      <c r="W98" s="37"/>
      <c r="X98" s="35"/>
      <c r="Y98" t="str" s="25">
        <f>IF(N(W98)&gt;0,V98/W98,"n.a.")</f>
        <v>n.a.</v>
      </c>
      <c r="Z98" s="25"/>
      <c r="AA98" s="51"/>
      <c r="AB98" s="25"/>
      <c r="AC98" s="51"/>
      <c r="AD98" s="28"/>
      <c r="AE98" s="17">
        <f>IF(AND(ISNUMBER(U98),N(U98)&gt;=$D$31,N(U98)&lt;=$D$32),1,0)</f>
        <v>0</v>
      </c>
      <c r="AF98" s="17">
        <f>IF(AND(ISNUMBER(Z98),N(Z98)&gt;=$D$33),1,0)</f>
        <v>0</v>
      </c>
      <c r="AG98" s="17">
        <f>IF(AND(ISNUMBER(Y98),N(Y98)&lt;=$D$34),1,0)</f>
        <v>0</v>
      </c>
      <c r="AH98" s="17">
        <f>IF(AND(ISNUMBER(H98),N(H98)&gt;=$D$35),1,0)</f>
        <v>0</v>
      </c>
      <c r="AI98" s="17">
        <f>IF(AND(ISNUMBER(M98),N(M98)&gt;=$D$36),1,0)</f>
        <v>0</v>
      </c>
      <c r="AJ98" s="17">
        <f>IF(AND(ISNUMBER(S98),N(S98)&lt;=$D$37),1,0)</f>
        <v>0</v>
      </c>
      <c r="AK98" s="17">
        <f>IF(N(AB98)&gt;=$D$38,1,0)</f>
        <v>1</v>
      </c>
      <c r="AL98" s="17">
        <f>IF(N(AD98)&gt;0,1,0)</f>
        <v>0</v>
      </c>
      <c r="AM98" s="17">
        <f>SUM(AH98:AL98)</f>
        <v>1</v>
      </c>
      <c r="AN98" t="str" s="16">
        <f>IF(AND(AE98=1,AF98=1,AG98=1,AM98&gt;=$D$40),"Pass","Fail")</f>
        <v>Fail</v>
      </c>
      <c r="AO98" t="str" s="51">
        <f>IF(AN98="Pass","Pass: "&amp;AM98&amp;" of 5 traits; "&amp;TEXT(Y98,"0%")&amp;" of 52-week high"&amp;IF(AK98=1,"; "&amp;AA98,"")&amp;IF(AL98=1,"; "&amp;AC98,""),"Fail: "&amp;IF(AE98=0,"TEV outside range; ","")&amp;IF(AG98=0,"price "&amp;IF(ISNUMBER(Y98),TEXT(Y98,"0%"),"n.a.")&amp;" of 52-week high; ","")&amp;IF(AF98=0,IF(Z98="n.r.","recurring not reviewed; ","recurring below 75% or not disclosed; "),"")&amp;IF(AM98&lt;$D$40,"traits "&amp;AM98&amp;" of 5",""))</f>
        <v>Fail: TEV outside range; price n.a. of 52-week high; recurring below 75% or not disclosed; </v>
      </c>
    </row>
    <row r="99">
      <c r="E99" s="35"/>
      <c r="F99" s="36"/>
      <c r="G99" s="36"/>
      <c r="H99" t="str" s="25">
        <f>IF(N(G99)&gt;0,F99/G99-1,"n.a.")</f>
        <v>n.a.</v>
      </c>
      <c r="I99" s="36"/>
      <c r="J99" s="36"/>
      <c r="K99" s="36"/>
      <c r="L99" s="24">
        <f>SUM(I99:K99)</f>
        <v>0</v>
      </c>
      <c r="M99" t="str" s="25">
        <f>IF(F99&gt;0,L99/F99,"n.a.")</f>
        <v>n.a.</v>
      </c>
      <c r="N99" s="24"/>
      <c r="O99" s="24"/>
      <c r="P99" s="24"/>
      <c r="Q99" s="36"/>
      <c r="R99" s="24">
        <f>SUM(N99:P99)-Q99</f>
        <v>0</v>
      </c>
      <c r="S99" t="str" s="26">
        <f>IF(L99&gt;0,R99/L99,"NM")</f>
        <v>NM</v>
      </c>
      <c r="T99" s="36"/>
      <c r="U99" t="str" s="24">
        <f>IF(N(T99)&gt;0,T99+R99,"n.a.")</f>
        <v>n.a.</v>
      </c>
      <c r="V99" s="37"/>
      <c r="W99" s="37"/>
      <c r="X99" s="35"/>
      <c r="Y99" t="str" s="25">
        <f>IF(N(W99)&gt;0,V99/W99,"n.a.")</f>
        <v>n.a.</v>
      </c>
      <c r="Z99" s="25"/>
      <c r="AA99" s="51"/>
      <c r="AB99" s="25"/>
      <c r="AC99" s="51"/>
      <c r="AD99" s="28"/>
      <c r="AE99" s="17">
        <f>IF(AND(ISNUMBER(U99),N(U99)&gt;=$D$31,N(U99)&lt;=$D$32),1,0)</f>
        <v>0</v>
      </c>
      <c r="AF99" s="17">
        <f>IF(AND(ISNUMBER(Z99),N(Z99)&gt;=$D$33),1,0)</f>
        <v>0</v>
      </c>
      <c r="AG99" s="17">
        <f>IF(AND(ISNUMBER(Y99),N(Y99)&lt;=$D$34),1,0)</f>
        <v>0</v>
      </c>
      <c r="AH99" s="17">
        <f>IF(AND(ISNUMBER(H99),N(H99)&gt;=$D$35),1,0)</f>
        <v>0</v>
      </c>
      <c r="AI99" s="17">
        <f>IF(AND(ISNUMBER(M99),N(M99)&gt;=$D$36),1,0)</f>
        <v>0</v>
      </c>
      <c r="AJ99" s="17">
        <f>IF(AND(ISNUMBER(S99),N(S99)&lt;=$D$37),1,0)</f>
        <v>0</v>
      </c>
      <c r="AK99" s="17">
        <f>IF(N(AB99)&gt;=$D$38,1,0)</f>
        <v>1</v>
      </c>
      <c r="AL99" s="17">
        <f>IF(N(AD99)&gt;0,1,0)</f>
        <v>0</v>
      </c>
      <c r="AM99" s="17">
        <f>SUM(AH99:AL99)</f>
        <v>1</v>
      </c>
      <c r="AN99" t="str" s="16">
        <f>IF(AND(AE99=1,AF99=1,AG99=1,AM99&gt;=$D$40),"Pass","Fail")</f>
        <v>Fail</v>
      </c>
      <c r="AO99" t="str" s="51">
        <f>IF(AN99="Pass","Pass: "&amp;AM99&amp;" of 5 traits; "&amp;TEXT(Y99,"0%")&amp;" of 52-week high"&amp;IF(AK99=1,"; "&amp;AA99,"")&amp;IF(AL99=1,"; "&amp;AC99,""),"Fail: "&amp;IF(AE99=0,"TEV outside range; ","")&amp;IF(AG99=0,"price "&amp;IF(ISNUMBER(Y99),TEXT(Y99,"0%"),"n.a.")&amp;" of 52-week high; ","")&amp;IF(AF99=0,IF(Z99="n.r.","recurring not reviewed; ","recurring below 75% or not disclosed; "),"")&amp;IF(AM99&lt;$D$40,"traits "&amp;AM99&amp;" of 5",""))</f>
        <v>Fail: TEV outside range; price n.a. of 52-week high; recurring below 75% or not disclosed; </v>
      </c>
    </row>
    <row r="100">
      <c r="E100" s="35"/>
      <c r="F100" s="36"/>
      <c r="G100" s="36"/>
      <c r="H100" t="str" s="25">
        <f>IF(N(G100)&gt;0,F100/G100-1,"n.a.")</f>
        <v>n.a.</v>
      </c>
      <c r="I100" s="36"/>
      <c r="J100" s="36"/>
      <c r="K100" s="36"/>
      <c r="L100" s="24">
        <f>SUM(I100:K100)</f>
        <v>0</v>
      </c>
      <c r="M100" t="str" s="25">
        <f>IF(F100&gt;0,L100/F100,"n.a.")</f>
        <v>n.a.</v>
      </c>
      <c r="N100" s="24"/>
      <c r="O100" s="24"/>
      <c r="P100" s="24"/>
      <c r="Q100" s="36"/>
      <c r="R100" s="24">
        <f>SUM(N100:P100)-Q100</f>
        <v>0</v>
      </c>
      <c r="S100" t="str" s="26">
        <f>IF(L100&gt;0,R100/L100,"NM")</f>
        <v>NM</v>
      </c>
      <c r="T100" s="36"/>
      <c r="U100" t="str" s="24">
        <f>IF(N(T100)&gt;0,T100+R100,"n.a.")</f>
        <v>n.a.</v>
      </c>
      <c r="V100" s="37"/>
      <c r="W100" s="37"/>
      <c r="X100" s="35"/>
      <c r="Y100" t="str" s="25">
        <f>IF(N(W100)&gt;0,V100/W100,"n.a.")</f>
        <v>n.a.</v>
      </c>
      <c r="Z100" s="25"/>
      <c r="AA100" s="51"/>
      <c r="AB100" s="25"/>
      <c r="AC100" s="51"/>
      <c r="AD100" s="28"/>
      <c r="AE100" s="17">
        <f>IF(AND(ISNUMBER(U100),N(U100)&gt;=$D$31,N(U100)&lt;=$D$32),1,0)</f>
        <v>0</v>
      </c>
      <c r="AF100" s="17">
        <f>IF(AND(ISNUMBER(Z100),N(Z100)&gt;=$D$33),1,0)</f>
        <v>0</v>
      </c>
      <c r="AG100" s="17">
        <f>IF(AND(ISNUMBER(Y100),N(Y100)&lt;=$D$34),1,0)</f>
        <v>0</v>
      </c>
      <c r="AH100" s="17">
        <f>IF(AND(ISNUMBER(H100),N(H100)&gt;=$D$35),1,0)</f>
        <v>0</v>
      </c>
      <c r="AI100" s="17">
        <f>IF(AND(ISNUMBER(M100),N(M100)&gt;=$D$36),1,0)</f>
        <v>0</v>
      </c>
      <c r="AJ100" s="17">
        <f>IF(AND(ISNUMBER(S100),N(S100)&lt;=$D$37),1,0)</f>
        <v>0</v>
      </c>
      <c r="AK100" s="17">
        <f>IF(N(AB100)&gt;=$D$38,1,0)</f>
        <v>1</v>
      </c>
      <c r="AL100" s="17">
        <f>IF(N(AD100)&gt;0,1,0)</f>
        <v>0</v>
      </c>
      <c r="AM100" s="17">
        <f>SUM(AH100:AL100)</f>
        <v>1</v>
      </c>
      <c r="AN100" t="str" s="16">
        <f>IF(AND(AE100=1,AF100=1,AG100=1,AM100&gt;=$D$40),"Pass","Fail")</f>
        <v>Fail</v>
      </c>
      <c r="AO100" t="str" s="51">
        <f>IF(AN100="Pass","Pass: "&amp;AM100&amp;" of 5 traits; "&amp;TEXT(Y100,"0%")&amp;" of 52-week high"&amp;IF(AK100=1,"; "&amp;AA100,"")&amp;IF(AL100=1,"; "&amp;AC100,""),"Fail: "&amp;IF(AE100=0,"TEV outside range; ","")&amp;IF(AG100=0,"price "&amp;IF(ISNUMBER(Y100),TEXT(Y100,"0%"),"n.a.")&amp;" of 52-week high; ","")&amp;IF(AF100=0,IF(Z100="n.r.","recurring not reviewed; ","recurring below 75% or not disclosed; "),"")&amp;IF(AM100&lt;$D$40,"traits "&amp;AM100&amp;" of 5",""))</f>
        <v>Fail: TEV outside range; price n.a. of 52-week high; recurring below 75% or not disclosed; </v>
      </c>
    </row>
    <row r="101">
      <c r="E101" s="35"/>
      <c r="F101" s="36"/>
      <c r="G101" s="36"/>
      <c r="H101" t="str" s="25">
        <f>IF(N(G101)&gt;0,F101/G101-1,"n.a.")</f>
        <v>n.a.</v>
      </c>
      <c r="I101" s="36"/>
      <c r="J101" s="36"/>
      <c r="K101" s="36"/>
      <c r="L101" s="24">
        <f>SUM(I101:K101)</f>
        <v>0</v>
      </c>
      <c r="M101" t="str" s="25">
        <f>IF(F101&gt;0,L101/F101,"n.a.")</f>
        <v>n.a.</v>
      </c>
      <c r="N101" s="36"/>
      <c r="O101" s="36"/>
      <c r="P101" s="24"/>
      <c r="Q101" s="36"/>
      <c r="R101" s="24">
        <f>SUM(N101:P101)-Q101</f>
        <v>0</v>
      </c>
      <c r="S101" t="str" s="26">
        <f>IF(L101&gt;0,R101/L101,"NM")</f>
        <v>NM</v>
      </c>
      <c r="T101" s="36"/>
      <c r="U101" t="str" s="24">
        <f>IF(N(T101)&gt;0,T101+R101,"n.a.")</f>
        <v>n.a.</v>
      </c>
      <c r="V101" s="37"/>
      <c r="W101" s="37"/>
      <c r="X101" s="35"/>
      <c r="Y101" t="str" s="25">
        <f>IF(N(W101)&gt;0,V101/W101,"n.a.")</f>
        <v>n.a.</v>
      </c>
      <c r="Z101" s="25"/>
      <c r="AA101" s="51"/>
      <c r="AB101" s="25"/>
      <c r="AC101" s="51"/>
      <c r="AD101" s="28"/>
      <c r="AE101" s="17">
        <f>IF(AND(ISNUMBER(U101),N(U101)&gt;=$D$31,N(U101)&lt;=$D$32),1,0)</f>
        <v>0</v>
      </c>
      <c r="AF101" s="17">
        <f>IF(AND(ISNUMBER(Z101),N(Z101)&gt;=$D$33),1,0)</f>
        <v>0</v>
      </c>
      <c r="AG101" s="17">
        <f>IF(AND(ISNUMBER(Y101),N(Y101)&lt;=$D$34),1,0)</f>
        <v>0</v>
      </c>
      <c r="AH101" s="17">
        <f>IF(AND(ISNUMBER(H101),N(H101)&gt;=$D$35),1,0)</f>
        <v>0</v>
      </c>
      <c r="AI101" s="17">
        <f>IF(AND(ISNUMBER(M101),N(M101)&gt;=$D$36),1,0)</f>
        <v>0</v>
      </c>
      <c r="AJ101" s="17">
        <f>IF(AND(ISNUMBER(S101),N(S101)&lt;=$D$37),1,0)</f>
        <v>0</v>
      </c>
      <c r="AK101" s="17">
        <f>IF(N(AB101)&gt;=$D$38,1,0)</f>
        <v>1</v>
      </c>
      <c r="AL101" s="17">
        <f>IF(N(AD101)&gt;0,1,0)</f>
        <v>0</v>
      </c>
      <c r="AM101" s="17">
        <f>SUM(AH101:AL101)</f>
        <v>1</v>
      </c>
      <c r="AN101" t="str" s="16">
        <f>IF(AND(AE101=1,AF101=1,AG101=1,AM101&gt;=$D$40),"Pass","Fail")</f>
        <v>Fail</v>
      </c>
      <c r="AO101" t="str" s="51">
        <f>IF(AN101="Pass","Pass: "&amp;AM101&amp;" of 5 traits; "&amp;TEXT(Y101,"0%")&amp;" of 52-week high"&amp;IF(AK101=1,"; "&amp;AA101,"")&amp;IF(AL101=1,"; "&amp;AC101,""),"Fail: "&amp;IF(AE101=0,"TEV outside range; ","")&amp;IF(AG101=0,"price "&amp;IF(ISNUMBER(Y101),TEXT(Y101,"0%"),"n.a.")&amp;" of 52-week high; ","")&amp;IF(AF101=0,IF(Z101="n.r.","recurring not reviewed; ","recurring below 75% or not disclosed; "),"")&amp;IF(AM101&lt;$D$40,"traits "&amp;AM101&amp;" of 5",""))</f>
        <v>Fail: TEV outside range; price n.a. of 52-week high; recurring below 75% or not disclosed; </v>
      </c>
    </row>
    <row r="102">
      <c r="E102" s="35"/>
      <c r="F102" s="36"/>
      <c r="G102" s="36"/>
      <c r="H102" t="str" s="25">
        <f>IF(N(G102)&gt;0,F102/G102-1,"n.a.")</f>
        <v>n.a.</v>
      </c>
      <c r="I102" s="36"/>
      <c r="J102" s="36"/>
      <c r="K102" s="36"/>
      <c r="L102" s="24">
        <f>SUM(I102:K102)</f>
        <v>0</v>
      </c>
      <c r="M102" t="str" s="25">
        <f>IF(F102&gt;0,L102/F102,"n.a.")</f>
        <v>n.a.</v>
      </c>
      <c r="N102" s="36"/>
      <c r="O102" s="36"/>
      <c r="P102" s="24"/>
      <c r="Q102" s="36"/>
      <c r="R102" s="24">
        <f>SUM(N102:P102)-Q102</f>
        <v>0</v>
      </c>
      <c r="S102" t="str" s="26">
        <f>IF(L102&gt;0,R102/L102,"NM")</f>
        <v>NM</v>
      </c>
      <c r="T102" s="36"/>
      <c r="U102" t="str" s="24">
        <f>IF(N(T102)&gt;0,T102+R102,"n.a.")</f>
        <v>n.a.</v>
      </c>
      <c r="V102" s="37"/>
      <c r="W102" s="37"/>
      <c r="X102" s="35"/>
      <c r="Y102" t="str" s="25">
        <f>IF(N(W102)&gt;0,V102/W102,"n.a.")</f>
        <v>n.a.</v>
      </c>
      <c r="Z102" s="25"/>
      <c r="AA102" s="51"/>
      <c r="AB102" s="25"/>
      <c r="AC102" s="51"/>
      <c r="AD102" s="28"/>
      <c r="AE102" s="17">
        <f>IF(AND(ISNUMBER(U102),N(U102)&gt;=$D$31,N(U102)&lt;=$D$32),1,0)</f>
        <v>0</v>
      </c>
      <c r="AF102" s="17">
        <f>IF(AND(ISNUMBER(Z102),N(Z102)&gt;=$D$33),1,0)</f>
        <v>0</v>
      </c>
      <c r="AG102" s="17">
        <f>IF(AND(ISNUMBER(Y102),N(Y102)&lt;=$D$34),1,0)</f>
        <v>0</v>
      </c>
      <c r="AH102" s="17">
        <f>IF(AND(ISNUMBER(H102),N(H102)&gt;=$D$35),1,0)</f>
        <v>0</v>
      </c>
      <c r="AI102" s="17">
        <f>IF(AND(ISNUMBER(M102),N(M102)&gt;=$D$36),1,0)</f>
        <v>0</v>
      </c>
      <c r="AJ102" s="17">
        <f>IF(AND(ISNUMBER(S102),N(S102)&lt;=$D$37),1,0)</f>
        <v>0</v>
      </c>
      <c r="AK102" s="17">
        <f>IF(N(AB102)&gt;=$D$38,1,0)</f>
        <v>1</v>
      </c>
      <c r="AL102" s="17">
        <f>IF(N(AD102)&gt;0,1,0)</f>
        <v>0</v>
      </c>
      <c r="AM102" s="17">
        <f>SUM(AH102:AL102)</f>
        <v>1</v>
      </c>
      <c r="AN102" t="str" s="16">
        <f>IF(AND(AE102=1,AF102=1,AG102=1,AM102&gt;=$D$40),"Pass","Fail")</f>
        <v>Fail</v>
      </c>
      <c r="AO102" t="str" s="51">
        <f>IF(AN102="Pass","Pass: "&amp;AM102&amp;" of 5 traits; "&amp;TEXT(Y102,"0%")&amp;" of 52-week high"&amp;IF(AK102=1,"; "&amp;AA102,"")&amp;IF(AL102=1,"; "&amp;AC102,""),"Fail: "&amp;IF(AE102=0,"TEV outside range; ","")&amp;IF(AG102=0,"price "&amp;IF(ISNUMBER(Y102),TEXT(Y102,"0%"),"n.a.")&amp;" of 52-week high; ","")&amp;IF(AF102=0,IF(Z102="n.r.","recurring not reviewed; ","recurring below 75% or not disclosed; "),"")&amp;IF(AM102&lt;$D$40,"traits "&amp;AM102&amp;" of 5",""))</f>
        <v>Fail: TEV outside range; price n.a. of 52-week high; recurring below 75% or not disclosed; </v>
      </c>
    </row>
    <row r="103">
      <c r="E103" s="35"/>
      <c r="F103" s="36"/>
      <c r="G103" s="36"/>
      <c r="H103" t="str" s="25">
        <f>IF(N(G103)&gt;0,F103/G103-1,"n.a.")</f>
        <v>n.a.</v>
      </c>
      <c r="I103" s="36"/>
      <c r="J103" s="36"/>
      <c r="K103" s="36"/>
      <c r="L103" s="24">
        <f>SUM(I103:K103)</f>
        <v>0</v>
      </c>
      <c r="M103" t="str" s="25">
        <f>IF(F103&gt;0,L103/F103,"n.a.")</f>
        <v>n.a.</v>
      </c>
      <c r="N103" s="24"/>
      <c r="O103" s="24"/>
      <c r="P103" s="24"/>
      <c r="Q103" s="36"/>
      <c r="R103" s="24">
        <f>SUM(N103:P103)-Q103</f>
        <v>0</v>
      </c>
      <c r="S103" t="str" s="26">
        <f>IF(L103&gt;0,R103/L103,"NM")</f>
        <v>NM</v>
      </c>
      <c r="T103" s="36"/>
      <c r="U103" t="str" s="24">
        <f>IF(N(T103)&gt;0,T103+R103,"n.a.")</f>
        <v>n.a.</v>
      </c>
      <c r="V103" s="37"/>
      <c r="W103" s="37"/>
      <c r="X103" s="35"/>
      <c r="Y103" t="str" s="25">
        <f>IF(N(W103)&gt;0,V103/W103,"n.a.")</f>
        <v>n.a.</v>
      </c>
      <c r="Z103" s="25"/>
      <c r="AA103" s="51"/>
      <c r="AB103" s="25"/>
      <c r="AC103" s="51"/>
      <c r="AD103" s="28"/>
      <c r="AE103" s="17">
        <f>IF(AND(ISNUMBER(U103),N(U103)&gt;=$D$31,N(U103)&lt;=$D$32),1,0)</f>
        <v>0</v>
      </c>
      <c r="AF103" s="17">
        <f>IF(AND(ISNUMBER(Z103),N(Z103)&gt;=$D$33),1,0)</f>
        <v>0</v>
      </c>
      <c r="AG103" s="17">
        <f>IF(AND(ISNUMBER(Y103),N(Y103)&lt;=$D$34),1,0)</f>
        <v>0</v>
      </c>
      <c r="AH103" s="17">
        <f>IF(AND(ISNUMBER(H103),N(H103)&gt;=$D$35),1,0)</f>
        <v>0</v>
      </c>
      <c r="AI103" s="17">
        <f>IF(AND(ISNUMBER(M103),N(M103)&gt;=$D$36),1,0)</f>
        <v>0</v>
      </c>
      <c r="AJ103" s="17">
        <f>IF(AND(ISNUMBER(S103),N(S103)&lt;=$D$37),1,0)</f>
        <v>0</v>
      </c>
      <c r="AK103" s="17">
        <f>IF(N(AB103)&gt;=$D$38,1,0)</f>
        <v>1</v>
      </c>
      <c r="AL103" s="17">
        <f>IF(N(AD103)&gt;0,1,0)</f>
        <v>0</v>
      </c>
      <c r="AM103" s="17">
        <f>SUM(AH103:AL103)</f>
        <v>1</v>
      </c>
      <c r="AN103" t="str" s="16">
        <f>IF(AND(AE103=1,AF103=1,AG103=1,AM103&gt;=$D$40),"Pass","Fail")</f>
        <v>Fail</v>
      </c>
      <c r="AO103" t="str" s="51">
        <f>IF(AN103="Pass","Pass: "&amp;AM103&amp;" of 5 traits; "&amp;TEXT(Y103,"0%")&amp;" of 52-week high"&amp;IF(AK103=1,"; "&amp;AA103,"")&amp;IF(AL103=1,"; "&amp;AC103,""),"Fail: "&amp;IF(AE103=0,"TEV outside range; ","")&amp;IF(AG103=0,"price "&amp;IF(ISNUMBER(Y103),TEXT(Y103,"0%"),"n.a.")&amp;" of 52-week high; ","")&amp;IF(AF103=0,IF(Z103="n.r.","recurring not reviewed; ","recurring below 75% or not disclosed; "),"")&amp;IF(AM103&lt;$D$40,"traits "&amp;AM103&amp;" of 5",""))</f>
        <v>Fail: TEV outside range; price n.a. of 52-week high; recurring below 75% or not disclosed; </v>
      </c>
    </row>
    <row r="104">
      <c r="E104" s="35"/>
      <c r="F104" s="36"/>
      <c r="G104" s="36"/>
      <c r="H104" t="str" s="25">
        <f>IF(N(G104)&gt;0,F104/G104-1,"n.a.")</f>
        <v>n.a.</v>
      </c>
      <c r="I104" s="36"/>
      <c r="J104" s="36"/>
      <c r="K104" s="36"/>
      <c r="L104" s="24">
        <f>SUM(I104:K104)</f>
        <v>0</v>
      </c>
      <c r="M104" t="str" s="25">
        <f>IF(F104&gt;0,L104/F104,"n.a.")</f>
        <v>n.a.</v>
      </c>
      <c r="N104" s="24"/>
      <c r="O104" s="36"/>
      <c r="P104" s="36"/>
      <c r="Q104" s="36"/>
      <c r="R104" s="24">
        <f>SUM(N104:P104)-Q104</f>
        <v>0</v>
      </c>
      <c r="S104" t="str" s="26">
        <f>IF(L104&gt;0,R104/L104,"NM")</f>
        <v>NM</v>
      </c>
      <c r="T104" s="36"/>
      <c r="U104" t="str" s="24">
        <f>IF(N(T104)&gt;0,T104+R104,"n.a.")</f>
        <v>n.a.</v>
      </c>
      <c r="V104" s="37"/>
      <c r="W104" s="37"/>
      <c r="X104" s="35"/>
      <c r="Y104" t="str" s="25">
        <f>IF(N(W104)&gt;0,V104/W104,"n.a.")</f>
        <v>n.a.</v>
      </c>
      <c r="Z104" s="25"/>
      <c r="AA104" s="51"/>
      <c r="AB104" s="25"/>
      <c r="AC104" s="51"/>
      <c r="AD104" s="28"/>
      <c r="AE104" s="17">
        <f>IF(AND(ISNUMBER(U104),N(U104)&gt;=$D$31,N(U104)&lt;=$D$32),1,0)</f>
        <v>0</v>
      </c>
      <c r="AF104" s="17">
        <f>IF(AND(ISNUMBER(Z104),N(Z104)&gt;=$D$33),1,0)</f>
        <v>0</v>
      </c>
      <c r="AG104" s="17">
        <f>IF(AND(ISNUMBER(Y104),N(Y104)&lt;=$D$34),1,0)</f>
        <v>0</v>
      </c>
      <c r="AH104" s="17">
        <f>IF(AND(ISNUMBER(H104),N(H104)&gt;=$D$35),1,0)</f>
        <v>0</v>
      </c>
      <c r="AI104" s="17">
        <f>IF(AND(ISNUMBER(M104),N(M104)&gt;=$D$36),1,0)</f>
        <v>0</v>
      </c>
      <c r="AJ104" s="17">
        <f>IF(AND(ISNUMBER(S104),N(S104)&lt;=$D$37),1,0)</f>
        <v>0</v>
      </c>
      <c r="AK104" s="17">
        <f>IF(N(AB104)&gt;=$D$38,1,0)</f>
        <v>1</v>
      </c>
      <c r="AL104" s="17">
        <f>IF(N(AD104)&gt;0,1,0)</f>
        <v>0</v>
      </c>
      <c r="AM104" s="17">
        <f>SUM(AH104:AL104)</f>
        <v>1</v>
      </c>
      <c r="AN104" t="str" s="16">
        <f>IF(AND(AE104=1,AF104=1,AG104=1,AM104&gt;=$D$40),"Pass","Fail")</f>
        <v>Fail</v>
      </c>
      <c r="AO104" t="str" s="51">
        <f>IF(AN104="Pass","Pass: "&amp;AM104&amp;" of 5 traits; "&amp;TEXT(Y104,"0%")&amp;" of 52-week high"&amp;IF(AK104=1,"; "&amp;AA104,"")&amp;IF(AL104=1,"; "&amp;AC104,""),"Fail: "&amp;IF(AE104=0,"TEV outside range; ","")&amp;IF(AG104=0,"price "&amp;IF(ISNUMBER(Y104),TEXT(Y104,"0%"),"n.a.")&amp;" of 52-week high; ","")&amp;IF(AF104=0,IF(Z104="n.r.","recurring not reviewed; ","recurring below 75% or not disclosed; "),"")&amp;IF(AM104&lt;$D$40,"traits "&amp;AM104&amp;" of 5",""))</f>
        <v>Fail: TEV outside range; price n.a. of 52-week high; recurring below 75% or not disclosed; </v>
      </c>
    </row>
    <row r="105">
      <c r="E105" s="35"/>
      <c r="F105" s="36"/>
      <c r="G105" s="36"/>
      <c r="H105" t="str" s="25">
        <f>IF(N(G105)&gt;0,F105/G105-1,"n.a.")</f>
        <v>n.a.</v>
      </c>
      <c r="I105" s="36"/>
      <c r="J105" s="36"/>
      <c r="K105" s="36"/>
      <c r="L105" s="24">
        <f>SUM(I105:K105)</f>
        <v>0</v>
      </c>
      <c r="M105" t="str" s="25">
        <f>IF(F105&gt;0,L105/F105,"n.a.")</f>
        <v>n.a.</v>
      </c>
      <c r="N105" s="24"/>
      <c r="O105" s="24"/>
      <c r="P105" s="24"/>
      <c r="Q105" s="36"/>
      <c r="R105" s="24">
        <f>SUM(N105:P105)-Q105</f>
        <v>0</v>
      </c>
      <c r="S105" t="str" s="26">
        <f>IF(L105&gt;0,R105/L105,"NM")</f>
        <v>NM</v>
      </c>
      <c r="T105" s="36"/>
      <c r="U105" t="str" s="24">
        <f>IF(N(T105)&gt;0,T105+R105,"n.a.")</f>
        <v>n.a.</v>
      </c>
      <c r="V105" s="37"/>
      <c r="W105" s="37"/>
      <c r="X105" s="35"/>
      <c r="Y105" t="str" s="25">
        <f>IF(N(W105)&gt;0,V105/W105,"n.a.")</f>
        <v>n.a.</v>
      </c>
      <c r="Z105" s="25"/>
      <c r="AA105" s="51"/>
      <c r="AB105" s="25"/>
      <c r="AC105" s="51"/>
      <c r="AD105" s="28"/>
      <c r="AE105" s="17">
        <f>IF(AND(ISNUMBER(U105),N(U105)&gt;=$D$31,N(U105)&lt;=$D$32),1,0)</f>
        <v>0</v>
      </c>
      <c r="AF105" s="17">
        <f>IF(AND(ISNUMBER(Z105),N(Z105)&gt;=$D$33),1,0)</f>
        <v>0</v>
      </c>
      <c r="AG105" s="17">
        <f>IF(AND(ISNUMBER(Y105),N(Y105)&lt;=$D$34),1,0)</f>
        <v>0</v>
      </c>
      <c r="AH105" s="17">
        <f>IF(AND(ISNUMBER(H105),N(H105)&gt;=$D$35),1,0)</f>
        <v>0</v>
      </c>
      <c r="AI105" s="17">
        <f>IF(AND(ISNUMBER(M105),N(M105)&gt;=$D$36),1,0)</f>
        <v>0</v>
      </c>
      <c r="AJ105" s="17">
        <f>IF(AND(ISNUMBER(S105),N(S105)&lt;=$D$37),1,0)</f>
        <v>0</v>
      </c>
      <c r="AK105" s="17">
        <f>IF(N(AB105)&gt;=$D$38,1,0)</f>
        <v>1</v>
      </c>
      <c r="AL105" s="17">
        <f>IF(N(AD105)&gt;0,1,0)</f>
        <v>0</v>
      </c>
      <c r="AM105" s="17">
        <f>SUM(AH105:AL105)</f>
        <v>1</v>
      </c>
      <c r="AN105" t="str" s="16">
        <f>IF(AND(AE105=1,AF105=1,AG105=1,AM105&gt;=$D$40),"Pass","Fail")</f>
        <v>Fail</v>
      </c>
      <c r="AO105" t="str" s="51">
        <f>IF(AN105="Pass","Pass: "&amp;AM105&amp;" of 5 traits; "&amp;TEXT(Y105,"0%")&amp;" of 52-week high"&amp;IF(AK105=1,"; "&amp;AA105,"")&amp;IF(AL105=1,"; "&amp;AC105,""),"Fail: "&amp;IF(AE105=0,"TEV outside range; ","")&amp;IF(AG105=0,"price "&amp;IF(ISNUMBER(Y105),TEXT(Y105,"0%"),"n.a.")&amp;" of 52-week high; ","")&amp;IF(AF105=0,IF(Z105="n.r.","recurring not reviewed; ","recurring below 75% or not disclosed; "),"")&amp;IF(AM105&lt;$D$40,"traits "&amp;AM105&amp;" of 5",""))</f>
        <v>Fail: TEV outside range; price n.a. of 52-week high; recurring below 75% or not disclosed; </v>
      </c>
    </row>
    <row r="106">
      <c r="E106" s="35"/>
      <c r="F106" s="36"/>
      <c r="G106" s="36"/>
      <c r="H106" t="str" s="25">
        <f>IF(N(G106)&gt;0,F106/G106-1,"n.a.")</f>
        <v>n.a.</v>
      </c>
      <c r="I106" s="36"/>
      <c r="J106" s="36"/>
      <c r="K106" s="36"/>
      <c r="L106" s="24">
        <f>SUM(I106:K106)</f>
        <v>0</v>
      </c>
      <c r="M106" t="str" s="25">
        <f>IF(F106&gt;0,L106/F106,"n.a.")</f>
        <v>n.a.</v>
      </c>
      <c r="N106" s="36"/>
      <c r="O106" s="36"/>
      <c r="P106" s="24"/>
      <c r="Q106" s="36"/>
      <c r="R106" s="24">
        <f>SUM(N106:P106)-Q106</f>
        <v>0</v>
      </c>
      <c r="S106" t="str" s="26">
        <f>IF(L106&gt;0,R106/L106,"NM")</f>
        <v>NM</v>
      </c>
      <c r="T106" s="36"/>
      <c r="U106" t="str" s="24">
        <f>IF(N(T106)&gt;0,T106+R106,"n.a.")</f>
        <v>n.a.</v>
      </c>
      <c r="V106" s="37"/>
      <c r="W106" s="37"/>
      <c r="X106" s="35"/>
      <c r="Y106" t="str" s="25">
        <f>IF(N(W106)&gt;0,V106/W106,"n.a.")</f>
        <v>n.a.</v>
      </c>
      <c r="Z106" s="25"/>
      <c r="AA106" s="51"/>
      <c r="AB106" s="25"/>
      <c r="AC106" s="51"/>
      <c r="AD106" s="28"/>
      <c r="AE106" s="17">
        <f>IF(AND(ISNUMBER(U106),N(U106)&gt;=$D$31,N(U106)&lt;=$D$32),1,0)</f>
        <v>0</v>
      </c>
      <c r="AF106" s="17">
        <f>IF(AND(ISNUMBER(Z106),N(Z106)&gt;=$D$33),1,0)</f>
        <v>0</v>
      </c>
      <c r="AG106" s="17">
        <f>IF(AND(ISNUMBER(Y106),N(Y106)&lt;=$D$34),1,0)</f>
        <v>0</v>
      </c>
      <c r="AH106" s="17">
        <f>IF(AND(ISNUMBER(H106),N(H106)&gt;=$D$35),1,0)</f>
        <v>0</v>
      </c>
      <c r="AI106" s="17">
        <f>IF(AND(ISNUMBER(M106),N(M106)&gt;=$D$36),1,0)</f>
        <v>0</v>
      </c>
      <c r="AJ106" s="17">
        <f>IF(AND(ISNUMBER(S106),N(S106)&lt;=$D$37),1,0)</f>
        <v>0</v>
      </c>
      <c r="AK106" s="17">
        <f>IF(N(AB106)&gt;=$D$38,1,0)</f>
        <v>1</v>
      </c>
      <c r="AL106" s="17">
        <f>IF(N(AD106)&gt;0,1,0)</f>
        <v>0</v>
      </c>
      <c r="AM106" s="17">
        <f>SUM(AH106:AL106)</f>
        <v>1</v>
      </c>
      <c r="AN106" t="str" s="16">
        <f>IF(AND(AE106=1,AF106=1,AG106=1,AM106&gt;=$D$40),"Pass","Fail")</f>
        <v>Fail</v>
      </c>
      <c r="AO106" t="str" s="51">
        <f>IF(AN106="Pass","Pass: "&amp;AM106&amp;" of 5 traits; "&amp;TEXT(Y106,"0%")&amp;" of 52-week high"&amp;IF(AK106=1,"; "&amp;AA106,"")&amp;IF(AL106=1,"; "&amp;AC106,""),"Fail: "&amp;IF(AE106=0,"TEV outside range; ","")&amp;IF(AG106=0,"price "&amp;IF(ISNUMBER(Y106),TEXT(Y106,"0%"),"n.a.")&amp;" of 52-week high; ","")&amp;IF(AF106=0,IF(Z106="n.r.","recurring not reviewed; ","recurring below 75% or not disclosed; "),"")&amp;IF(AM106&lt;$D$40,"traits "&amp;AM106&amp;" of 5",""))</f>
        <v>Fail: TEV outside range; price n.a. of 52-week high; recurring below 75% or not disclosed; </v>
      </c>
    </row>
    <row r="107">
      <c r="E107" s="35"/>
      <c r="F107" s="36"/>
      <c r="G107" s="36"/>
      <c r="H107" t="str" s="25">
        <f>IF(N(G107)&gt;0,F107/G107-1,"n.a.")</f>
        <v>n.a.</v>
      </c>
      <c r="I107" s="36"/>
      <c r="J107" s="36"/>
      <c r="K107" s="36"/>
      <c r="L107" s="24">
        <f>SUM(I107:K107)</f>
        <v>0</v>
      </c>
      <c r="M107" t="str" s="25">
        <f>IF(F107&gt;0,L107/F107,"n.a.")</f>
        <v>n.a.</v>
      </c>
      <c r="N107" s="24"/>
      <c r="O107" s="36"/>
      <c r="P107" s="24"/>
      <c r="Q107" s="36"/>
      <c r="R107" s="24">
        <f>SUM(N107:P107)-Q107</f>
        <v>0</v>
      </c>
      <c r="S107" t="str" s="26">
        <f>IF(L107&gt;0,R107/L107,"NM")</f>
        <v>NM</v>
      </c>
      <c r="T107" s="36"/>
      <c r="U107" t="str" s="24">
        <f>IF(N(T107)&gt;0,T107+R107,"n.a.")</f>
        <v>n.a.</v>
      </c>
      <c r="V107" s="37"/>
      <c r="W107" s="37"/>
      <c r="X107" s="35"/>
      <c r="Y107" t="str" s="25">
        <f>IF(N(W107)&gt;0,V107/W107,"n.a.")</f>
        <v>n.a.</v>
      </c>
      <c r="Z107" s="25"/>
      <c r="AA107" s="51"/>
      <c r="AB107" s="25"/>
      <c r="AC107" s="51"/>
      <c r="AD107" s="28"/>
      <c r="AE107" s="17">
        <f>IF(AND(ISNUMBER(U107),N(U107)&gt;=$D$31,N(U107)&lt;=$D$32),1,0)</f>
        <v>0</v>
      </c>
      <c r="AF107" s="17">
        <f>IF(AND(ISNUMBER(Z107),N(Z107)&gt;=$D$33),1,0)</f>
        <v>0</v>
      </c>
      <c r="AG107" s="17">
        <f>IF(AND(ISNUMBER(Y107),N(Y107)&lt;=$D$34),1,0)</f>
        <v>0</v>
      </c>
      <c r="AH107" s="17">
        <f>IF(AND(ISNUMBER(H107),N(H107)&gt;=$D$35),1,0)</f>
        <v>0</v>
      </c>
      <c r="AI107" s="17">
        <f>IF(AND(ISNUMBER(M107),N(M107)&gt;=$D$36),1,0)</f>
        <v>0</v>
      </c>
      <c r="AJ107" s="17">
        <f>IF(AND(ISNUMBER(S107),N(S107)&lt;=$D$37),1,0)</f>
        <v>0</v>
      </c>
      <c r="AK107" s="17">
        <f>IF(N(AB107)&gt;=$D$38,1,0)</f>
        <v>1</v>
      </c>
      <c r="AL107" s="17">
        <f>IF(N(AD107)&gt;0,1,0)</f>
        <v>0</v>
      </c>
      <c r="AM107" s="17">
        <f>SUM(AH107:AL107)</f>
        <v>1</v>
      </c>
      <c r="AN107" t="str" s="16">
        <f>IF(AND(AE107=1,AF107=1,AG107=1,AM107&gt;=$D$40),"Pass","Fail")</f>
        <v>Fail</v>
      </c>
      <c r="AO107" t="str" s="51">
        <f>IF(AN107="Pass","Pass: "&amp;AM107&amp;" of 5 traits; "&amp;TEXT(Y107,"0%")&amp;" of 52-week high"&amp;IF(AK107=1,"; "&amp;AA107,"")&amp;IF(AL107=1,"; "&amp;AC107,""),"Fail: "&amp;IF(AE107=0,"TEV outside range; ","")&amp;IF(AG107=0,"price "&amp;IF(ISNUMBER(Y107),TEXT(Y107,"0%"),"n.a.")&amp;" of 52-week high; ","")&amp;IF(AF107=0,IF(Z107="n.r.","recurring not reviewed; ","recurring below 75% or not disclosed; "),"")&amp;IF(AM107&lt;$D$40,"traits "&amp;AM107&amp;" of 5",""))</f>
        <v>Fail: TEV outside range; price n.a. of 52-week high; recurring below 75% or not disclosed; </v>
      </c>
    </row>
    <row r="108">
      <c r="E108" s="35"/>
      <c r="F108" s="36"/>
      <c r="G108" s="36"/>
      <c r="H108" t="str" s="25">
        <f>IF(N(G108)&gt;0,F108/G108-1,"n.a.")</f>
        <v>n.a.</v>
      </c>
      <c r="I108" s="36"/>
      <c r="J108" s="36"/>
      <c r="K108" s="36"/>
      <c r="L108" s="24">
        <f>SUM(I108:K108)</f>
        <v>0</v>
      </c>
      <c r="M108" t="str" s="25">
        <f>IF(F108&gt;0,L108/F108,"n.a.")</f>
        <v>n.a.</v>
      </c>
      <c r="N108" s="24"/>
      <c r="O108" s="36"/>
      <c r="P108" s="24"/>
      <c r="Q108" s="36"/>
      <c r="R108" s="24">
        <f>SUM(N108:P108)-Q108</f>
        <v>0</v>
      </c>
      <c r="S108" t="str" s="26">
        <f>IF(L108&gt;0,R108/L108,"NM")</f>
        <v>NM</v>
      </c>
      <c r="T108" s="36"/>
      <c r="U108" t="str" s="24">
        <f>IF(N(T108)&gt;0,T108+R108,"n.a.")</f>
        <v>n.a.</v>
      </c>
      <c r="V108" s="37"/>
      <c r="W108" s="37"/>
      <c r="X108" s="35"/>
      <c r="Y108" t="str" s="25">
        <f>IF(N(W108)&gt;0,V108/W108,"n.a.")</f>
        <v>n.a.</v>
      </c>
      <c r="Z108" s="25"/>
      <c r="AA108" s="51"/>
      <c r="AB108" s="25"/>
      <c r="AC108" s="51"/>
      <c r="AD108" s="28"/>
      <c r="AE108" s="17">
        <f>IF(AND(ISNUMBER(U108),N(U108)&gt;=$D$31,N(U108)&lt;=$D$32),1,0)</f>
        <v>0</v>
      </c>
      <c r="AF108" s="17">
        <f>IF(AND(ISNUMBER(Z108),N(Z108)&gt;=$D$33),1,0)</f>
        <v>0</v>
      </c>
      <c r="AG108" s="17">
        <f>IF(AND(ISNUMBER(Y108),N(Y108)&lt;=$D$34),1,0)</f>
        <v>0</v>
      </c>
      <c r="AH108" s="17">
        <f>IF(AND(ISNUMBER(H108),N(H108)&gt;=$D$35),1,0)</f>
        <v>0</v>
      </c>
      <c r="AI108" s="17">
        <f>IF(AND(ISNUMBER(M108),N(M108)&gt;=$D$36),1,0)</f>
        <v>0</v>
      </c>
      <c r="AJ108" s="17">
        <f>IF(AND(ISNUMBER(S108),N(S108)&lt;=$D$37),1,0)</f>
        <v>0</v>
      </c>
      <c r="AK108" s="17">
        <f>IF(N(AB108)&gt;=$D$38,1,0)</f>
        <v>1</v>
      </c>
      <c r="AL108" s="17">
        <f>IF(N(AD108)&gt;0,1,0)</f>
        <v>0</v>
      </c>
      <c r="AM108" s="17">
        <f>SUM(AH108:AL108)</f>
        <v>1</v>
      </c>
      <c r="AN108" t="str" s="16">
        <f>IF(AND(AE108=1,AF108=1,AG108=1,AM108&gt;=$D$40),"Pass","Fail")</f>
        <v>Fail</v>
      </c>
      <c r="AO108" t="str" s="51">
        <f>IF(AN108="Pass","Pass: "&amp;AM108&amp;" of 5 traits; "&amp;TEXT(Y108,"0%")&amp;" of 52-week high"&amp;IF(AK108=1,"; "&amp;AA108,"")&amp;IF(AL108=1,"; "&amp;AC108,""),"Fail: "&amp;IF(AE108=0,"TEV outside range; ","")&amp;IF(AG108=0,"price "&amp;IF(ISNUMBER(Y108),TEXT(Y108,"0%"),"n.a.")&amp;" of 52-week high; ","")&amp;IF(AF108=0,IF(Z108="n.r.","recurring not reviewed; ","recurring below 75% or not disclosed; "),"")&amp;IF(AM108&lt;$D$40,"traits "&amp;AM108&amp;" of 5",""))</f>
        <v>Fail: TEV outside range; price n.a. of 52-week high; recurring below 75% or not disclosed; </v>
      </c>
    </row>
    <row r="109">
      <c r="E109" s="35"/>
      <c r="F109" s="36"/>
      <c r="G109" s="36"/>
      <c r="H109" t="str" s="25">
        <f>IF(N(G109)&gt;0,F109/G109-1,"n.a.")</f>
        <v>n.a.</v>
      </c>
      <c r="I109" s="36"/>
      <c r="J109" s="36"/>
      <c r="K109" s="36"/>
      <c r="L109" s="24">
        <f>SUM(I109:K109)</f>
        <v>0</v>
      </c>
      <c r="M109" t="str" s="25">
        <f>IF(F109&gt;0,L109/F109,"n.a.")</f>
        <v>n.a.</v>
      </c>
      <c r="N109" s="24"/>
      <c r="O109" s="24"/>
      <c r="P109" s="24"/>
      <c r="Q109" s="36"/>
      <c r="R109" s="24">
        <f>SUM(N109:P109)-Q109</f>
        <v>0</v>
      </c>
      <c r="S109" t="str" s="26">
        <f>IF(L109&gt;0,R109/L109,"NM")</f>
        <v>NM</v>
      </c>
      <c r="T109" s="36"/>
      <c r="U109" t="str" s="24">
        <f>IF(N(T109)&gt;0,T109+R109,"n.a.")</f>
        <v>n.a.</v>
      </c>
      <c r="V109" s="37"/>
      <c r="W109" s="37"/>
      <c r="X109" s="35"/>
      <c r="Y109" t="str" s="25">
        <f>IF(N(W109)&gt;0,V109/W109,"n.a.")</f>
        <v>n.a.</v>
      </c>
      <c r="Z109" s="25"/>
      <c r="AA109" s="51"/>
      <c r="AB109" s="25"/>
      <c r="AC109" s="51"/>
      <c r="AD109" s="28"/>
      <c r="AE109" s="17">
        <f>IF(AND(ISNUMBER(U109),N(U109)&gt;=$D$31,N(U109)&lt;=$D$32),1,0)</f>
        <v>0</v>
      </c>
      <c r="AF109" s="17">
        <f>IF(AND(ISNUMBER(Z109),N(Z109)&gt;=$D$33),1,0)</f>
        <v>0</v>
      </c>
      <c r="AG109" s="17">
        <f>IF(AND(ISNUMBER(Y109),N(Y109)&lt;=$D$34),1,0)</f>
        <v>0</v>
      </c>
      <c r="AH109" s="17">
        <f>IF(AND(ISNUMBER(H109),N(H109)&gt;=$D$35),1,0)</f>
        <v>0</v>
      </c>
      <c r="AI109" s="17">
        <f>IF(AND(ISNUMBER(M109),N(M109)&gt;=$D$36),1,0)</f>
        <v>0</v>
      </c>
      <c r="AJ109" s="17">
        <f>IF(AND(ISNUMBER(S109),N(S109)&lt;=$D$37),1,0)</f>
        <v>0</v>
      </c>
      <c r="AK109" s="17">
        <f>IF(N(AB109)&gt;=$D$38,1,0)</f>
        <v>1</v>
      </c>
      <c r="AL109" s="17">
        <f>IF(N(AD109)&gt;0,1,0)</f>
        <v>0</v>
      </c>
      <c r="AM109" s="17">
        <f>SUM(AH109:AL109)</f>
        <v>1</v>
      </c>
      <c r="AN109" t="str" s="16">
        <f>IF(AND(AE109=1,AF109=1,AG109=1,AM109&gt;=$D$40),"Pass","Fail")</f>
        <v>Fail</v>
      </c>
      <c r="AO109" t="str" s="51">
        <f>IF(AN109="Pass","Pass: "&amp;AM109&amp;" of 5 traits; "&amp;TEXT(Y109,"0%")&amp;" of 52-week high"&amp;IF(AK109=1,"; "&amp;AA109,"")&amp;IF(AL109=1,"; "&amp;AC109,""),"Fail: "&amp;IF(AE109=0,"TEV outside range; ","")&amp;IF(AG109=0,"price "&amp;IF(ISNUMBER(Y109),TEXT(Y109,"0%"),"n.a.")&amp;" of 52-week high; ","")&amp;IF(AF109=0,IF(Z109="n.r.","recurring not reviewed; ","recurring below 75% or not disclosed; "),"")&amp;IF(AM109&lt;$D$40,"traits "&amp;AM109&amp;" of 5",""))</f>
        <v>Fail: TEV outside range; price n.a. of 52-week high; recurring below 75% or not disclosed; </v>
      </c>
    </row>
    <row r="110">
      <c r="E110" s="35"/>
      <c r="F110" s="36"/>
      <c r="G110" s="36"/>
      <c r="H110" t="str" s="25">
        <f>IF(N(G110)&gt;0,F110/G110-1,"n.a.")</f>
        <v>n.a.</v>
      </c>
      <c r="I110" s="36"/>
      <c r="J110" s="36"/>
      <c r="K110" s="36"/>
      <c r="L110" s="24">
        <f>SUM(I110:K110)</f>
        <v>0</v>
      </c>
      <c r="M110" t="str" s="25">
        <f>IF(F110&gt;0,L110/F110,"n.a.")</f>
        <v>n.a.</v>
      </c>
      <c r="N110" s="36"/>
      <c r="O110" s="36"/>
      <c r="P110" s="24"/>
      <c r="Q110" s="36"/>
      <c r="R110" s="24">
        <f>SUM(N110:P110)-Q110</f>
        <v>0</v>
      </c>
      <c r="S110" t="str" s="26">
        <f>IF(L110&gt;0,R110/L110,"NM")</f>
        <v>NM</v>
      </c>
      <c r="T110" s="36"/>
      <c r="U110" t="str" s="24">
        <f>IF(N(T110)&gt;0,T110+R110,"n.a.")</f>
        <v>n.a.</v>
      </c>
      <c r="V110" s="37"/>
      <c r="W110" s="37"/>
      <c r="X110" s="35"/>
      <c r="Y110" t="str" s="25">
        <f>IF(N(W110)&gt;0,V110/W110,"n.a.")</f>
        <v>n.a.</v>
      </c>
      <c r="Z110" s="25"/>
      <c r="AA110" s="51"/>
      <c r="AB110" s="25"/>
      <c r="AC110" s="51"/>
      <c r="AD110" s="28"/>
      <c r="AE110" s="17">
        <f>IF(AND(ISNUMBER(U110),N(U110)&gt;=$D$31,N(U110)&lt;=$D$32),1,0)</f>
        <v>0</v>
      </c>
      <c r="AF110" s="17">
        <f>IF(AND(ISNUMBER(Z110),N(Z110)&gt;=$D$33),1,0)</f>
        <v>0</v>
      </c>
      <c r="AG110" s="17">
        <f>IF(AND(ISNUMBER(Y110),N(Y110)&lt;=$D$34),1,0)</f>
        <v>0</v>
      </c>
      <c r="AH110" s="17">
        <f>IF(AND(ISNUMBER(H110),N(H110)&gt;=$D$35),1,0)</f>
        <v>0</v>
      </c>
      <c r="AI110" s="17">
        <f>IF(AND(ISNUMBER(M110),N(M110)&gt;=$D$36),1,0)</f>
        <v>0</v>
      </c>
      <c r="AJ110" s="17">
        <f>IF(AND(ISNUMBER(S110),N(S110)&lt;=$D$37),1,0)</f>
        <v>0</v>
      </c>
      <c r="AK110" s="17">
        <f>IF(N(AB110)&gt;=$D$38,1,0)</f>
        <v>1</v>
      </c>
      <c r="AL110" s="17">
        <f>IF(N(AD110)&gt;0,1,0)</f>
        <v>0</v>
      </c>
      <c r="AM110" s="17">
        <f>SUM(AH110:AL110)</f>
        <v>1</v>
      </c>
      <c r="AN110" t="str" s="16">
        <f>IF(AND(AE110=1,AF110=1,AG110=1,AM110&gt;=$D$40),"Pass","Fail")</f>
        <v>Fail</v>
      </c>
      <c r="AO110" t="str" s="51">
        <f>IF(AN110="Pass","Pass: "&amp;AM110&amp;" of 5 traits; "&amp;TEXT(Y110,"0%")&amp;" of 52-week high"&amp;IF(AK110=1,"; "&amp;AA110,"")&amp;IF(AL110=1,"; "&amp;AC110,""),"Fail: "&amp;IF(AE110=0,"TEV outside range; ","")&amp;IF(AG110=0,"price "&amp;IF(ISNUMBER(Y110),TEXT(Y110,"0%"),"n.a.")&amp;" of 52-week high; ","")&amp;IF(AF110=0,IF(Z110="n.r.","recurring not reviewed; ","recurring below 75% or not disclosed; "),"")&amp;IF(AM110&lt;$D$40,"traits "&amp;AM110&amp;" of 5",""))</f>
        <v>Fail: TEV outside range; price n.a. of 52-week high; recurring below 75% or not disclosed; </v>
      </c>
    </row>
    <row r="111">
      <c r="E111" s="35"/>
      <c r="F111" s="36"/>
      <c r="G111" s="36"/>
      <c r="H111" t="str" s="25">
        <f>IF(N(G111)&gt;0,F111/G111-1,"n.a.")</f>
        <v>n.a.</v>
      </c>
      <c r="I111" s="36"/>
      <c r="J111" s="36"/>
      <c r="K111" s="36"/>
      <c r="L111" s="24">
        <f>SUM(I111:K111)</f>
        <v>0</v>
      </c>
      <c r="M111" t="str" s="25">
        <f>IF(F111&gt;0,L111/F111,"n.a.")</f>
        <v>n.a.</v>
      </c>
      <c r="N111" s="24"/>
      <c r="O111" s="24"/>
      <c r="P111" s="24"/>
      <c r="Q111" s="36"/>
      <c r="R111" s="24">
        <f>SUM(N111:P111)-Q111</f>
        <v>0</v>
      </c>
      <c r="S111" t="str" s="26">
        <f>IF(L111&gt;0,R111/L111,"NM")</f>
        <v>NM</v>
      </c>
      <c r="T111" s="36"/>
      <c r="U111" t="str" s="24">
        <f>IF(N(T111)&gt;0,T111+R111,"n.a.")</f>
        <v>n.a.</v>
      </c>
      <c r="V111" s="37"/>
      <c r="W111" s="37"/>
      <c r="X111" s="35"/>
      <c r="Y111" t="str" s="25">
        <f>IF(N(W111)&gt;0,V111/W111,"n.a.")</f>
        <v>n.a.</v>
      </c>
      <c r="Z111" s="25"/>
      <c r="AA111" s="51"/>
      <c r="AB111" s="25"/>
      <c r="AC111" s="51"/>
      <c r="AD111" s="28"/>
      <c r="AE111" s="17">
        <f>IF(AND(ISNUMBER(U111),N(U111)&gt;=$D$31,N(U111)&lt;=$D$32),1,0)</f>
        <v>0</v>
      </c>
      <c r="AF111" s="17">
        <f>IF(AND(ISNUMBER(Z111),N(Z111)&gt;=$D$33),1,0)</f>
        <v>0</v>
      </c>
      <c r="AG111" s="17">
        <f>IF(AND(ISNUMBER(Y111),N(Y111)&lt;=$D$34),1,0)</f>
        <v>0</v>
      </c>
      <c r="AH111" s="17">
        <f>IF(AND(ISNUMBER(H111),N(H111)&gt;=$D$35),1,0)</f>
        <v>0</v>
      </c>
      <c r="AI111" s="17">
        <f>IF(AND(ISNUMBER(M111),N(M111)&gt;=$D$36),1,0)</f>
        <v>0</v>
      </c>
      <c r="AJ111" s="17">
        <f>IF(AND(ISNUMBER(S111),N(S111)&lt;=$D$37),1,0)</f>
        <v>0</v>
      </c>
      <c r="AK111" s="17">
        <f>IF(N(AB111)&gt;=$D$38,1,0)</f>
        <v>1</v>
      </c>
      <c r="AL111" s="17">
        <f>IF(N(AD111)&gt;0,1,0)</f>
        <v>0</v>
      </c>
      <c r="AM111" s="17">
        <f>SUM(AH111:AL111)</f>
        <v>1</v>
      </c>
      <c r="AN111" t="str" s="16">
        <f>IF(AND(AE111=1,AF111=1,AG111=1,AM111&gt;=$D$40),"Pass","Fail")</f>
        <v>Fail</v>
      </c>
      <c r="AO111" t="str" s="51">
        <f>IF(AN111="Pass","Pass: "&amp;AM111&amp;" of 5 traits; "&amp;TEXT(Y111,"0%")&amp;" of 52-week high"&amp;IF(AK111=1,"; "&amp;AA111,"")&amp;IF(AL111=1,"; "&amp;AC111,""),"Fail: "&amp;IF(AE111=0,"TEV outside range; ","")&amp;IF(AG111=0,"price "&amp;IF(ISNUMBER(Y111),TEXT(Y111,"0%"),"n.a.")&amp;" of 52-week high; ","")&amp;IF(AF111=0,IF(Z111="n.r.","recurring not reviewed; ","recurring below 75% or not disclosed; "),"")&amp;IF(AM111&lt;$D$40,"traits "&amp;AM111&amp;" of 5",""))</f>
        <v>Fail: TEV outside range; price n.a. of 52-week high; recurring below 75% or not disclosed; </v>
      </c>
    </row>
    <row r="112">
      <c r="E112" s="35"/>
      <c r="F112" s="36"/>
      <c r="G112" s="36"/>
      <c r="H112" t="str" s="25">
        <f>IF(N(G112)&gt;0,F112/G112-1,"n.a.")</f>
        <v>n.a.</v>
      </c>
      <c r="I112" s="36"/>
      <c r="J112" s="36"/>
      <c r="K112" s="36"/>
      <c r="L112" s="24">
        <f>SUM(I112:K112)</f>
        <v>0</v>
      </c>
      <c r="M112" t="str" s="25">
        <f>IF(F112&gt;0,L112/F112,"n.a.")</f>
        <v>n.a.</v>
      </c>
      <c r="N112" s="36"/>
      <c r="O112" s="36"/>
      <c r="P112" s="24"/>
      <c r="Q112" s="36"/>
      <c r="R112" s="24">
        <f>SUM(N112:P112)-Q112</f>
        <v>0</v>
      </c>
      <c r="S112" t="str" s="26">
        <f>IF(L112&gt;0,R112/L112,"NM")</f>
        <v>NM</v>
      </c>
      <c r="T112" s="36"/>
      <c r="U112" t="str" s="24">
        <f>IF(N(T112)&gt;0,T112+R112,"n.a.")</f>
        <v>n.a.</v>
      </c>
      <c r="V112" s="37"/>
      <c r="W112" s="37"/>
      <c r="X112" s="35"/>
      <c r="Y112" t="str" s="25">
        <f>IF(N(W112)&gt;0,V112/W112,"n.a.")</f>
        <v>n.a.</v>
      </c>
      <c r="Z112" s="25"/>
      <c r="AA112" s="51"/>
      <c r="AB112" s="25"/>
      <c r="AC112" s="51"/>
      <c r="AD112" s="28"/>
      <c r="AE112" s="17">
        <f>IF(AND(ISNUMBER(U112),N(U112)&gt;=$D$31,N(U112)&lt;=$D$32),1,0)</f>
        <v>0</v>
      </c>
      <c r="AF112" s="17">
        <f>IF(AND(ISNUMBER(Z112),N(Z112)&gt;=$D$33),1,0)</f>
        <v>0</v>
      </c>
      <c r="AG112" s="17">
        <f>IF(AND(ISNUMBER(Y112),N(Y112)&lt;=$D$34),1,0)</f>
        <v>0</v>
      </c>
      <c r="AH112" s="17">
        <f>IF(AND(ISNUMBER(H112),N(H112)&gt;=$D$35),1,0)</f>
        <v>0</v>
      </c>
      <c r="AI112" s="17">
        <f>IF(AND(ISNUMBER(M112),N(M112)&gt;=$D$36),1,0)</f>
        <v>0</v>
      </c>
      <c r="AJ112" s="17">
        <f>IF(AND(ISNUMBER(S112),N(S112)&lt;=$D$37),1,0)</f>
        <v>0</v>
      </c>
      <c r="AK112" s="17">
        <f>IF(N(AB112)&gt;=$D$38,1,0)</f>
        <v>1</v>
      </c>
      <c r="AL112" s="17">
        <f>IF(N(AD112)&gt;0,1,0)</f>
        <v>0</v>
      </c>
      <c r="AM112" s="17">
        <f>SUM(AH112:AL112)</f>
        <v>1</v>
      </c>
      <c r="AN112" t="str" s="16">
        <f>IF(AND(AE112=1,AF112=1,AG112=1,AM112&gt;=$D$40),"Pass","Fail")</f>
        <v>Fail</v>
      </c>
      <c r="AO112" t="str" s="51">
        <f>IF(AN112="Pass","Pass: "&amp;AM112&amp;" of 5 traits; "&amp;TEXT(Y112,"0%")&amp;" of 52-week high"&amp;IF(AK112=1,"; "&amp;AA112,"")&amp;IF(AL112=1,"; "&amp;AC112,""),"Fail: "&amp;IF(AE112=0,"TEV outside range; ","")&amp;IF(AG112=0,"price "&amp;IF(ISNUMBER(Y112),TEXT(Y112,"0%"),"n.a.")&amp;" of 52-week high; ","")&amp;IF(AF112=0,IF(Z112="n.r.","recurring not reviewed; ","recurring below 75% or not disclosed; "),"")&amp;IF(AM112&lt;$D$40,"traits "&amp;AM112&amp;" of 5",""))</f>
        <v>Fail: TEV outside range; price n.a. of 52-week high; recurring below 75% or not disclosed; </v>
      </c>
    </row>
    <row r="113">
      <c r="E113" s="35"/>
      <c r="F113" s="36"/>
      <c r="G113" s="36"/>
      <c r="H113" t="str" s="25">
        <f>IF(N(G113)&gt;0,F113/G113-1,"n.a.")</f>
        <v>n.a.</v>
      </c>
      <c r="I113" s="36"/>
      <c r="J113" s="36"/>
      <c r="K113" s="36"/>
      <c r="L113" s="24">
        <f>SUM(I113:K113)</f>
        <v>0</v>
      </c>
      <c r="M113" t="str" s="25">
        <f>IF(F113&gt;0,L113/F113,"n.a.")</f>
        <v>n.a.</v>
      </c>
      <c r="N113" s="24"/>
      <c r="O113" s="24"/>
      <c r="P113" s="24"/>
      <c r="Q113" s="36"/>
      <c r="R113" s="24">
        <f>SUM(N113:P113)-Q113</f>
        <v>0</v>
      </c>
      <c r="S113" t="str" s="26">
        <f>IF(L113&gt;0,R113/L113,"NM")</f>
        <v>NM</v>
      </c>
      <c r="T113" s="36"/>
      <c r="U113" t="str" s="24">
        <f>IF(N(T113)&gt;0,T113+R113,"n.a.")</f>
        <v>n.a.</v>
      </c>
      <c r="V113" s="37"/>
      <c r="W113" s="37"/>
      <c r="X113" s="35"/>
      <c r="Y113" t="str" s="25">
        <f>IF(N(W113)&gt;0,V113/W113,"n.a.")</f>
        <v>n.a.</v>
      </c>
      <c r="Z113" s="25"/>
      <c r="AA113" s="51"/>
      <c r="AB113" s="25"/>
      <c r="AC113" s="51"/>
      <c r="AD113" s="28"/>
      <c r="AE113" s="17">
        <f>IF(AND(ISNUMBER(U113),N(U113)&gt;=$D$31,N(U113)&lt;=$D$32),1,0)</f>
        <v>0</v>
      </c>
      <c r="AF113" s="17">
        <f>IF(AND(ISNUMBER(Z113),N(Z113)&gt;=$D$33),1,0)</f>
        <v>0</v>
      </c>
      <c r="AG113" s="17">
        <f>IF(AND(ISNUMBER(Y113),N(Y113)&lt;=$D$34),1,0)</f>
        <v>0</v>
      </c>
      <c r="AH113" s="17">
        <f>IF(AND(ISNUMBER(H113),N(H113)&gt;=$D$35),1,0)</f>
        <v>0</v>
      </c>
      <c r="AI113" s="17">
        <f>IF(AND(ISNUMBER(M113),N(M113)&gt;=$D$36),1,0)</f>
        <v>0</v>
      </c>
      <c r="AJ113" s="17">
        <f>IF(AND(ISNUMBER(S113),N(S113)&lt;=$D$37),1,0)</f>
        <v>0</v>
      </c>
      <c r="AK113" s="17">
        <f>IF(N(AB113)&gt;=$D$38,1,0)</f>
        <v>1</v>
      </c>
      <c r="AL113" s="17">
        <f>IF(N(AD113)&gt;0,1,0)</f>
        <v>0</v>
      </c>
      <c r="AM113" s="17">
        <f>SUM(AH113:AL113)</f>
        <v>1</v>
      </c>
      <c r="AN113" t="str" s="16">
        <f>IF(AND(AE113=1,AF113=1,AG113=1,AM113&gt;=$D$40),"Pass","Fail")</f>
        <v>Fail</v>
      </c>
      <c r="AO113" t="str" s="51">
        <f>IF(AN113="Pass","Pass: "&amp;AM113&amp;" of 5 traits; "&amp;TEXT(Y113,"0%")&amp;" of 52-week high"&amp;IF(AK113=1,"; "&amp;AA113,"")&amp;IF(AL113=1,"; "&amp;AC113,""),"Fail: "&amp;IF(AE113=0,"TEV outside range; ","")&amp;IF(AG113=0,"price "&amp;IF(ISNUMBER(Y113),TEXT(Y113,"0%"),"n.a.")&amp;" of 52-week high; ","")&amp;IF(AF113=0,IF(Z113="n.r.","recurring not reviewed; ","recurring below 75% or not disclosed; "),"")&amp;IF(AM113&lt;$D$40,"traits "&amp;AM113&amp;" of 5",""))</f>
        <v>Fail: TEV outside range; price n.a. of 52-week high; recurring below 75% or not disclosed; </v>
      </c>
    </row>
    <row r="114">
      <c r="E114" s="35"/>
      <c r="F114" s="36"/>
      <c r="G114" s="36"/>
      <c r="H114" t="str" s="25">
        <f>IF(N(G114)&gt;0,F114/G114-1,"n.a.")</f>
        <v>n.a.</v>
      </c>
      <c r="I114" s="36"/>
      <c r="J114" s="36"/>
      <c r="K114" s="36"/>
      <c r="L114" s="24">
        <f>SUM(I114:K114)</f>
        <v>0</v>
      </c>
      <c r="M114" t="str" s="25">
        <f>IF(F114&gt;0,L114/F114,"n.a.")</f>
        <v>n.a.</v>
      </c>
      <c r="N114" s="24"/>
      <c r="O114" s="24"/>
      <c r="P114" s="24"/>
      <c r="Q114" s="36"/>
      <c r="R114" s="24">
        <f>SUM(N114:P114)-Q114</f>
        <v>0</v>
      </c>
      <c r="S114" t="str" s="26">
        <f>IF(L114&gt;0,R114/L114,"NM")</f>
        <v>NM</v>
      </c>
      <c r="T114" s="36"/>
      <c r="U114" t="str" s="24">
        <f>IF(N(T114)&gt;0,T114+R114,"n.a.")</f>
        <v>n.a.</v>
      </c>
      <c r="V114" s="37"/>
      <c r="W114" s="37"/>
      <c r="X114" s="35"/>
      <c r="Y114" t="str" s="25">
        <f>IF(N(W114)&gt;0,V114/W114,"n.a.")</f>
        <v>n.a.</v>
      </c>
      <c r="Z114" s="25"/>
      <c r="AA114" s="51"/>
      <c r="AB114" s="25"/>
      <c r="AC114" s="51"/>
      <c r="AD114" s="28"/>
      <c r="AE114" s="17">
        <f>IF(AND(ISNUMBER(U114),N(U114)&gt;=$D$31,N(U114)&lt;=$D$32),1,0)</f>
        <v>0</v>
      </c>
      <c r="AF114" s="17">
        <f>IF(AND(ISNUMBER(Z114),N(Z114)&gt;=$D$33),1,0)</f>
        <v>0</v>
      </c>
      <c r="AG114" s="17">
        <f>IF(AND(ISNUMBER(Y114),N(Y114)&lt;=$D$34),1,0)</f>
        <v>0</v>
      </c>
      <c r="AH114" s="17">
        <f>IF(AND(ISNUMBER(H114),N(H114)&gt;=$D$35),1,0)</f>
        <v>0</v>
      </c>
      <c r="AI114" s="17">
        <f>IF(AND(ISNUMBER(M114),N(M114)&gt;=$D$36),1,0)</f>
        <v>0</v>
      </c>
      <c r="AJ114" s="17">
        <f>IF(AND(ISNUMBER(S114),N(S114)&lt;=$D$37),1,0)</f>
        <v>0</v>
      </c>
      <c r="AK114" s="17">
        <f>IF(N(AB114)&gt;=$D$38,1,0)</f>
        <v>1</v>
      </c>
      <c r="AL114" s="17">
        <f>IF(N(AD114)&gt;0,1,0)</f>
        <v>0</v>
      </c>
      <c r="AM114" s="17">
        <f>SUM(AH114:AL114)</f>
        <v>1</v>
      </c>
      <c r="AN114" t="str" s="16">
        <f>IF(AND(AE114=1,AF114=1,AG114=1,AM114&gt;=$D$40),"Pass","Fail")</f>
        <v>Fail</v>
      </c>
      <c r="AO114" t="str" s="51">
        <f>IF(AN114="Pass","Pass: "&amp;AM114&amp;" of 5 traits; "&amp;TEXT(Y114,"0%")&amp;" of 52-week high"&amp;IF(AK114=1,"; "&amp;AA114,"")&amp;IF(AL114=1,"; "&amp;AC114,""),"Fail: "&amp;IF(AE114=0,"TEV outside range; ","")&amp;IF(AG114=0,"price "&amp;IF(ISNUMBER(Y114),TEXT(Y114,"0%"),"n.a.")&amp;" of 52-week high; ","")&amp;IF(AF114=0,IF(Z114="n.r.","recurring not reviewed; ","recurring below 75% or not disclosed; "),"")&amp;IF(AM114&lt;$D$40,"traits "&amp;AM114&amp;" of 5",""))</f>
        <v>Fail: TEV outside range; price n.a. of 52-week high; recurring below 75% or not disclosed; </v>
      </c>
    </row>
    <row r="115">
      <c r="E115" s="35"/>
      <c r="F115" s="36"/>
      <c r="G115" s="36"/>
      <c r="H115" t="str" s="25">
        <f>IF(N(G115)&gt;0,F115/G115-1,"n.a.")</f>
        <v>n.a.</v>
      </c>
      <c r="I115" s="36"/>
      <c r="J115" s="36"/>
      <c r="K115" s="36"/>
      <c r="L115" s="24">
        <f>SUM(I115:K115)</f>
        <v>0</v>
      </c>
      <c r="M115" t="str" s="25">
        <f>IF(F115&gt;0,L115/F115,"n.a.")</f>
        <v>n.a.</v>
      </c>
      <c r="N115" s="36"/>
      <c r="O115" s="36"/>
      <c r="P115" s="24"/>
      <c r="Q115" s="36"/>
      <c r="R115" s="24">
        <f>SUM(N115:P115)-Q115</f>
        <v>0</v>
      </c>
      <c r="S115" t="str" s="26">
        <f>IF(L115&gt;0,R115/L115,"NM")</f>
        <v>NM</v>
      </c>
      <c r="T115" s="36"/>
      <c r="U115" t="str" s="24">
        <f>IF(N(T115)&gt;0,T115+R115,"n.a.")</f>
        <v>n.a.</v>
      </c>
      <c r="V115" s="37"/>
      <c r="W115" s="37"/>
      <c r="X115" s="35"/>
      <c r="Y115" t="str" s="25">
        <f>IF(N(W115)&gt;0,V115/W115,"n.a.")</f>
        <v>n.a.</v>
      </c>
      <c r="Z115" s="25"/>
      <c r="AA115" s="51"/>
      <c r="AB115" s="25"/>
      <c r="AC115" s="51"/>
      <c r="AD115" s="28"/>
      <c r="AE115" s="17">
        <f>IF(AND(ISNUMBER(U115),N(U115)&gt;=$D$31,N(U115)&lt;=$D$32),1,0)</f>
        <v>0</v>
      </c>
      <c r="AF115" s="17">
        <f>IF(AND(ISNUMBER(Z115),N(Z115)&gt;=$D$33),1,0)</f>
        <v>0</v>
      </c>
      <c r="AG115" s="17">
        <f>IF(AND(ISNUMBER(Y115),N(Y115)&lt;=$D$34),1,0)</f>
        <v>0</v>
      </c>
      <c r="AH115" s="17">
        <f>IF(AND(ISNUMBER(H115),N(H115)&gt;=$D$35),1,0)</f>
        <v>0</v>
      </c>
      <c r="AI115" s="17">
        <f>IF(AND(ISNUMBER(M115),N(M115)&gt;=$D$36),1,0)</f>
        <v>0</v>
      </c>
      <c r="AJ115" s="17">
        <f>IF(AND(ISNUMBER(S115),N(S115)&lt;=$D$37),1,0)</f>
        <v>0</v>
      </c>
      <c r="AK115" s="17">
        <f>IF(N(AB115)&gt;=$D$38,1,0)</f>
        <v>1</v>
      </c>
      <c r="AL115" s="17">
        <f>IF(N(AD115)&gt;0,1,0)</f>
        <v>0</v>
      </c>
      <c r="AM115" s="17">
        <f>SUM(AH115:AL115)</f>
        <v>1</v>
      </c>
      <c r="AN115" t="str" s="16">
        <f>IF(AND(AE115=1,AF115=1,AG115=1,AM115&gt;=$D$40),"Pass","Fail")</f>
        <v>Fail</v>
      </c>
      <c r="AO115" t="str" s="51">
        <f>IF(AN115="Pass","Pass: "&amp;AM115&amp;" of 5 traits; "&amp;TEXT(Y115,"0%")&amp;" of 52-week high"&amp;IF(AK115=1,"; "&amp;AA115,"")&amp;IF(AL115=1,"; "&amp;AC115,""),"Fail: "&amp;IF(AE115=0,"TEV outside range; ","")&amp;IF(AG115=0,"price "&amp;IF(ISNUMBER(Y115),TEXT(Y115,"0%"),"n.a.")&amp;" of 52-week high; ","")&amp;IF(AF115=0,IF(Z115="n.r.","recurring not reviewed; ","recurring below 75% or not disclosed; "),"")&amp;IF(AM115&lt;$D$40,"traits "&amp;AM115&amp;" of 5",""))</f>
        <v>Fail: TEV outside range; price n.a. of 52-week high; recurring below 75% or not disclosed; </v>
      </c>
    </row>
    <row r="116">
      <c r="E116" s="35"/>
      <c r="F116" s="36"/>
      <c r="G116" s="36"/>
      <c r="H116" t="str" s="25">
        <f>IF(N(G116)&gt;0,F116/G116-1,"n.a.")</f>
        <v>n.a.</v>
      </c>
      <c r="I116" s="36"/>
      <c r="J116" s="36"/>
      <c r="K116" s="36"/>
      <c r="L116" s="24">
        <f>SUM(I116:K116)</f>
        <v>0</v>
      </c>
      <c r="M116" t="str" s="25">
        <f>IF(F116&gt;0,L116/F116,"n.a.")</f>
        <v>n.a.</v>
      </c>
      <c r="N116" s="36"/>
      <c r="O116" s="36"/>
      <c r="P116" s="24"/>
      <c r="Q116" s="36"/>
      <c r="R116" s="24">
        <f>SUM(N116:P116)-Q116</f>
        <v>0</v>
      </c>
      <c r="S116" t="str" s="26">
        <f>IF(L116&gt;0,R116/L116,"NM")</f>
        <v>NM</v>
      </c>
      <c r="T116" s="36"/>
      <c r="U116" t="str" s="24">
        <f>IF(N(T116)&gt;0,T116+R116,"n.a.")</f>
        <v>n.a.</v>
      </c>
      <c r="V116" s="37"/>
      <c r="W116" s="37"/>
      <c r="X116" s="35"/>
      <c r="Y116" t="str" s="25">
        <f>IF(N(W116)&gt;0,V116/W116,"n.a.")</f>
        <v>n.a.</v>
      </c>
      <c r="Z116" s="25"/>
      <c r="AA116" s="51"/>
      <c r="AB116" s="25"/>
      <c r="AC116" s="51"/>
      <c r="AD116" s="28"/>
      <c r="AE116" s="17">
        <f>IF(AND(ISNUMBER(U116),N(U116)&gt;=$D$31,N(U116)&lt;=$D$32),1,0)</f>
        <v>0</v>
      </c>
      <c r="AF116" s="17">
        <f>IF(AND(ISNUMBER(Z116),N(Z116)&gt;=$D$33),1,0)</f>
        <v>0</v>
      </c>
      <c r="AG116" s="17">
        <f>IF(AND(ISNUMBER(Y116),N(Y116)&lt;=$D$34),1,0)</f>
        <v>0</v>
      </c>
      <c r="AH116" s="17">
        <f>IF(AND(ISNUMBER(H116),N(H116)&gt;=$D$35),1,0)</f>
        <v>0</v>
      </c>
      <c r="AI116" s="17">
        <f>IF(AND(ISNUMBER(M116),N(M116)&gt;=$D$36),1,0)</f>
        <v>0</v>
      </c>
      <c r="AJ116" s="17">
        <f>IF(AND(ISNUMBER(S116),N(S116)&lt;=$D$37),1,0)</f>
        <v>0</v>
      </c>
      <c r="AK116" s="17">
        <f>IF(N(AB116)&gt;=$D$38,1,0)</f>
        <v>1</v>
      </c>
      <c r="AL116" s="17">
        <f>IF(N(AD116)&gt;0,1,0)</f>
        <v>0</v>
      </c>
      <c r="AM116" s="17">
        <f>SUM(AH116:AL116)</f>
        <v>1</v>
      </c>
      <c r="AN116" t="str" s="16">
        <f>IF(AND(AE116=1,AF116=1,AG116=1,AM116&gt;=$D$40),"Pass","Fail")</f>
        <v>Fail</v>
      </c>
      <c r="AO116" t="str" s="51">
        <f>IF(AN116="Pass","Pass: "&amp;AM116&amp;" of 5 traits; "&amp;TEXT(Y116,"0%")&amp;" of 52-week high"&amp;IF(AK116=1,"; "&amp;AA116,"")&amp;IF(AL116=1,"; "&amp;AC116,""),"Fail: "&amp;IF(AE116=0,"TEV outside range; ","")&amp;IF(AG116=0,"price "&amp;IF(ISNUMBER(Y116),TEXT(Y116,"0%"),"n.a.")&amp;" of 52-week high; ","")&amp;IF(AF116=0,IF(Z116="n.r.","recurring not reviewed; ","recurring below 75% or not disclosed; "),"")&amp;IF(AM116&lt;$D$40,"traits "&amp;AM116&amp;" of 5",""))</f>
        <v>Fail: TEV outside range; price n.a. of 52-week high; recurring below 75% or not disclosed; </v>
      </c>
    </row>
    <row r="117">
      <c r="E117" s="35"/>
      <c r="F117" s="36"/>
      <c r="G117" s="36"/>
      <c r="H117" t="str" s="25">
        <f>IF(N(G117)&gt;0,F117/G117-1,"n.a.")</f>
        <v>n.a.</v>
      </c>
      <c r="I117" s="36"/>
      <c r="J117" s="36"/>
      <c r="K117" s="36"/>
      <c r="L117" s="24">
        <f>SUM(I117:K117)</f>
        <v>0</v>
      </c>
      <c r="M117" t="str" s="25">
        <f>IF(F117&gt;0,L117/F117,"n.a.")</f>
        <v>n.a.</v>
      </c>
      <c r="N117" s="24"/>
      <c r="O117" s="24"/>
      <c r="P117" s="36"/>
      <c r="Q117" s="36"/>
      <c r="R117" s="24">
        <f>SUM(N117:P117)-Q117</f>
        <v>0</v>
      </c>
      <c r="S117" t="str" s="26">
        <f>IF(L117&gt;0,R117/L117,"NM")</f>
        <v>NM</v>
      </c>
      <c r="T117" s="36"/>
      <c r="U117" t="str" s="24">
        <f>IF(N(T117)&gt;0,T117+R117,"n.a.")</f>
        <v>n.a.</v>
      </c>
      <c r="V117" s="37"/>
      <c r="W117" s="37"/>
      <c r="X117" s="35"/>
      <c r="Y117" t="str" s="25">
        <f>IF(N(W117)&gt;0,V117/W117,"n.a.")</f>
        <v>n.a.</v>
      </c>
      <c r="Z117" s="25"/>
      <c r="AA117" s="51"/>
      <c r="AB117" s="25"/>
      <c r="AC117" s="51"/>
      <c r="AD117" s="28"/>
      <c r="AE117" s="17">
        <f>IF(AND(ISNUMBER(U117),N(U117)&gt;=$D$31,N(U117)&lt;=$D$32),1,0)</f>
        <v>0</v>
      </c>
      <c r="AF117" s="17">
        <f>IF(AND(ISNUMBER(Z117),N(Z117)&gt;=$D$33),1,0)</f>
        <v>0</v>
      </c>
      <c r="AG117" s="17">
        <f>IF(AND(ISNUMBER(Y117),N(Y117)&lt;=$D$34),1,0)</f>
        <v>0</v>
      </c>
      <c r="AH117" s="17">
        <f>IF(AND(ISNUMBER(H117),N(H117)&gt;=$D$35),1,0)</f>
        <v>0</v>
      </c>
      <c r="AI117" s="17">
        <f>IF(AND(ISNUMBER(M117),N(M117)&gt;=$D$36),1,0)</f>
        <v>0</v>
      </c>
      <c r="AJ117" s="17">
        <f>IF(AND(ISNUMBER(S117),N(S117)&lt;=$D$37),1,0)</f>
        <v>0</v>
      </c>
      <c r="AK117" s="17">
        <f>IF(N(AB117)&gt;=$D$38,1,0)</f>
        <v>1</v>
      </c>
      <c r="AL117" s="17">
        <f>IF(N(AD117)&gt;0,1,0)</f>
        <v>0</v>
      </c>
      <c r="AM117" s="17">
        <f>SUM(AH117:AL117)</f>
        <v>1</v>
      </c>
      <c r="AN117" t="str" s="16">
        <f>IF(AND(AE117=1,AF117=1,AG117=1,AM117&gt;=$D$40),"Pass","Fail")</f>
        <v>Fail</v>
      </c>
      <c r="AO117" t="str" s="51">
        <f>IF(AN117="Pass","Pass: "&amp;AM117&amp;" of 5 traits; "&amp;TEXT(Y117,"0%")&amp;" of 52-week high"&amp;IF(AK117=1,"; "&amp;AA117,"")&amp;IF(AL117=1,"; "&amp;AC117,""),"Fail: "&amp;IF(AE117=0,"TEV outside range; ","")&amp;IF(AG117=0,"price "&amp;IF(ISNUMBER(Y117),TEXT(Y117,"0%"),"n.a.")&amp;" of 52-week high; ","")&amp;IF(AF117=0,IF(Z117="n.r.","recurring not reviewed; ","recurring below 75% or not disclosed; "),"")&amp;IF(AM117&lt;$D$40,"traits "&amp;AM117&amp;" of 5",""))</f>
        <v>Fail: TEV outside range; price n.a. of 52-week high; recurring below 75% or not disclosed; </v>
      </c>
    </row>
    <row r="118">
      <c r="E118" s="35"/>
      <c r="F118" s="36"/>
      <c r="G118" s="36"/>
      <c r="H118" t="str" s="25">
        <f>IF(N(G118)&gt;0,F118/G118-1,"n.a.")</f>
        <v>n.a.</v>
      </c>
      <c r="I118" s="36"/>
      <c r="J118" s="36"/>
      <c r="K118" s="36"/>
      <c r="L118" s="24">
        <f>SUM(I118:K118)</f>
        <v>0</v>
      </c>
      <c r="M118" t="str" s="25">
        <f>IF(F118&gt;0,L118/F118,"n.a.")</f>
        <v>n.a.</v>
      </c>
      <c r="N118" s="36"/>
      <c r="O118" s="36"/>
      <c r="P118" s="24"/>
      <c r="Q118" s="36"/>
      <c r="R118" s="24">
        <f>SUM(N118:P118)-Q118</f>
        <v>0</v>
      </c>
      <c r="S118" t="str" s="26">
        <f>IF(L118&gt;0,R118/L118,"NM")</f>
        <v>NM</v>
      </c>
      <c r="T118" s="36"/>
      <c r="U118" t="str" s="24">
        <f>IF(N(T118)&gt;0,T118+R118,"n.a.")</f>
        <v>n.a.</v>
      </c>
      <c r="V118" s="37"/>
      <c r="W118" s="37"/>
      <c r="X118" s="35"/>
      <c r="Y118" t="str" s="25">
        <f>IF(N(W118)&gt;0,V118/W118,"n.a.")</f>
        <v>n.a.</v>
      </c>
      <c r="Z118" s="25"/>
      <c r="AA118" s="51"/>
      <c r="AB118" s="25"/>
      <c r="AC118" s="51"/>
      <c r="AD118" s="28"/>
      <c r="AE118" s="17">
        <f>IF(AND(ISNUMBER(U118),N(U118)&gt;=$D$31,N(U118)&lt;=$D$32),1,0)</f>
        <v>0</v>
      </c>
      <c r="AF118" s="17">
        <f>IF(AND(ISNUMBER(Z118),N(Z118)&gt;=$D$33),1,0)</f>
        <v>0</v>
      </c>
      <c r="AG118" s="17">
        <f>IF(AND(ISNUMBER(Y118),N(Y118)&lt;=$D$34),1,0)</f>
        <v>0</v>
      </c>
      <c r="AH118" s="17">
        <f>IF(AND(ISNUMBER(H118),N(H118)&gt;=$D$35),1,0)</f>
        <v>0</v>
      </c>
      <c r="AI118" s="17">
        <f>IF(AND(ISNUMBER(M118),N(M118)&gt;=$D$36),1,0)</f>
        <v>0</v>
      </c>
      <c r="AJ118" s="17">
        <f>IF(AND(ISNUMBER(S118),N(S118)&lt;=$D$37),1,0)</f>
        <v>0</v>
      </c>
      <c r="AK118" s="17">
        <f>IF(N(AB118)&gt;=$D$38,1,0)</f>
        <v>1</v>
      </c>
      <c r="AL118" s="17">
        <f>IF(N(AD118)&gt;0,1,0)</f>
        <v>0</v>
      </c>
      <c r="AM118" s="17">
        <f>SUM(AH118:AL118)</f>
        <v>1</v>
      </c>
      <c r="AN118" t="str" s="16">
        <f>IF(AND(AE118=1,AF118=1,AG118=1,AM118&gt;=$D$40),"Pass","Fail")</f>
        <v>Fail</v>
      </c>
      <c r="AO118" t="str" s="51">
        <f>IF(AN118="Pass","Pass: "&amp;AM118&amp;" of 5 traits; "&amp;TEXT(Y118,"0%")&amp;" of 52-week high"&amp;IF(AK118=1,"; "&amp;AA118,"")&amp;IF(AL118=1,"; "&amp;AC118,""),"Fail: "&amp;IF(AE118=0,"TEV outside range; ","")&amp;IF(AG118=0,"price "&amp;IF(ISNUMBER(Y118),TEXT(Y118,"0%"),"n.a.")&amp;" of 52-week high; ","")&amp;IF(AF118=0,IF(Z118="n.r.","recurring not reviewed; ","recurring below 75% or not disclosed; "),"")&amp;IF(AM118&lt;$D$40,"traits "&amp;AM118&amp;" of 5",""))</f>
        <v>Fail: TEV outside range; price n.a. of 52-week high; recurring below 75% or not disclosed; </v>
      </c>
    </row>
    <row r="119">
      <c r="E119" s="35"/>
      <c r="F119" s="36"/>
      <c r="G119" s="36"/>
      <c r="H119" t="str" s="25">
        <f>IF(N(G119)&gt;0,F119/G119-1,"n.a.")</f>
        <v>n.a.</v>
      </c>
      <c r="I119" s="36"/>
      <c r="J119" s="36"/>
      <c r="K119" s="36"/>
      <c r="L119" s="24">
        <f>SUM(I119:K119)</f>
        <v>0</v>
      </c>
      <c r="M119" t="str" s="25">
        <f>IF(F119&gt;0,L119/F119,"n.a.")</f>
        <v>n.a.</v>
      </c>
      <c r="N119" s="36"/>
      <c r="O119" s="36"/>
      <c r="P119" s="24"/>
      <c r="Q119" s="36"/>
      <c r="R119" s="24">
        <f>SUM(N119:P119)-Q119</f>
        <v>0</v>
      </c>
      <c r="S119" t="str" s="26">
        <f>IF(L119&gt;0,R119/L119,"NM")</f>
        <v>NM</v>
      </c>
      <c r="T119" s="36"/>
      <c r="U119" t="str" s="24">
        <f>IF(N(T119)&gt;0,T119+R119,"n.a.")</f>
        <v>n.a.</v>
      </c>
      <c r="V119" s="37"/>
      <c r="W119" s="37"/>
      <c r="X119" s="35"/>
      <c r="Y119" t="str" s="25">
        <f>IF(N(W119)&gt;0,V119/W119,"n.a.")</f>
        <v>n.a.</v>
      </c>
      <c r="Z119" s="25"/>
      <c r="AA119" s="51"/>
      <c r="AB119" s="25"/>
      <c r="AC119" s="51"/>
      <c r="AD119" s="28"/>
      <c r="AE119" s="17">
        <f>IF(AND(ISNUMBER(U119),N(U119)&gt;=$D$31,N(U119)&lt;=$D$32),1,0)</f>
        <v>0</v>
      </c>
      <c r="AF119" s="17">
        <f>IF(AND(ISNUMBER(Z119),N(Z119)&gt;=$D$33),1,0)</f>
        <v>0</v>
      </c>
      <c r="AG119" s="17">
        <f>IF(AND(ISNUMBER(Y119),N(Y119)&lt;=$D$34),1,0)</f>
        <v>0</v>
      </c>
      <c r="AH119" s="17">
        <f>IF(AND(ISNUMBER(H119),N(H119)&gt;=$D$35),1,0)</f>
        <v>0</v>
      </c>
      <c r="AI119" s="17">
        <f>IF(AND(ISNUMBER(M119),N(M119)&gt;=$D$36),1,0)</f>
        <v>0</v>
      </c>
      <c r="AJ119" s="17">
        <f>IF(AND(ISNUMBER(S119),N(S119)&lt;=$D$37),1,0)</f>
        <v>0</v>
      </c>
      <c r="AK119" s="17">
        <f>IF(N(AB119)&gt;=$D$38,1,0)</f>
        <v>1</v>
      </c>
      <c r="AL119" s="17">
        <f>IF(N(AD119)&gt;0,1,0)</f>
        <v>0</v>
      </c>
      <c r="AM119" s="17">
        <f>SUM(AH119:AL119)</f>
        <v>1</v>
      </c>
      <c r="AN119" t="str" s="16">
        <f>IF(AND(AE119=1,AF119=1,AG119=1,AM119&gt;=$D$40),"Pass","Fail")</f>
        <v>Fail</v>
      </c>
      <c r="AO119" t="str" s="51">
        <f>IF(AN119="Pass","Pass: "&amp;AM119&amp;" of 5 traits; "&amp;TEXT(Y119,"0%")&amp;" of 52-week high"&amp;IF(AK119=1,"; "&amp;AA119,"")&amp;IF(AL119=1,"; "&amp;AC119,""),"Fail: "&amp;IF(AE119=0,"TEV outside range; ","")&amp;IF(AG119=0,"price "&amp;IF(ISNUMBER(Y119),TEXT(Y119,"0%"),"n.a.")&amp;" of 52-week high; ","")&amp;IF(AF119=0,IF(Z119="n.r.","recurring not reviewed; ","recurring below 75% or not disclosed; "),"")&amp;IF(AM119&lt;$D$40,"traits "&amp;AM119&amp;" of 5",""))</f>
        <v>Fail: TEV outside range; price n.a. of 52-week high; recurring below 75% or not disclosed; </v>
      </c>
    </row>
    <row r="120">
      <c r="E120" s="35"/>
      <c r="F120" s="36"/>
      <c r="G120" s="36"/>
      <c r="H120" t="str" s="25">
        <f>IF(N(G120)&gt;0,F120/G120-1,"n.a.")</f>
        <v>n.a.</v>
      </c>
      <c r="I120" s="36"/>
      <c r="J120" s="36"/>
      <c r="K120" s="36"/>
      <c r="L120" s="24">
        <f>SUM(I120:K120)</f>
        <v>0</v>
      </c>
      <c r="M120" t="str" s="25">
        <f>IF(F120&gt;0,L120/F120,"n.a.")</f>
        <v>n.a.</v>
      </c>
      <c r="N120" s="24"/>
      <c r="O120" s="24"/>
      <c r="P120" s="24"/>
      <c r="Q120" s="36"/>
      <c r="R120" s="24">
        <f>SUM(N120:P120)-Q120</f>
        <v>0</v>
      </c>
      <c r="S120" t="str" s="26">
        <f>IF(L120&gt;0,R120/L120,"NM")</f>
        <v>NM</v>
      </c>
      <c r="T120" s="36"/>
      <c r="U120" t="str" s="24">
        <f>IF(N(T120)&gt;0,T120+R120,"n.a.")</f>
        <v>n.a.</v>
      </c>
      <c r="V120" s="37"/>
      <c r="W120" s="37"/>
      <c r="X120" s="35"/>
      <c r="Y120" t="str" s="25">
        <f>IF(N(W120)&gt;0,V120/W120,"n.a.")</f>
        <v>n.a.</v>
      </c>
      <c r="Z120" s="25"/>
      <c r="AA120" s="51"/>
      <c r="AB120" s="25"/>
      <c r="AC120" s="51"/>
      <c r="AD120" s="28"/>
      <c r="AE120" s="17">
        <f>IF(AND(ISNUMBER(U120),N(U120)&gt;=$D$31,N(U120)&lt;=$D$32),1,0)</f>
        <v>0</v>
      </c>
      <c r="AF120" s="17">
        <f>IF(AND(ISNUMBER(Z120),N(Z120)&gt;=$D$33),1,0)</f>
        <v>0</v>
      </c>
      <c r="AG120" s="17">
        <f>IF(AND(ISNUMBER(Y120),N(Y120)&lt;=$D$34),1,0)</f>
        <v>0</v>
      </c>
      <c r="AH120" s="17">
        <f>IF(AND(ISNUMBER(H120),N(H120)&gt;=$D$35),1,0)</f>
        <v>0</v>
      </c>
      <c r="AI120" s="17">
        <f>IF(AND(ISNUMBER(M120),N(M120)&gt;=$D$36),1,0)</f>
        <v>0</v>
      </c>
      <c r="AJ120" s="17">
        <f>IF(AND(ISNUMBER(S120),N(S120)&lt;=$D$37),1,0)</f>
        <v>0</v>
      </c>
      <c r="AK120" s="17">
        <f>IF(N(AB120)&gt;=$D$38,1,0)</f>
        <v>1</v>
      </c>
      <c r="AL120" s="17">
        <f>IF(N(AD120)&gt;0,1,0)</f>
        <v>0</v>
      </c>
      <c r="AM120" s="17">
        <f>SUM(AH120:AL120)</f>
        <v>1</v>
      </c>
      <c r="AN120" t="str" s="16">
        <f>IF(AND(AE120=1,AF120=1,AG120=1,AM120&gt;=$D$40),"Pass","Fail")</f>
        <v>Fail</v>
      </c>
      <c r="AO120" t="str" s="51">
        <f>IF(AN120="Pass","Pass: "&amp;AM120&amp;" of 5 traits; "&amp;TEXT(Y120,"0%")&amp;" of 52-week high"&amp;IF(AK120=1,"; "&amp;AA120,"")&amp;IF(AL120=1,"; "&amp;AC120,""),"Fail: "&amp;IF(AE120=0,"TEV outside range; ","")&amp;IF(AG120=0,"price "&amp;IF(ISNUMBER(Y120),TEXT(Y120,"0%"),"n.a.")&amp;" of 52-week high; ","")&amp;IF(AF120=0,IF(Z120="n.r.","recurring not reviewed; ","recurring below 75% or not disclosed; "),"")&amp;IF(AM120&lt;$D$40,"traits "&amp;AM120&amp;" of 5",""))</f>
        <v>Fail: TEV outside range; price n.a. of 52-week high; recurring below 75% or not disclosed; </v>
      </c>
    </row>
    <row r="121">
      <c r="E121" s="35"/>
      <c r="F121" s="36"/>
      <c r="G121" s="36"/>
      <c r="H121" t="str" s="25">
        <f>IF(N(G121)&gt;0,F121/G121-1,"n.a.")</f>
        <v>n.a.</v>
      </c>
      <c r="I121" s="36"/>
      <c r="J121" s="36"/>
      <c r="K121" s="36"/>
      <c r="L121" s="24">
        <f>SUM(I121:K121)</f>
        <v>0</v>
      </c>
      <c r="M121" t="str" s="25">
        <f>IF(F121&gt;0,L121/F121,"n.a.")</f>
        <v>n.a.</v>
      </c>
      <c r="N121" s="24"/>
      <c r="O121" s="24"/>
      <c r="P121" s="24"/>
      <c r="Q121" s="36"/>
      <c r="R121" s="24">
        <f>SUM(N121:P121)-Q121</f>
        <v>0</v>
      </c>
      <c r="S121" t="str" s="26">
        <f>IF(L121&gt;0,R121/L121,"NM")</f>
        <v>NM</v>
      </c>
      <c r="T121" s="24"/>
      <c r="U121" t="str" s="24">
        <f>IF(N(T121)&gt;0,T121+R121,"n.a.")</f>
        <v>n.a.</v>
      </c>
      <c r="V121" s="27"/>
      <c r="W121" s="37"/>
      <c r="X121" s="35"/>
      <c r="Y121" t="str" s="25">
        <f>IF(N(W121)&gt;0,V121/W121,"n.a.")</f>
        <v>n.a.</v>
      </c>
      <c r="Z121" s="25"/>
      <c r="AA121" s="51"/>
      <c r="AB121" s="25"/>
      <c r="AC121" s="51"/>
      <c r="AD121" s="28"/>
      <c r="AE121" s="17">
        <f>IF(AND(ISNUMBER(U121),N(U121)&gt;=$D$31,N(U121)&lt;=$D$32),1,0)</f>
        <v>0</v>
      </c>
      <c r="AF121" s="17">
        <f>IF(AND(ISNUMBER(Z121),N(Z121)&gt;=$D$33),1,0)</f>
        <v>0</v>
      </c>
      <c r="AG121" s="17">
        <f>IF(AND(ISNUMBER(Y121),N(Y121)&lt;=$D$34),1,0)</f>
        <v>0</v>
      </c>
      <c r="AH121" s="17">
        <f>IF(AND(ISNUMBER(H121),N(H121)&gt;=$D$35),1,0)</f>
        <v>0</v>
      </c>
      <c r="AI121" s="17">
        <f>IF(AND(ISNUMBER(M121),N(M121)&gt;=$D$36),1,0)</f>
        <v>0</v>
      </c>
      <c r="AJ121" s="17">
        <f>IF(AND(ISNUMBER(S121),N(S121)&lt;=$D$37),1,0)</f>
        <v>0</v>
      </c>
      <c r="AK121" s="17">
        <f>IF(N(AB121)&gt;=$D$38,1,0)</f>
        <v>1</v>
      </c>
      <c r="AL121" s="17">
        <f>IF(N(AD121)&gt;0,1,0)</f>
        <v>0</v>
      </c>
      <c r="AM121" s="17">
        <f>SUM(AH121:AL121)</f>
        <v>1</v>
      </c>
      <c r="AN121" t="str" s="16">
        <f>IF(AND(AE121=1,AF121=1,AG121=1,AM121&gt;=$D$40),"Pass","Fail")</f>
        <v>Fail</v>
      </c>
      <c r="AO121" t="str" s="51">
        <f>IF(AN121="Pass","Pass: "&amp;AM121&amp;" of 5 traits; "&amp;TEXT(Y121,"0%")&amp;" of 52-week high"&amp;IF(AK121=1,"; "&amp;AA121,"")&amp;IF(AL121=1,"; "&amp;AC121,""),"Fail: "&amp;IF(AE121=0,"TEV outside range; ","")&amp;IF(AG121=0,"price "&amp;IF(ISNUMBER(Y121),TEXT(Y121,"0%"),"n.a.")&amp;" of 52-week high; ","")&amp;IF(AF121=0,IF(Z121="n.r.","recurring not reviewed; ","recurring below 75% or not disclosed; "),"")&amp;IF(AM121&lt;$D$40,"traits "&amp;AM121&amp;" of 5",""))</f>
        <v>Fail: TEV outside range; price n.a. of 52-week high; recurring below 75% or not disclosed; </v>
      </c>
    </row>
    <row r="122">
      <c r="E122" s="35"/>
      <c r="F122" s="36"/>
      <c r="G122" s="36"/>
      <c r="H122" t="str" s="25">
        <f>IF(N(G122)&gt;0,F122/G122-1,"n.a.")</f>
        <v>n.a.</v>
      </c>
      <c r="I122" s="36"/>
      <c r="J122" s="36"/>
      <c r="K122" s="36"/>
      <c r="L122" s="24">
        <f>SUM(I122:K122)</f>
        <v>0</v>
      </c>
      <c r="M122" t="str" s="25">
        <f>IF(F122&gt;0,L122/F122,"n.a.")</f>
        <v>n.a.</v>
      </c>
      <c r="N122" s="36"/>
      <c r="O122" s="36"/>
      <c r="P122" s="24"/>
      <c r="Q122" s="36"/>
      <c r="R122" s="24">
        <f>SUM(N122:P122)-Q122</f>
        <v>0</v>
      </c>
      <c r="S122" t="str" s="26">
        <f>IF(L122&gt;0,R122/L122,"NM")</f>
        <v>NM</v>
      </c>
      <c r="T122" s="24"/>
      <c r="U122" t="str" s="24">
        <f>IF(N(T122)&gt;0,T122+R122,"n.a.")</f>
        <v>n.a.</v>
      </c>
      <c r="V122" s="27"/>
      <c r="W122" s="37"/>
      <c r="X122" s="35"/>
      <c r="Y122" t="str" s="25">
        <f>IF(N(W122)&gt;0,V122/W122,"n.a.")</f>
        <v>n.a.</v>
      </c>
      <c r="Z122" s="25"/>
      <c r="AA122" s="51"/>
      <c r="AB122" s="25"/>
      <c r="AC122" s="51"/>
      <c r="AD122" s="28"/>
      <c r="AE122" s="17">
        <f>IF(AND(ISNUMBER(U122),N(U122)&gt;=$D$31,N(U122)&lt;=$D$32),1,0)</f>
        <v>0</v>
      </c>
      <c r="AF122" s="17">
        <f>IF(AND(ISNUMBER(Z122),N(Z122)&gt;=$D$33),1,0)</f>
        <v>0</v>
      </c>
      <c r="AG122" s="17">
        <f>IF(AND(ISNUMBER(Y122),N(Y122)&lt;=$D$34),1,0)</f>
        <v>0</v>
      </c>
      <c r="AH122" s="17">
        <f>IF(AND(ISNUMBER(H122),N(H122)&gt;=$D$35),1,0)</f>
        <v>0</v>
      </c>
      <c r="AI122" s="17">
        <f>IF(AND(ISNUMBER(M122),N(M122)&gt;=$D$36),1,0)</f>
        <v>0</v>
      </c>
      <c r="AJ122" s="17">
        <f>IF(AND(ISNUMBER(S122),N(S122)&lt;=$D$37),1,0)</f>
        <v>0</v>
      </c>
      <c r="AK122" s="17">
        <f>IF(N(AB122)&gt;=$D$38,1,0)</f>
        <v>1</v>
      </c>
      <c r="AL122" s="17">
        <f>IF(N(AD122)&gt;0,1,0)</f>
        <v>0</v>
      </c>
      <c r="AM122" s="17">
        <f>SUM(AH122:AL122)</f>
        <v>1</v>
      </c>
      <c r="AN122" t="str" s="16">
        <f>IF(AND(AE122=1,AF122=1,AG122=1,AM122&gt;=$D$40),"Pass","Fail")</f>
        <v>Fail</v>
      </c>
      <c r="AO122" t="str" s="51">
        <f>IF(AN122="Pass","Pass: "&amp;AM122&amp;" of 5 traits; "&amp;TEXT(Y122,"0%")&amp;" of 52-week high"&amp;IF(AK122=1,"; "&amp;AA122,"")&amp;IF(AL122=1,"; "&amp;AC122,""),"Fail: "&amp;IF(AE122=0,"TEV outside range; ","")&amp;IF(AG122=0,"price "&amp;IF(ISNUMBER(Y122),TEXT(Y122,"0%"),"n.a.")&amp;" of 52-week high; ","")&amp;IF(AF122=0,IF(Z122="n.r.","recurring not reviewed; ","recurring below 75% or not disclosed; "),"")&amp;IF(AM122&lt;$D$40,"traits "&amp;AM122&amp;" of 5",""))</f>
        <v>Fail: TEV outside range; price n.a. of 52-week high; recurring below 75% or not disclosed; </v>
      </c>
    </row>
    <row r="125">
      <c r="B125" t="s" s="5">
        <v>354</v>
      </c>
      <c r="C125" s="5"/>
      <c r="D125" s="5"/>
      <c r="E125" s="5"/>
      <c r="F125" s="5"/>
      <c r="G125" s="5"/>
      <c r="H125" s="5"/>
      <c r="I125" s="5"/>
      <c r="J125" s="5"/>
      <c r="K125" s="5"/>
    </row>
    <row r="126">
      <c r="B126" t="s" s="6">
        <v>58</v>
      </c>
      <c r="C126" t="s" s="6">
        <v>355</v>
      </c>
      <c r="D126" t="s" s="7">
        <v>372</v>
      </c>
      <c r="E126" t="s" s="7">
        <v>373</v>
      </c>
      <c r="F126" t="s" s="7">
        <v>374</v>
      </c>
      <c r="G126" t="s" s="7">
        <v>375</v>
      </c>
      <c r="H126" t="s" s="7">
        <v>376</v>
      </c>
      <c r="I126" t="s" s="7">
        <v>377</v>
      </c>
      <c r="J126" t="s" s="7">
        <v>378</v>
      </c>
      <c r="K126" t="s" s="7">
        <v>386</v>
      </c>
    </row>
    <row r="127">
      <c r="B127" s="51"/>
      <c r="C127" s="51"/>
      <c r="D127" s="40"/>
      <c r="E127" s="23"/>
      <c r="F127" s="23"/>
      <c r="G127" s="40"/>
      <c r="H127" s="10"/>
      <c r="I127" s="10"/>
      <c r="J127" s="51"/>
      <c r="K127" t="e" s="19">
        <f>IF(COUNT(H127:I127)&gt;0,SUM(H127:I127),IF(COUNT(D127:E127)&gt;0,SUM(D127:E127)/G127,(G127-F127)/G127))</f>
        <v>#DIV/0!</v>
      </c>
    </row>
    <row r="128">
      <c r="B128" s="51"/>
      <c r="C128" s="51"/>
      <c r="D128" s="23"/>
      <c r="E128" s="23"/>
      <c r="F128" s="23"/>
      <c r="G128" s="23"/>
      <c r="H128" s="32"/>
      <c r="I128" s="10"/>
      <c r="J128" s="51"/>
      <c r="K128" t="e" s="19">
        <f>IF(COUNT(H128:I128)&gt;0,SUM(H128:I128),IF(COUNT(D128:E128)&gt;0,SUM(D128:E128)/G128,(G128-F128)/G128))</f>
        <v>#DIV/0!</v>
      </c>
    </row>
    <row r="129">
      <c r="B129" s="51"/>
      <c r="C129" s="51"/>
      <c r="D129" s="23"/>
      <c r="E129" s="23"/>
      <c r="F129" s="23"/>
      <c r="G129" s="23"/>
      <c r="H129" s="32"/>
      <c r="I129" s="32"/>
      <c r="J129" s="51"/>
      <c r="K129" t="e" s="19">
        <f>IF(COUNT(H129:I129)&gt;0,SUM(H129:I129),IF(COUNT(D129:E129)&gt;0,SUM(D129:E129)/G129,(G129-F129)/G129))</f>
        <v>#DIV/0!</v>
      </c>
    </row>
    <row r="130">
      <c r="B130" s="51"/>
      <c r="C130" s="51"/>
      <c r="D130" s="40"/>
      <c r="E130" s="23"/>
      <c r="F130" s="23"/>
      <c r="G130" s="40"/>
      <c r="H130" s="10"/>
      <c r="I130" s="10"/>
      <c r="J130" s="51"/>
      <c r="K130" t="e" s="19">
        <f>IF(COUNT(H130:I130)&gt;0,SUM(H130:I130),IF(COUNT(D130:E130)&gt;0,SUM(D130:E130)/G130,(G130-F130)/G130))</f>
        <v>#DIV/0!</v>
      </c>
    </row>
    <row r="131">
      <c r="B131" s="51"/>
      <c r="C131" s="51"/>
      <c r="D131" s="40"/>
      <c r="E131" s="23"/>
      <c r="F131" s="23"/>
      <c r="G131" s="40"/>
      <c r="H131" s="10"/>
      <c r="I131" s="10"/>
      <c r="J131" s="51"/>
      <c r="K131" t="e" s="19">
        <f>IF(COUNT(H131:I131)&gt;0,SUM(H131:I131),IF(COUNT(D131:E131)&gt;0,SUM(D131:E131)/G131,(G131-F131)/G131))</f>
        <v>#DIV/0!</v>
      </c>
    </row>
    <row r="132">
      <c r="B132" s="51"/>
      <c r="C132" s="51"/>
      <c r="D132" s="40"/>
      <c r="E132" s="40"/>
      <c r="F132" s="23"/>
      <c r="G132" s="40"/>
      <c r="H132" s="10"/>
      <c r="I132" s="10"/>
      <c r="J132" s="51"/>
      <c r="K132" t="e" s="19">
        <f>IF(COUNT(H132:I132)&gt;0,SUM(H132:I132),IF(COUNT(D132:E132)&gt;0,SUM(D132:E132)/G132,(G132-F132)/G132))</f>
        <v>#DIV/0!</v>
      </c>
    </row>
    <row r="133">
      <c r="B133" s="51"/>
      <c r="C133" s="51"/>
      <c r="D133" s="40"/>
      <c r="E133" s="23"/>
      <c r="F133" s="23"/>
      <c r="G133" s="40"/>
      <c r="H133" s="10"/>
      <c r="I133" s="10"/>
      <c r="J133" s="51"/>
      <c r="K133" t="e" s="19">
        <f>IF(COUNT(H133:I133)&gt;0,SUM(H133:I133),IF(COUNT(D133:E133)&gt;0,SUM(D133:E133)/G133,(G133-F133)/G133))</f>
        <v>#DIV/0!</v>
      </c>
    </row>
    <row r="134">
      <c r="B134" s="51"/>
      <c r="C134" s="51"/>
      <c r="D134" s="23"/>
      <c r="E134" s="23"/>
      <c r="F134" s="23"/>
      <c r="G134" s="23"/>
      <c r="H134" s="127"/>
      <c r="I134" s="10"/>
      <c r="J134" s="51"/>
      <c r="K134" t="e" s="19">
        <f>IF(COUNT(H134:I134)&gt;0,SUM(H134:I134),IF(COUNT(D134:E134)&gt;0,SUM(D134:E134)/G134,(G134-F134)/G134))</f>
        <v>#DIV/0!</v>
      </c>
    </row>
    <row r="135">
      <c r="B135" s="51"/>
      <c r="C135" s="51"/>
      <c r="D135" s="23"/>
      <c r="E135" s="23"/>
      <c r="F135" s="40"/>
      <c r="G135" s="40"/>
      <c r="H135" s="10"/>
      <c r="I135" s="10"/>
      <c r="J135" s="51"/>
      <c r="K135" t="e" s="19">
        <f>IF(COUNT(H135:I135)&gt;0,SUM(H135:I135),IF(COUNT(D135:E135)&gt;0,SUM(D135:E135)/G135,(G135-F135)/G135))</f>
        <v>#DIV/0!</v>
      </c>
    </row>
    <row r="136">
      <c r="B136" s="51"/>
      <c r="C136" s="51"/>
      <c r="D136" s="23"/>
      <c r="E136" s="23"/>
      <c r="F136" s="23"/>
      <c r="G136" s="23"/>
      <c r="H136" s="32"/>
      <c r="I136" s="10"/>
      <c r="J136" s="51"/>
      <c r="K136" t="e" s="19">
        <f>IF(COUNT(H136:I136)&gt;0,SUM(H136:I136),IF(COUNT(D136:E136)&gt;0,SUM(D136:E136)/G136,(G136-F136)/G136))</f>
        <v>#DIV/0!</v>
      </c>
    </row>
    <row r="137">
      <c r="B137" s="51"/>
      <c r="C137" s="51"/>
      <c r="D137" s="40"/>
      <c r="E137" s="23"/>
      <c r="F137" s="23"/>
      <c r="G137" s="40"/>
      <c r="H137" s="10"/>
      <c r="I137" s="10"/>
      <c r="J137" s="51"/>
      <c r="K137" t="e" s="19">
        <f>IF(COUNT(H137:I137)&gt;0,SUM(H137:I137),IF(COUNT(D137:E137)&gt;0,SUM(D137:E137)/G137,(G137-F137)/G137))</f>
        <v>#DIV/0!</v>
      </c>
    </row>
    <row r="138">
      <c r="B138" s="51"/>
      <c r="C138" s="51"/>
      <c r="D138" s="23"/>
      <c r="E138" s="23"/>
      <c r="F138" s="23"/>
      <c r="G138" s="23"/>
      <c r="H138" s="32"/>
      <c r="I138" s="10"/>
      <c r="J138" s="51"/>
      <c r="K138" t="e" s="19">
        <f>IF(COUNT(H138:I138)&gt;0,SUM(H138:I138),IF(COUNT(D138:E138)&gt;0,SUM(D138:E138)/G138,(G138-F138)/G138))</f>
        <v>#DIV/0!</v>
      </c>
    </row>
    <row r="139">
      <c r="B139" s="51"/>
      <c r="C139" s="51"/>
      <c r="D139" s="23"/>
      <c r="E139" s="23"/>
      <c r="F139" s="23"/>
      <c r="G139" s="23"/>
      <c r="H139" s="32"/>
      <c r="I139" s="10"/>
      <c r="J139" s="51"/>
      <c r="K139" t="e" s="19">
        <f>IF(COUNT(H139:I139)&gt;0,SUM(H139:I139),IF(COUNT(D139:E139)&gt;0,SUM(D139:E139)/G139,(G139-F139)/G139))</f>
        <v>#DIV/0!</v>
      </c>
    </row>
    <row r="140">
      <c r="B140" s="51"/>
      <c r="C140" s="51"/>
      <c r="D140" s="23"/>
      <c r="E140" s="23"/>
      <c r="F140" s="23"/>
      <c r="G140" s="23"/>
      <c r="H140" s="32"/>
      <c r="I140" s="10"/>
      <c r="J140" s="51"/>
      <c r="K140" t="e" s="19">
        <f>IF(COUNT(H140:I140)&gt;0,SUM(H140:I140),IF(COUNT(D140:E140)&gt;0,SUM(D140:E140)/G140,(G140-F140)/G140))</f>
        <v>#DIV/0!</v>
      </c>
    </row>
    <row r="141">
      <c r="B141" s="51"/>
      <c r="C141" s="51"/>
      <c r="D141" s="40"/>
      <c r="E141" s="23"/>
      <c r="F141" s="23"/>
      <c r="G141" s="40"/>
      <c r="H141" s="10"/>
      <c r="I141" s="10"/>
      <c r="J141" s="51"/>
      <c r="K141" t="e" s="19">
        <f>IF(COUNT(H141:I141)&gt;0,SUM(H141:I141),IF(COUNT(D141:E141)&gt;0,SUM(D141:E141)/G141,(G141-F141)/G141))</f>
        <v>#DIV/0!</v>
      </c>
    </row>
    <row r="142">
      <c r="B142" s="51"/>
      <c r="C142" s="51"/>
      <c r="D142" s="23"/>
      <c r="E142" s="23"/>
      <c r="F142" s="40"/>
      <c r="G142" s="40"/>
      <c r="H142" s="10"/>
      <c r="I142" s="10"/>
      <c r="J142" s="51"/>
      <c r="K142" t="e" s="19">
        <f>IF(COUNT(H142:I142)&gt;0,SUM(H142:I142),IF(COUNT(D142:E142)&gt;0,SUM(D142:E142)/G142,(G142-F142)/G142))</f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21"/>
  <sheetViews>
    <sheetView showGridLines="0" workbookViewId="0">
      <pane xSplit="3" topLeftCell="D1" activePane="topRight" state="frozen"/>
      <selection pane="topRight" activeCell="A1" sqref="A1"/>
    </sheetView>
  </sheetViews>
  <cols>
    <col min="1" max="1" width="2.21875" customWidth="1"/>
    <col min="2" max="2" width="44" customWidth="1"/>
    <col min="3" max="3" width="8" customWidth="1"/>
    <col min="4" max="4" width="10" customWidth="1"/>
    <col min="5" max="5" width="15" customWidth="1"/>
    <col min="6" max="6" width="10" customWidth="1"/>
    <col min="7" max="7" width="62" customWidth="1"/>
    <col min="8" max="8" width="10" customWidth="1"/>
    <col min="9" max="9" width="12" customWidth="1"/>
    <col min="10" max="10" width="70" customWidth="1"/>
    <col min="11" max="11" width="10" customWidth="1"/>
    <col min="12" max="12" width="62" customWidth="1"/>
    <col min="13" max="13" width="12" customWidth="1"/>
    <col min="14" max="14" width="52" customWidth="1"/>
    <col min="15" max="15" width="12" customWidth="1"/>
    <col min="16" max="16" width="72" customWidth="1"/>
    <col min="17" max="17" width="12" customWidth="1"/>
    <col min="18" max="18" width="13" customWidth="1"/>
    <col min="19" max="19" width="10" customWidth="1"/>
  </cols>
  <sheetData>
    <row r="2">
      <c r="B2" t="s" s="2">
        <v>394</v>
      </c>
    </row>
    <row r="3">
      <c r="B3" t="s" s="4">
        <v>395</v>
      </c>
    </row>
    <row r="5">
      <c r="B5" t="s" s="5">
        <v>396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>
      <c r="B6" t="s" s="6">
        <v>58</v>
      </c>
      <c r="C6" t="s" s="6">
        <v>136</v>
      </c>
      <c r="D6" t="s" s="7">
        <v>351</v>
      </c>
      <c r="E6" t="s" s="7">
        <v>300</v>
      </c>
      <c r="F6" t="s" s="7">
        <v>398</v>
      </c>
      <c r="G6" t="s" s="6">
        <v>399</v>
      </c>
      <c r="H6" t="s" s="7">
        <v>413</v>
      </c>
      <c r="I6" t="s" s="7">
        <v>414</v>
      </c>
      <c r="J6" t="s" s="6">
        <v>415</v>
      </c>
      <c r="K6" t="s" s="7">
        <v>413</v>
      </c>
      <c r="L6" t="s" s="6">
        <v>422</v>
      </c>
      <c r="M6" t="s" s="7">
        <v>414</v>
      </c>
      <c r="N6" t="s" s="6">
        <v>437</v>
      </c>
      <c r="O6" t="s" s="7">
        <v>414</v>
      </c>
      <c r="P6" t="s" s="6">
        <v>450</v>
      </c>
      <c r="Q6" t="s" s="7">
        <v>414</v>
      </c>
      <c r="R6" t="s" s="6">
        <v>460</v>
      </c>
      <c r="S6" t="s" s="6">
        <v>466</v>
      </c>
    </row>
    <row r="7">
      <c r="B7"/>
      <c r="D7" s="82">
        <f>Screen!AM46</f>
        <v>1</v>
      </c>
      <c r="E7" t="str" s="83">
        <f>Screen!Y46</f>
        <v>n.a.</v>
      </c>
      <c r="F7" t="str" s="73">
        <f>Screen!U46</f>
        <v>n.a.</v>
      </c>
      <c r="H7" s="32"/>
      <c r="I7" s="14"/>
      <c r="K7" s="32"/>
      <c r="M7" s="34"/>
      <c r="O7" s="34"/>
      <c r="Q7" s="34"/>
      <c r="S7"/>
    </row>
    <row r="8">
      <c r="B8"/>
      <c r="D8" s="82">
        <f>Screen!AM47</f>
        <v>1</v>
      </c>
      <c r="E8" t="str" s="83">
        <f>Screen!Y47</f>
        <v>n.a.</v>
      </c>
      <c r="F8" t="str" s="73">
        <f>Screen!U47</f>
        <v>n.a.</v>
      </c>
      <c r="H8" s="32"/>
      <c r="I8" s="14"/>
      <c r="K8" s="32"/>
      <c r="M8" s="34"/>
      <c r="O8" s="34"/>
      <c r="Q8" s="34"/>
      <c r="S8"/>
    </row>
    <row r="9">
      <c r="B9"/>
      <c r="D9" s="82">
        <f>Screen!AM48</f>
        <v>1</v>
      </c>
      <c r="E9" t="str" s="83">
        <f>Screen!Y48</f>
        <v>n.a.</v>
      </c>
      <c r="F9" t="str" s="73">
        <f>Screen!U48</f>
        <v>n.a.</v>
      </c>
      <c r="H9" s="32"/>
      <c r="I9" s="14"/>
      <c r="K9" s="10"/>
      <c r="M9" s="34"/>
      <c r="O9" s="34"/>
      <c r="Q9" s="34"/>
      <c r="S9"/>
    </row>
    <row r="10">
      <c r="B10"/>
      <c r="D10" s="82">
        <f>Screen!AM49</f>
        <v>1</v>
      </c>
      <c r="E10" t="str" s="83">
        <f>Screen!Y49</f>
        <v>n.a.</v>
      </c>
      <c r="F10" t="str" s="73">
        <f>Screen!U49</f>
        <v>n.a.</v>
      </c>
      <c r="H10" s="32"/>
      <c r="I10" s="34"/>
      <c r="K10" s="10"/>
      <c r="M10" s="34"/>
      <c r="O10" s="34"/>
      <c r="Q10" s="14"/>
      <c r="S10"/>
    </row>
    <row r="11">
      <c r="B11"/>
      <c r="D11" s="82">
        <f>Screen!AM50</f>
        <v>1</v>
      </c>
      <c r="E11" t="str" s="83">
        <f>Screen!Y50</f>
        <v>n.a.</v>
      </c>
      <c r="F11" t="str" s="73">
        <f>Screen!U50</f>
        <v>n.a.</v>
      </c>
      <c r="H11" s="32"/>
      <c r="I11" s="14"/>
      <c r="K11" s="10"/>
      <c r="M11" s="14"/>
      <c r="O11" s="34"/>
      <c r="Q11" s="34"/>
      <c r="S11"/>
    </row>
    <row r="12">
      <c r="B12"/>
      <c r="D12" s="82">
        <f>Screen!AM51</f>
        <v>1</v>
      </c>
      <c r="E12" t="str" s="83">
        <f>Screen!Y51</f>
        <v>n.a.</v>
      </c>
      <c r="F12" t="str" s="73">
        <f>Screen!U51</f>
        <v>n.a.</v>
      </c>
      <c r="H12" s="32"/>
      <c r="I12" s="34"/>
      <c r="K12" s="10"/>
      <c r="M12" s="34"/>
      <c r="O12" s="34"/>
      <c r="Q12" s="34"/>
      <c r="S12"/>
    </row>
    <row r="13">
      <c r="D13" s="82">
        <f>Screen!AM52</f>
        <v>1</v>
      </c>
      <c r="E13" t="str" s="83">
        <f>Screen!Y52</f>
        <v>n.a.</v>
      </c>
      <c r="F13" t="str" s="73">
        <f>Screen!U52</f>
        <v>n.a.</v>
      </c>
      <c r="H13" s="32"/>
      <c r="I13" s="14"/>
      <c r="K13" s="10"/>
      <c r="M13" s="34"/>
      <c r="O13" s="34"/>
      <c r="Q13" s="34"/>
    </row>
    <row r="14">
      <c r="D14" s="82">
        <f>Screen!AM53</f>
        <v>1</v>
      </c>
      <c r="E14" t="str" s="83">
        <f>Screen!Y53</f>
        <v>n.a.</v>
      </c>
      <c r="F14" t="str" s="73">
        <f>Screen!U53</f>
        <v>n.a.</v>
      </c>
      <c r="H14" s="32"/>
      <c r="I14" s="14"/>
      <c r="K14" s="10"/>
      <c r="M14" s="14"/>
      <c r="O14" s="34"/>
      <c r="Q14" s="14"/>
    </row>
    <row r="15">
      <c r="D15" s="82">
        <f>Screen!AM54</f>
        <v>1</v>
      </c>
      <c r="E15" t="str" s="83">
        <f>Screen!Y54</f>
        <v>n.a.</v>
      </c>
      <c r="F15" t="str" s="73">
        <f>Screen!U54</f>
        <v>n.a.</v>
      </c>
      <c r="H15" s="10"/>
      <c r="I15" s="14"/>
      <c r="K15" s="10"/>
      <c r="M15" s="34"/>
      <c r="O15" s="14"/>
      <c r="Q15" s="14"/>
    </row>
    <row r="16">
      <c r="D16" s="82">
        <f>Screen!AM55</f>
        <v>1</v>
      </c>
      <c r="E16" t="str" s="83">
        <f>Screen!Y55</f>
        <v>n.a.</v>
      </c>
      <c r="F16" t="str" s="73">
        <f>Screen!U55</f>
        <v>n.a.</v>
      </c>
      <c r="H16" s="10"/>
      <c r="I16" s="14"/>
      <c r="K16" s="10"/>
      <c r="M16" s="34"/>
      <c r="O16" s="14"/>
      <c r="Q16" s="14"/>
    </row>
    <row r="17">
      <c r="D17" s="82">
        <f>Screen!AM56</f>
        <v>1</v>
      </c>
      <c r="E17" t="str" s="83">
        <f>Screen!Y56</f>
        <v>n.a.</v>
      </c>
      <c r="F17" t="str" s="73">
        <f>Screen!U56</f>
        <v>n.a.</v>
      </c>
      <c r="H17" s="10"/>
      <c r="I17" s="14"/>
      <c r="K17" s="10"/>
      <c r="M17" s="34"/>
      <c r="O17" s="34"/>
      <c r="Q17" s="14"/>
    </row>
    <row r="18">
      <c r="D18" s="82">
        <f>Screen!AM57</f>
        <v>1</v>
      </c>
      <c r="E18" t="str" s="83">
        <f>Screen!Y57</f>
        <v>n.a.</v>
      </c>
      <c r="F18" t="str" s="73">
        <f>Screen!U57</f>
        <v>n.a.</v>
      </c>
      <c r="H18" s="10"/>
      <c r="I18" s="34"/>
      <c r="K18" s="10"/>
      <c r="M18" s="14"/>
      <c r="O18" s="34"/>
      <c r="Q18" s="34"/>
    </row>
    <row r="19">
      <c r="D19" s="82">
        <f>Screen!AM58</f>
        <v>1</v>
      </c>
      <c r="E19" t="str" s="83">
        <f>Screen!Y58</f>
        <v>n.a.</v>
      </c>
      <c r="F19" t="str" s="73">
        <f>Screen!U58</f>
        <v>n.a.</v>
      </c>
      <c r="H19" s="10"/>
      <c r="I19" s="34"/>
      <c r="K19" s="10"/>
      <c r="M19" s="34"/>
      <c r="O19" s="34"/>
      <c r="Q19" s="14"/>
    </row>
    <row r="20">
      <c r="D20" s="82">
        <f>Screen!AM59</f>
        <v>1</v>
      </c>
      <c r="E20" t="str" s="83">
        <f>Screen!Y59</f>
        <v>n.a.</v>
      </c>
      <c r="F20" t="str" s="73">
        <f>Screen!U59</f>
        <v>n.a.</v>
      </c>
      <c r="H20" s="32"/>
      <c r="I20" s="14"/>
      <c r="K20" s="10"/>
      <c r="M20" s="34"/>
      <c r="O20" s="34"/>
      <c r="Q20" s="14"/>
    </row>
    <row r="21">
      <c r="B21" s="117"/>
      <c r="C21" s="117"/>
      <c r="D21" s="118">
        <f>Screen!AM60</f>
        <v>1</v>
      </c>
      <c r="E21" t="str" s="119">
        <f>Screen!Y60</f>
        <v>n.a.</v>
      </c>
      <c r="F21" t="str" s="120">
        <f>Screen!U60</f>
        <v>n.a.</v>
      </c>
      <c r="G21" s="117"/>
      <c r="H21" s="121"/>
      <c r="I21" s="122"/>
      <c r="J21" s="117"/>
      <c r="K21" s="123"/>
      <c r="L21" s="117"/>
      <c r="M21" s="122"/>
      <c r="N21" s="117"/>
      <c r="O21" s="122"/>
      <c r="P21" s="117"/>
      <c r="Q21" s="124"/>
      <c r="R21" s="117"/>
      <c r="S21" s="1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47"/>
  <sheetViews>
    <sheetView showGridLines="0" workbookViewId="0">
      <selection activeCell="A1" sqref="A1"/>
    </sheetView>
  </sheetViews>
  <cols>
    <col min="1" max="1" width="2.21875" customWidth="1"/>
    <col min="2" max="2" width="50" customWidth="1"/>
    <col min="3" max="3" width="18" customWidth="1"/>
    <col min="4" max="9" width="12" customWidth="1"/>
    <col min="10" max="10" width="3" customWidth="1"/>
    <col min="11" max="11" width="12" customWidth="1"/>
  </cols>
  <sheetData>
    <row r="2">
      <c r="B2" t="s" s="2">
        <v>731</v>
      </c>
    </row>
    <row r="3">
      <c r="B3" t="s" s="4">
        <v>732</v>
      </c>
    </row>
    <row r="5">
      <c r="B5" t="s" s="5">
        <v>755</v>
      </c>
      <c r="C5" s="5"/>
      <c r="D5" s="5"/>
      <c r="E5" s="5"/>
      <c r="F5" s="5"/>
      <c r="G5" s="5"/>
      <c r="H5" s="5"/>
      <c r="I5" s="5"/>
    </row>
    <row r="6">
      <c r="B6" t="s">
        <v>733</v>
      </c>
      <c r="C6" s="60"/>
      <c r="E6" s="4"/>
    </row>
    <row r="7">
      <c r="B7" t="s">
        <v>734</v>
      </c>
      <c r="C7" s="30"/>
      <c r="E7" s="4"/>
    </row>
    <row r="8">
      <c r="B8" t="s">
        <v>735</v>
      </c>
      <c r="C8" s="73">
        <f>Screen!C21</f>
        <v>0</v>
      </c>
      <c r="E8" s="4"/>
    </row>
    <row r="9">
      <c r="B9" t="s">
        <v>736</v>
      </c>
      <c r="C9" t="e" s="13">
        <f>C7/C8</f>
        <v>#DIV/0!</v>
      </c>
      <c r="E9" s="4"/>
    </row>
    <row r="10">
      <c r="B10" t="s">
        <v>476</v>
      </c>
      <c r="C10" s="32"/>
      <c r="E10" s="4"/>
    </row>
    <row r="11">
      <c r="B11" t="s">
        <v>477</v>
      </c>
      <c r="C11" s="10">
        <f>1-C10</f>
        <v>1</v>
      </c>
      <c r="E11" s="4"/>
    </row>
    <row r="12">
      <c r="B12" t="s">
        <v>737</v>
      </c>
      <c r="C12" s="74"/>
      <c r="E12" s="4"/>
    </row>
    <row r="13">
      <c r="B13" t="s">
        <v>738</v>
      </c>
      <c r="C13" s="74"/>
      <c r="E13" s="4"/>
    </row>
    <row r="14">
      <c r="B14" t="s">
        <v>480</v>
      </c>
      <c r="C14" s="52">
        <f>C12-C13</f>
        <v>0</v>
      </c>
      <c r="E14" s="4"/>
    </row>
    <row r="15">
      <c r="B15" t="s">
        <v>481</v>
      </c>
      <c r="C15" s="74"/>
      <c r="E15" s="4"/>
    </row>
    <row r="16">
      <c r="B16" t="s">
        <v>482</v>
      </c>
      <c r="C16" s="74"/>
      <c r="E16" s="4"/>
    </row>
    <row r="17">
      <c r="B17" t="s">
        <v>483</v>
      </c>
      <c r="C17" s="52">
        <f>MAX(C14,C15)+C16</f>
        <v>0</v>
      </c>
      <c r="E17" s="4"/>
    </row>
    <row r="18">
      <c r="B18" t="s">
        <v>484</v>
      </c>
      <c r="C18" s="75"/>
      <c r="E18" s="4"/>
    </row>
    <row r="19">
      <c r="B19" t="s">
        <v>485</v>
      </c>
      <c r="C19" s="79"/>
      <c r="E19" s="4"/>
    </row>
    <row r="20">
      <c r="B20" t="s">
        <v>739</v>
      </c>
      <c r="C20" s="30"/>
      <c r="E20" s="4"/>
    </row>
    <row r="21">
      <c r="B21" t="s">
        <v>740</v>
      </c>
      <c r="C21" s="30"/>
      <c r="E21" s="4"/>
    </row>
    <row r="22">
      <c r="B22" t="s">
        <v>488</v>
      </c>
      <c r="C22" t="e" s="52">
        <f>C20/C21</f>
        <v>#DIV/0!</v>
      </c>
      <c r="E22" s="4"/>
    </row>
    <row r="23">
      <c r="B23" t="s">
        <v>741</v>
      </c>
      <c r="C23" s="30"/>
      <c r="E23" s="4"/>
    </row>
    <row r="24">
      <c r="B24" t="s">
        <v>742</v>
      </c>
      <c r="C24" s="30"/>
      <c r="E24" s="4"/>
    </row>
    <row r="25">
      <c r="B25" t="s">
        <v>491</v>
      </c>
      <c r="C25" t="e" s="52">
        <f>C23/C24</f>
        <v>#DIV/0!</v>
      </c>
      <c r="E25" s="4"/>
    </row>
    <row r="26">
      <c r="B26" t="s">
        <v>492</v>
      </c>
      <c r="C26" s="75"/>
      <c r="E26" s="4"/>
    </row>
    <row r="27">
      <c r="B27" t="s">
        <v>493</v>
      </c>
      <c r="C27" s="75"/>
      <c r="E27" s="4"/>
    </row>
    <row r="28">
      <c r="B28" t="s">
        <v>494</v>
      </c>
      <c r="C28" s="80"/>
      <c r="E28" s="4"/>
    </row>
    <row r="29">
      <c r="B29" t="s">
        <v>495</v>
      </c>
      <c r="C29" s="60"/>
      <c r="E29" s="4"/>
    </row>
    <row r="30">
      <c r="B30" t="s">
        <v>496</v>
      </c>
      <c r="C30" s="60"/>
      <c r="E30" s="4"/>
    </row>
    <row r="31">
      <c r="B31" t="s">
        <v>497</v>
      </c>
      <c r="C31" s="60"/>
      <c r="E31" s="4"/>
    </row>
    <row r="32">
      <c r="B32" t="s">
        <v>498</v>
      </c>
      <c r="C32" s="60"/>
      <c r="E32" s="4"/>
    </row>
    <row r="33">
      <c r="B33" t="s">
        <v>499</v>
      </c>
      <c r="C33" s="81"/>
      <c r="E33" s="4"/>
    </row>
    <row r="34">
      <c r="B34" t="s">
        <v>500</v>
      </c>
      <c r="C34" s="42"/>
      <c r="E34" s="4"/>
    </row>
    <row r="37">
      <c r="B37" t="s" s="5">
        <v>586</v>
      </c>
      <c r="C37" s="5"/>
      <c r="D37" s="5"/>
      <c r="E37" s="5"/>
      <c r="F37" s="5"/>
      <c r="G37" s="5"/>
      <c r="H37" s="5"/>
      <c r="I37" s="5"/>
    </row>
    <row r="38">
      <c r="B38" t="s">
        <v>58</v>
      </c>
      <c r="D38" s="7"/>
      <c r="E38" s="7"/>
      <c r="F38" s="7"/>
      <c r="G38" s="7"/>
      <c r="H38" s="7"/>
      <c r="I38" s="7"/>
    </row>
    <row r="39">
      <c r="B39" t="s">
        <v>743</v>
      </c>
      <c r="D39" s="9">
        <f>C80</f>
        <v>0</v>
      </c>
      <c r="E39" s="9">
        <f>C142</f>
        <v>0</v>
      </c>
      <c r="F39" s="9">
        <f>C204</f>
        <v>0</v>
      </c>
      <c r="G39" s="9">
        <f>C266</f>
        <v>0</v>
      </c>
      <c r="H39" s="9">
        <f>C328</f>
        <v>0</v>
      </c>
      <c r="I39" s="9">
        <f>C390</f>
        <v>0</v>
      </c>
    </row>
    <row r="40">
      <c r="B40" t="s">
        <v>3</v>
      </c>
      <c r="D40" s="9">
        <f>C92</f>
        <v>0</v>
      </c>
      <c r="E40" s="9">
        <f>C154</f>
        <v>0</v>
      </c>
      <c r="F40" s="9">
        <f>C216</f>
        <v>0</v>
      </c>
      <c r="G40" s="9">
        <f>C278</f>
        <v>0</v>
      </c>
      <c r="H40" s="9">
        <f>C340</f>
        <v>0</v>
      </c>
      <c r="I40" s="9">
        <f>C402</f>
        <v>0</v>
      </c>
    </row>
    <row r="41">
      <c r="B41" t="s">
        <v>744</v>
      </c>
      <c r="D41" s="10">
        <f>$C$6</f>
        <v>0</v>
      </c>
      <c r="E41" s="10">
        <f>$C$6</f>
        <v>0</v>
      </c>
      <c r="F41" s="10">
        <f>$C$6</f>
        <v>0</v>
      </c>
      <c r="G41" s="10">
        <f>$C$6</f>
        <v>0</v>
      </c>
      <c r="H41" s="10">
        <f>$C$6</f>
        <v>0</v>
      </c>
      <c r="I41" s="10">
        <f>$C$6</f>
        <v>0</v>
      </c>
    </row>
    <row r="42">
      <c r="B42" t="s">
        <v>531</v>
      </c>
      <c r="D42" s="11">
        <f>C96</f>
        <v>0</v>
      </c>
      <c r="E42" s="11">
        <f>C158</f>
        <v>0</v>
      </c>
      <c r="F42" s="11">
        <f>C220</f>
        <v>0</v>
      </c>
      <c r="G42" s="11">
        <f>C282</f>
        <v>0</v>
      </c>
      <c r="H42" s="11">
        <f>C344</f>
        <v>0</v>
      </c>
      <c r="I42" s="11">
        <f>C406</f>
        <v>0</v>
      </c>
    </row>
    <row r="43">
      <c r="B43" t="s">
        <v>588</v>
      </c>
      <c r="D43" s="11">
        <f>C84</f>
        <v>0</v>
      </c>
      <c r="E43" s="11">
        <f>C146</f>
        <v>0</v>
      </c>
      <c r="F43" s="11">
        <f>C208</f>
        <v>0</v>
      </c>
      <c r="G43" s="11">
        <f>C270</f>
        <v>0</v>
      </c>
      <c r="H43" s="11">
        <f>C332</f>
        <v>0</v>
      </c>
      <c r="I43" s="11">
        <f>C394</f>
        <v>0</v>
      </c>
    </row>
    <row r="44">
      <c r="B44" t="s" s="1">
        <v>532</v>
      </c>
      <c r="C44" s="1"/>
      <c r="D44" t="e" s="54">
        <f>C97</f>
        <v>#DIV/0!</v>
      </c>
      <c r="E44" t="e" s="54">
        <f>C159</f>
        <v>#DIV/0!</v>
      </c>
      <c r="F44" t="e" s="54">
        <f>C221</f>
        <v>#DIV/0!</v>
      </c>
      <c r="G44" t="e" s="54">
        <f>C283</f>
        <v>#DIV/0!</v>
      </c>
      <c r="H44" t="e" s="54">
        <f>C345</f>
        <v>#DIV/0!</v>
      </c>
      <c r="I44" t="e" s="54">
        <f>C407</f>
        <v>#DIV/0!</v>
      </c>
    </row>
    <row r="45">
      <c r="B45" t="s" s="1">
        <v>538</v>
      </c>
      <c r="C45" s="1"/>
      <c r="D45" t="e" s="55">
        <f>C103</f>
        <v>#DIV/0!</v>
      </c>
      <c r="E45" t="e" s="55">
        <f>C165</f>
        <v>#DIV/0!</v>
      </c>
      <c r="F45" t="e" s="55">
        <f>C227</f>
        <v>#DIV/0!</v>
      </c>
      <c r="G45" t="e" s="55">
        <f>C289</f>
        <v>#DIV/0!</v>
      </c>
      <c r="H45" t="e" s="55">
        <f>C351</f>
        <v>#DIV/0!</v>
      </c>
      <c r="I45" t="e" s="55">
        <f>C413</f>
        <v>#DIV/0!</v>
      </c>
    </row>
    <row r="46">
      <c r="B46" t="s">
        <v>544</v>
      </c>
      <c r="D46" t="e" s="13">
        <f>C109</f>
        <v>#DIV/0!</v>
      </c>
      <c r="E46" t="e" s="13">
        <f>C171</f>
        <v>#DIV/0!</v>
      </c>
      <c r="F46" t="e" s="13">
        <f>C233</f>
        <v>#DIV/0!</v>
      </c>
      <c r="G46" t="e" s="13">
        <f>C295</f>
        <v>#DIV/0!</v>
      </c>
      <c r="H46" t="e" s="13">
        <f>C357</f>
        <v>#DIV/0!</v>
      </c>
      <c r="I46" t="e" s="13">
        <f>C419</f>
        <v>#DIV/0!</v>
      </c>
    </row>
    <row r="47">
      <c r="B47" t="s">
        <v>745</v>
      </c>
      <c r="D47" t="e" s="16">
        <f>C104</f>
        <v>#DIV/0!</v>
      </c>
      <c r="E47" t="e" s="16">
        <f>C166</f>
        <v>#DIV/0!</v>
      </c>
      <c r="F47" t="e" s="16">
        <f>C228</f>
        <v>#DIV/0!</v>
      </c>
      <c r="G47" t="e" s="16">
        <f>C290</f>
        <v>#DIV/0!</v>
      </c>
      <c r="H47" t="e" s="16">
        <f>C352</f>
        <v>#DIV/0!</v>
      </c>
      <c r="I47" t="e" s="16">
        <f>C414</f>
        <v>#DIV/0!</v>
      </c>
    </row>
    <row r="48">
      <c r="B48" t="s">
        <v>543</v>
      </c>
      <c r="D48" t="e" s="11">
        <f>C108</f>
        <v>#DIV/0!</v>
      </c>
      <c r="E48" t="e" s="11">
        <f>C170</f>
        <v>#DIV/0!</v>
      </c>
      <c r="F48" t="e" s="11">
        <f>C232</f>
        <v>#DIV/0!</v>
      </c>
      <c r="G48" t="e" s="11">
        <f>C294</f>
        <v>#DIV/0!</v>
      </c>
      <c r="H48" t="e" s="11">
        <f>C356</f>
        <v>#DIV/0!</v>
      </c>
      <c r="I48" t="e" s="11">
        <f>C418</f>
        <v>#DIV/0!</v>
      </c>
    </row>
    <row r="49">
      <c r="B49" t="s">
        <v>545</v>
      </c>
      <c r="D49" t="e" s="10">
        <f>C110</f>
        <v>#DIV/0!</v>
      </c>
      <c r="E49" t="e" s="10">
        <f>C172</f>
        <v>#DIV/0!</v>
      </c>
      <c r="F49" t="e" s="10">
        <f>C234</f>
        <v>#DIV/0!</v>
      </c>
      <c r="G49" t="e" s="10">
        <f>C296</f>
        <v>#DIV/0!</v>
      </c>
      <c r="H49" t="e" s="10">
        <f>C358</f>
        <v>#DIV/0!</v>
      </c>
      <c r="I49" t="e" s="10">
        <f>C420</f>
        <v>#DIV/0!</v>
      </c>
    </row>
    <row r="50">
      <c r="B50" t="s">
        <v>589</v>
      </c>
      <c r="D50" t="e" s="13">
        <f>E130</f>
        <v>#DIV/0!</v>
      </c>
      <c r="E50" t="e" s="13">
        <f>E192</f>
        <v>#DIV/0!</v>
      </c>
      <c r="F50" t="e" s="13">
        <f>E254</f>
        <v>#DIV/0!</v>
      </c>
      <c r="G50" t="e" s="13">
        <f>E316</f>
        <v>#DIV/0!</v>
      </c>
      <c r="H50" t="e" s="13">
        <f>E378</f>
        <v>#DIV/0!</v>
      </c>
      <c r="I50" t="e" s="13">
        <f>E440</f>
        <v>#DIV/0!</v>
      </c>
    </row>
    <row r="51">
      <c r="B51" t="s">
        <v>590</v>
      </c>
      <c r="D51" t="e" s="11">
        <f>C132</f>
        <v>#DIV/0!</v>
      </c>
      <c r="E51" t="e" s="11">
        <f>C194</f>
        <v>#DIV/0!</v>
      </c>
      <c r="F51" t="e" s="11">
        <f>C256</f>
        <v>#DIV/0!</v>
      </c>
      <c r="G51" t="e" s="11">
        <f>C318</f>
        <v>#DIV/0!</v>
      </c>
      <c r="H51" t="e" s="11">
        <f>C380</f>
        <v>#DIV/0!</v>
      </c>
      <c r="I51" t="e" s="11">
        <f>C442</f>
        <v>#DIV/0!</v>
      </c>
    </row>
    <row r="52">
      <c r="B52" t="s">
        <v>569</v>
      </c>
      <c r="D52" t="e" s="11">
        <f>C134</f>
        <v>#DIV/0!</v>
      </c>
      <c r="E52" t="e" s="11">
        <f>C196</f>
        <v>#DIV/0!</v>
      </c>
      <c r="F52" t="e" s="11">
        <f>C258</f>
        <v>#DIV/0!</v>
      </c>
      <c r="G52" t="e" s="11">
        <f>C320</f>
        <v>#DIV/0!</v>
      </c>
      <c r="H52" t="e" s="11">
        <f>C382</f>
        <v>#DIV/0!</v>
      </c>
      <c r="I52" t="e" s="11">
        <f>C444</f>
        <v>#DIV/0!</v>
      </c>
    </row>
    <row r="53">
      <c r="B53" t="s">
        <v>571</v>
      </c>
      <c r="D53" t="e" s="53">
        <f>C136</f>
        <v>#DIV/0!</v>
      </c>
      <c r="E53" t="e" s="53">
        <f>C198</f>
        <v>#DIV/0!</v>
      </c>
      <c r="F53" t="e" s="53">
        <f>C260</f>
        <v>#DIV/0!</v>
      </c>
      <c r="G53" t="e" s="53">
        <f>C322</f>
        <v>#DIV/0!</v>
      </c>
      <c r="H53" t="e" s="53">
        <f>C384</f>
        <v>#DIV/0!</v>
      </c>
      <c r="I53" t="e" s="53">
        <f>C446</f>
        <v>#DIV/0!</v>
      </c>
    </row>
    <row r="54">
      <c r="B54" t="s" s="56">
        <v>591</v>
      </c>
      <c r="C54" s="56"/>
      <c r="D54" t="e" s="57">
        <f>C137</f>
        <v>#DIV/0!</v>
      </c>
      <c r="E54" t="e" s="57">
        <f>C199</f>
        <v>#DIV/0!</v>
      </c>
      <c r="F54" t="e" s="57">
        <f>C261</f>
        <v>#DIV/0!</v>
      </c>
      <c r="G54" t="e" s="57">
        <f>C323</f>
        <v>#DIV/0!</v>
      </c>
      <c r="H54" t="e" s="57">
        <f>C385</f>
        <v>#DIV/0!</v>
      </c>
      <c r="I54" t="e" s="57">
        <f>C447</f>
        <v>#DIV/0!</v>
      </c>
    </row>
    <row r="55">
      <c r="B55" t="s" s="3">
        <v>595</v>
      </c>
      <c r="C55" s="3"/>
      <c r="D55" t="e" s="58">
        <f>((I115*Screen!U46/Screen!L46-I128)/C108)^(1/$C$34)-1</f>
        <v>#DIV/0!</v>
      </c>
      <c r="E55" t="e" s="58">
        <f>((I177*Screen!U47/Screen!L47-I190)/C170)^(1/$C$34)-1</f>
        <v>#DIV/0!</v>
      </c>
      <c r="F55" t="e" s="58">
        <f>((I239*Screen!U48/Screen!L48-I252)/C232)^(1/$C$34)-1</f>
        <v>#DIV/0!</v>
      </c>
      <c r="G55" t="e" s="58">
        <f>((I301*Screen!U49/Screen!L49-I314)/C294)^(1/$C$34)-1</f>
        <v>#DIV/0!</v>
      </c>
      <c r="H55" t="e" s="58">
        <f>((I363*Screen!U50/Screen!L50-I376)/C356)^(1/$C$34)-1</f>
        <v>#DIV/0!</v>
      </c>
      <c r="I55" t="e" s="58">
        <f>((I425*Screen!U51/Screen!L51-I438)/C418)^(1/$C$34)-1</f>
        <v>#DIV/0!</v>
      </c>
    </row>
    <row r="56">
      <c r="B56" t="s" s="5">
        <v>592</v>
      </c>
      <c r="C56" s="5"/>
      <c r="D56" s="5"/>
      <c r="E56" s="5"/>
      <c r="F56" s="5"/>
      <c r="G56" s="5"/>
      <c r="H56" s="5"/>
      <c r="I56" s="5"/>
    </row>
    <row r="57">
      <c r="B57" t="s" s="1">
        <v>593</v>
      </c>
      <c r="C57" t="s" s="7">
        <v>594</v>
      </c>
      <c r="D57" t="e" s="59">
        <f>D44</f>
        <v>#DIV/0!</v>
      </c>
      <c r="E57" t="e" s="59">
        <f>E44</f>
        <v>#DIV/0!</v>
      </c>
      <c r="F57" t="e" s="59">
        <f>F44</f>
        <v>#DIV/0!</v>
      </c>
      <c r="G57" t="e" s="59">
        <f>G44</f>
        <v>#DIV/0!</v>
      </c>
      <c r="H57" t="e" s="59">
        <f>H44</f>
        <v>#DIV/0!</v>
      </c>
      <c r="I57" t="e" s="59">
        <f>I44</f>
        <v>#DIV/0!</v>
      </c>
    </row>
    <row r="58">
      <c r="C58" s="60"/>
      <c r="D58" s="13">
        <f t="dataTable" ref="D58:I60" r1="C6"/>
        <v>31.217607362272776</v>
      </c>
      <c r="E58" s="13">
        <v>15.022660637140369</v>
      </c>
      <c r="F58" s="13">
        <v>16.63706863138104</v>
      </c>
      <c r="G58" s="13">
        <v>17.525059588859744</v>
      </c>
      <c r="H58" s="13">
        <v>10.626771890466653</v>
      </c>
      <c r="I58" s="13">
        <v>17.321516717589194</v>
      </c>
    </row>
    <row r="59">
      <c r="C59" s="60"/>
      <c r="D59" s="13">
        <v>31.73975005903591</v>
      </c>
      <c r="E59" s="13">
        <v>15.26630398285364</v>
      </c>
      <c r="F59" s="13">
        <v>16.936344183019703</v>
      </c>
      <c r="G59" s="13">
        <v>17.80399973604923</v>
      </c>
      <c r="H59" s="13">
        <v>10.777686026934921</v>
      </c>
      <c r="I59" s="13">
        <v>17.60441976538928</v>
      </c>
    </row>
    <row r="60">
      <c r="C60" s="60"/>
      <c r="D60" s="13">
        <v>32.261892755799046</v>
      </c>
      <c r="E60" s="13">
        <v>15.509947328566913</v>
      </c>
      <c r="F60" s="13">
        <v>17.235619734658364</v>
      </c>
      <c r="G60" s="13">
        <v>18.082939883238726</v>
      </c>
      <c r="H60" s="13">
        <v>10.92860016340319</v>
      </c>
      <c r="I60" s="13">
        <v>17.887322813189368</v>
      </c>
    </row>
    <row r="62">
      <c r="B62" t="s" s="1">
        <v>538</v>
      </c>
      <c r="C62" t="s" s="7">
        <v>594</v>
      </c>
      <c r="D62" t="e" s="61">
        <f>D45</f>
        <v>#DIV/0!</v>
      </c>
      <c r="E62" t="e" s="61">
        <f>E45</f>
        <v>#DIV/0!</v>
      </c>
      <c r="F62" t="e" s="61">
        <f>F45</f>
        <v>#DIV/0!</v>
      </c>
      <c r="G62" t="e" s="61">
        <f>G45</f>
        <v>#DIV/0!</v>
      </c>
      <c r="H62" t="e" s="61">
        <f>H45</f>
        <v>#DIV/0!</v>
      </c>
      <c r="I62" t="e" s="61">
        <f>I45</f>
        <v>#DIV/0!</v>
      </c>
    </row>
    <row r="63">
      <c r="C63" s="60"/>
      <c r="D63" s="11">
        <f t="dataTable" ref="D63:I65" r1="C6"/>
        <v>784.1587044534414</v>
      </c>
      <c r="E63" s="11">
        <v>1693.56456683333</v>
      </c>
      <c r="F63" s="11">
        <v>1855.492124988107</v>
      </c>
      <c r="G63" s="11">
        <v>5209.818813059254</v>
      </c>
      <c r="H63" s="11">
        <v>2648.8697398064187</v>
      </c>
      <c r="I63" s="11">
        <v>1608.423543326186</v>
      </c>
    </row>
    <row r="64">
      <c r="C64" s="60"/>
      <c r="D64" s="11">
        <v>784.1587044534414</v>
      </c>
      <c r="E64" s="11">
        <v>1720.5393183176639</v>
      </c>
      <c r="F64" s="11">
        <v>1888.3237564549447</v>
      </c>
      <c r="G64" s="11">
        <v>5262.934008097166</v>
      </c>
      <c r="H64" s="11">
        <v>2686.056243995757</v>
      </c>
      <c r="I64" s="11">
        <v>1622.3502024291497</v>
      </c>
    </row>
    <row r="65">
      <c r="C65" s="60"/>
      <c r="D65" s="11">
        <v>784.1587044534414</v>
      </c>
      <c r="E65" s="11">
        <v>1747.5140698019982</v>
      </c>
      <c r="F65" s="11">
        <v>1921.1553879217831</v>
      </c>
      <c r="G65" s="11">
        <v>5262.934008097166</v>
      </c>
      <c r="H65" s="11">
        <v>2723.242748185096</v>
      </c>
      <c r="I65" s="11">
        <v>1622.3502024291497</v>
      </c>
    </row>
    <row r="67">
      <c r="B67" t="s" s="1">
        <v>591</v>
      </c>
      <c r="C67" t="s" s="7">
        <v>594</v>
      </c>
      <c r="D67" t="e" s="62">
        <f>D54</f>
        <v>#DIV/0!</v>
      </c>
      <c r="E67" t="e" s="62">
        <f>E54</f>
        <v>#DIV/0!</v>
      </c>
      <c r="F67" t="e" s="62">
        <f>F54</f>
        <v>#DIV/0!</v>
      </c>
      <c r="G67" t="e" s="62">
        <f>G54</f>
        <v>#DIV/0!</v>
      </c>
      <c r="H67" t="e" s="62">
        <f>H54</f>
        <v>#DIV/0!</v>
      </c>
      <c r="I67" t="e" s="62">
        <f>I54</f>
        <v>#DIV/0!</v>
      </c>
    </row>
    <row r="68">
      <c r="C68" s="60"/>
      <c r="D68" s="10">
        <f t="dataTable" ref="D68:I70" r1="C6"/>
        <v>0.32266249060630814</v>
      </c>
      <c r="E68" s="10">
        <v>0.25222468972206114</v>
      </c>
      <c r="F68" s="10">
        <v>0.20423631072044376</v>
      </c>
      <c r="G68" s="10">
        <v>0.2276080310344696</v>
      </c>
      <c r="H68" s="10">
        <v>0.17433487772941592</v>
      </c>
      <c r="I68" s="10">
        <v>0.2039709985256195</v>
      </c>
    </row>
    <row r="69">
      <c r="C69" s="60"/>
      <c r="D69" s="10">
        <v>0.3209390103816987</v>
      </c>
      <c r="E69" s="10">
        <v>0.25106360316276555</v>
      </c>
      <c r="F69" s="10">
        <v>0.20282370448112488</v>
      </c>
      <c r="G69" s="10">
        <v>0.22548609375953677</v>
      </c>
      <c r="H69" s="10">
        <v>0.1727170765399933</v>
      </c>
      <c r="I69" s="10">
        <v>0.20155364871025083</v>
      </c>
    </row>
    <row r="70">
      <c r="C70" s="60"/>
      <c r="D70" s="10">
        <v>0.31928763985633857</v>
      </c>
      <c r="E70" s="10">
        <v>0.2499342143535614</v>
      </c>
      <c r="F70" s="10">
        <v>0.20143916010856627</v>
      </c>
      <c r="G70" s="10">
        <v>0.2217761933803558</v>
      </c>
      <c r="H70" s="10">
        <v>0.17113482356071472</v>
      </c>
      <c r="I70" s="10">
        <v>0.19804199337959294</v>
      </c>
    </row>
    <row r="72">
      <c r="B72" t="s" s="1">
        <v>571</v>
      </c>
      <c r="C72" t="s" s="7">
        <v>594</v>
      </c>
      <c r="D72" t="e" s="63">
        <f>D53</f>
        <v>#DIV/0!</v>
      </c>
      <c r="E72" t="e" s="63">
        <f>E53</f>
        <v>#DIV/0!</v>
      </c>
      <c r="F72" t="e" s="63">
        <f>F53</f>
        <v>#DIV/0!</v>
      </c>
      <c r="G72" t="e" s="63">
        <f>G53</f>
        <v>#DIV/0!</v>
      </c>
      <c r="H72" t="e" s="63">
        <f>H53</f>
        <v>#DIV/0!</v>
      </c>
      <c r="I72" t="e" s="63">
        <f>I53</f>
        <v>#DIV/0!</v>
      </c>
    </row>
    <row r="73">
      <c r="C73" s="60"/>
      <c r="D73" s="53">
        <f t="dataTable" ref="D73:I75" r1="C6"/>
        <v>4.051146215398919</v>
      </c>
      <c r="E73" s="53">
        <v>3.080909501819112</v>
      </c>
      <c r="F73" s="53">
        <v>2.5338430516701353</v>
      </c>
      <c r="G73" s="53">
        <v>2.7896043292632475</v>
      </c>
      <c r="H73" s="53">
        <v>2.2343490065728018</v>
      </c>
      <c r="I73" s="53">
        <v>2.53105150953015</v>
      </c>
    </row>
    <row r="74">
      <c r="C74" s="60"/>
      <c r="D74" s="53">
        <v>4.024806509262673</v>
      </c>
      <c r="E74" s="53">
        <v>3.066644678464441</v>
      </c>
      <c r="F74" s="53">
        <v>2.5190083996959634</v>
      </c>
      <c r="G74" s="53">
        <v>2.765565030471359</v>
      </c>
      <c r="H74" s="53">
        <v>2.2189923580304125</v>
      </c>
      <c r="I74" s="53">
        <v>2.505730199764582</v>
      </c>
    </row>
    <row r="75">
      <c r="C75" s="60"/>
      <c r="D75" s="53">
        <v>3.999697599354645</v>
      </c>
      <c r="E75" s="53">
        <v>3.052820240765725</v>
      </c>
      <c r="F75" s="53">
        <v>2.504536045405999</v>
      </c>
      <c r="G75" s="53">
        <v>2.7239343372123788</v>
      </c>
      <c r="H75" s="53">
        <v>2.2040551066025413</v>
      </c>
      <c r="I75" s="53">
        <v>2.469307666741389</v>
      </c>
    </row>
    <row r="78">
      <c r="B78" t="s" s="5">
        <v>746</v>
      </c>
      <c r="C78" s="5"/>
      <c r="D78" s="5"/>
      <c r="E78" s="5"/>
      <c r="F78" s="5"/>
      <c r="G78" s="5"/>
      <c r="H78" s="5"/>
      <c r="I78" s="5"/>
    </row>
    <row r="79">
      <c r="B79" t="s" s="3">
        <v>516</v>
      </c>
      <c r="C79" t="s" s="64">
        <v>573</v>
      </c>
      <c r="D79" s="65">
        <f>$C$33</f>
        <v>0</v>
      </c>
      <c r="E79" s="66">
        <f>EDATE(D79,12)</f>
        <v>366</v>
      </c>
      <c r="F79" s="66">
        <f>EDATE(E79,12)</f>
        <v>731</v>
      </c>
      <c r="G79" s="66">
        <f>EDATE(F79,12)</f>
        <v>1096</v>
      </c>
      <c r="H79" s="66">
        <f>EDATE(G79,12)</f>
        <v>1461</v>
      </c>
      <c r="I79" s="66">
        <f>EDATE(H79,12)</f>
        <v>1827</v>
      </c>
    </row>
    <row r="80">
      <c r="B80" t="s">
        <v>743</v>
      </c>
      <c r="C80" s="29"/>
    </row>
    <row r="81">
      <c r="B81" t="s">
        <v>518</v>
      </c>
      <c r="C81" s="31"/>
    </row>
    <row r="82">
      <c r="B82" t="s">
        <v>519</v>
      </c>
      <c r="C82" s="73">
        <f>Screen!F46</f>
        <v>0</v>
      </c>
    </row>
    <row r="83">
      <c r="B83" t="s" s="3">
        <v>520</v>
      </c>
      <c r="C83" t="str" s="76">
        <f>Screen!H46</f>
        <v>n.a.</v>
      </c>
      <c r="D83" s="3"/>
      <c r="E83" s="3"/>
      <c r="F83" s="3"/>
      <c r="G83" s="3"/>
      <c r="H83" s="3"/>
      <c r="I83" s="3"/>
    </row>
    <row r="84">
      <c r="B84" t="s">
        <v>521</v>
      </c>
      <c r="C84" s="73">
        <f>Screen!L46</f>
        <v>0</v>
      </c>
    </row>
    <row r="85">
      <c r="B85" t="s" s="3">
        <v>522</v>
      </c>
      <c r="C85" t="str" s="76">
        <f>Screen!M46</f>
        <v>n.a.</v>
      </c>
      <c r="D85" s="3"/>
      <c r="E85" s="3"/>
      <c r="F85" s="3"/>
      <c r="G85" s="3"/>
      <c r="H85" s="3"/>
      <c r="I85" s="3"/>
    </row>
    <row r="86">
      <c r="B86" t="s">
        <v>523</v>
      </c>
      <c r="C86" s="73">
        <f>Screen!K46</f>
        <v>0</v>
      </c>
    </row>
    <row r="87">
      <c r="B87" t="s">
        <v>524</v>
      </c>
      <c r="C87" s="73">
        <f>Screen!J46</f>
        <v>0</v>
      </c>
    </row>
    <row r="88">
      <c r="B88" t="s">
        <v>525</v>
      </c>
      <c r="C88" s="30"/>
    </row>
    <row r="89">
      <c r="B89" t="s">
        <v>526</v>
      </c>
      <c r="C89" s="73">
        <f>SUM(Screen!N46:P46)</f>
        <v>0</v>
      </c>
    </row>
    <row r="90">
      <c r="B90" t="s">
        <v>291</v>
      </c>
      <c r="C90" s="73">
        <f>Screen!Q46</f>
        <v>0</v>
      </c>
    </row>
    <row r="91">
      <c r="B91" t="s" s="3">
        <v>574</v>
      </c>
      <c r="C91" t="e" s="58">
        <f>AVERAGE(D91:E91)</f>
        <v>#DIV/0!</v>
      </c>
      <c r="D91" s="77"/>
      <c r="E91" s="77"/>
      <c r="F91" s="125"/>
      <c r="G91" s="3"/>
      <c r="H91" s="3"/>
      <c r="I91" s="3"/>
      <c r="K91" s="4"/>
    </row>
    <row r="92">
      <c r="B92" t="s">
        <v>3</v>
      </c>
      <c r="C92" s="9">
        <f>C80*(1+$C$6)</f>
        <v>0</v>
      </c>
    </row>
    <row r="93">
      <c r="B93" t="s">
        <v>528</v>
      </c>
      <c r="C93" s="68">
        <f>C92*C81</f>
        <v>0</v>
      </c>
    </row>
    <row r="94">
      <c r="B94" t="s" s="71">
        <v>529</v>
      </c>
      <c r="C94" s="68">
        <f>C89</f>
        <v>0</v>
      </c>
    </row>
    <row r="95">
      <c r="B95" t="s" s="71">
        <v>530</v>
      </c>
      <c r="C95" s="68">
        <f>-C90</f>
        <v>0</v>
      </c>
    </row>
    <row r="96">
      <c r="B96" t="s" s="56">
        <v>531</v>
      </c>
      <c r="C96" s="69">
        <f>SUM(C93:C95)</f>
        <v>0</v>
      </c>
      <c r="D96" s="56"/>
      <c r="E96" s="56"/>
      <c r="F96" s="56"/>
      <c r="G96" s="56"/>
      <c r="H96" s="56"/>
      <c r="I96" s="56"/>
    </row>
    <row r="97">
      <c r="B97" t="s">
        <v>532</v>
      </c>
      <c r="C97" t="e" s="13">
        <f>C96/C84</f>
        <v>#DIV/0!</v>
      </c>
    </row>
    <row r="98">
      <c r="B98" t="s" s="71">
        <v>533</v>
      </c>
      <c r="C98" t="e" s="68">
        <f>C96*$C$25</f>
        <v>#DIV/0!</v>
      </c>
    </row>
    <row r="99">
      <c r="B99" t="s" s="71">
        <v>534</v>
      </c>
      <c r="C99" s="68">
        <f>$C$28</f>
        <v>0</v>
      </c>
    </row>
    <row r="100">
      <c r="B100" t="s" s="56">
        <v>535</v>
      </c>
      <c r="C100" t="e" s="69">
        <f>C93+C94+C98+C99</f>
        <v>#DIV/0!</v>
      </c>
      <c r="D100" s="56"/>
      <c r="E100" s="56"/>
      <c r="F100" s="56"/>
      <c r="G100" s="56"/>
      <c r="H100" s="56"/>
      <c r="I100" s="56"/>
    </row>
    <row r="101">
      <c r="B101" t="s" s="71">
        <v>747</v>
      </c>
      <c r="C101" t="e" s="68">
        <f>$C$9*C84</f>
        <v>#DIV/0!</v>
      </c>
    </row>
    <row r="102">
      <c r="B102" t="s" s="71">
        <v>748</v>
      </c>
      <c r="C102" t="e" s="68">
        <f>$C$11*(C100-C90)/(1-$C$11*$C$22)</f>
        <v>#DIV/0!</v>
      </c>
    </row>
    <row r="103">
      <c r="B103" t="s" s="56">
        <v>538</v>
      </c>
      <c r="C103" t="e" s="69">
        <f>MIN(C101,C102)</f>
        <v>#DIV/0!</v>
      </c>
      <c r="D103" s="56"/>
      <c r="E103" s="56"/>
      <c r="F103" s="56"/>
      <c r="G103" s="56"/>
      <c r="H103" s="56"/>
      <c r="I103" s="56"/>
    </row>
    <row r="104">
      <c r="B104" t="s">
        <v>539</v>
      </c>
      <c r="C104" t="e" s="16">
        <f>IF(C101&lt;=C102,"Leverage","Equity floor")</f>
        <v>#DIV/0!</v>
      </c>
    </row>
    <row r="105">
      <c r="B105" t="s" s="71">
        <v>540</v>
      </c>
      <c r="C105" t="e" s="68">
        <f>C103*$C$22</f>
        <v>#DIV/0!</v>
      </c>
    </row>
    <row r="106">
      <c r="B106" t="s" s="56">
        <v>541</v>
      </c>
      <c r="C106" t="e" s="69">
        <f>C100+C105</f>
        <v>#DIV/0!</v>
      </c>
      <c r="D106" s="56"/>
      <c r="E106" s="56"/>
      <c r="F106" s="56"/>
      <c r="G106" s="56"/>
      <c r="H106" s="56"/>
      <c r="I106" s="56"/>
    </row>
    <row r="107">
      <c r="B107" t="s" s="71">
        <v>542</v>
      </c>
      <c r="C107" s="68">
        <f>C90</f>
        <v>0</v>
      </c>
    </row>
    <row r="108">
      <c r="B108" t="s" s="56">
        <v>543</v>
      </c>
      <c r="C108" t="e" s="69">
        <f>C106-C103-C107</f>
        <v>#DIV/0!</v>
      </c>
      <c r="D108" s="56"/>
      <c r="E108" s="56"/>
      <c r="F108" s="56"/>
      <c r="G108" s="56"/>
      <c r="H108" s="56"/>
      <c r="I108" s="56"/>
    </row>
    <row r="109">
      <c r="B109" t="s">
        <v>544</v>
      </c>
      <c r="C109" t="e" s="13">
        <f>C103/C84</f>
        <v>#DIV/0!</v>
      </c>
    </row>
    <row r="110">
      <c r="B110" t="s" s="3">
        <v>545</v>
      </c>
      <c r="C110" t="e" s="58">
        <f>C108/(C108+C103)</f>
        <v>#DIV/0!</v>
      </c>
      <c r="D110" s="3"/>
      <c r="E110" s="3"/>
      <c r="F110" s="3"/>
      <c r="G110" s="3"/>
      <c r="H110" s="3"/>
      <c r="I110" s="3"/>
    </row>
    <row r="111">
      <c r="B111" t="s" s="67">
        <v>546</v>
      </c>
    </row>
    <row r="112">
      <c r="B112" t="s" s="3">
        <v>547</v>
      </c>
      <c r="C112" s="3"/>
      <c r="D112" s="58"/>
      <c r="E112" t="e" s="58">
        <f>C91</f>
        <v>#DIV/0!</v>
      </c>
      <c r="F112" t="e" s="58">
        <f>MAX(E112-$C$29,MIN($C$30,$C83))</f>
        <v>#DIV/0!</v>
      </c>
      <c r="G112" t="e" s="58">
        <f>MAX(F112-$C$29,MIN($C$30,$C83))</f>
        <v>#DIV/0!</v>
      </c>
      <c r="H112" t="e" s="58">
        <f>MAX(G112-$C$29,MIN($C$30,$C83))</f>
        <v>#DIV/0!</v>
      </c>
      <c r="I112" t="e" s="58">
        <f>MAX(H112-$C$29,MIN($C$30,$C83))</f>
        <v>#DIV/0!</v>
      </c>
    </row>
    <row r="113">
      <c r="B113" t="s" s="56">
        <v>548</v>
      </c>
      <c r="C113" s="56"/>
      <c r="D113" s="70">
        <f>C82</f>
        <v>0</v>
      </c>
      <c r="E113" t="e" s="70">
        <f>D113*(1+E112)</f>
        <v>#DIV/0!</v>
      </c>
      <c r="F113" t="e" s="70">
        <f>E113*(1+F112)</f>
        <v>#DIV/0!</v>
      </c>
      <c r="G113" t="e" s="70">
        <f>F113*(1+G112)</f>
        <v>#DIV/0!</v>
      </c>
      <c r="H113" t="e" s="70">
        <f>G113*(1+H112)</f>
        <v>#DIV/0!</v>
      </c>
      <c r="I113" t="e" s="70">
        <f>H113*(1+I112)</f>
        <v>#DIV/0!</v>
      </c>
    </row>
    <row r="114">
      <c r="B114" t="s" s="3">
        <v>549</v>
      </c>
      <c r="C114" s="3"/>
      <c r="D114" t="str" s="58">
        <f>C85</f>
        <v>n.a.</v>
      </c>
      <c r="E114" t="e" s="58">
        <f>MIN(D114+$C$31,MAX($C$32,$C85))</f>
        <v>#VALUE!</v>
      </c>
      <c r="F114" t="e" s="58">
        <f>MIN(E114+$C$31,MAX($C$32,$C85))</f>
        <v>#VALUE!</v>
      </c>
      <c r="G114" t="e" s="58">
        <f>MIN(F114+$C$31,MAX($C$32,$C85))</f>
        <v>#VALUE!</v>
      </c>
      <c r="H114" t="e" s="58">
        <f>MIN(G114+$C$31,MAX($C$32,$C85))</f>
        <v>#VALUE!</v>
      </c>
      <c r="I114" t="e" s="58">
        <f>MIN(H114+$C$31,MAX($C$32,$C85))</f>
        <v>#VALUE!</v>
      </c>
    </row>
    <row r="115">
      <c r="B115" t="s" s="56">
        <v>550</v>
      </c>
      <c r="C115" s="56"/>
      <c r="D115" t="e" s="69">
        <f>D113*D114</f>
        <v>#VALUE!</v>
      </c>
      <c r="E115" t="e" s="69">
        <f>E113*E114</f>
        <v>#DIV/0!</v>
      </c>
      <c r="F115" t="e" s="69">
        <f>F113*F114</f>
        <v>#DIV/0!</v>
      </c>
      <c r="G115" t="e" s="69">
        <f>G113*G114</f>
        <v>#DIV/0!</v>
      </c>
      <c r="H115" t="e" s="69">
        <f>H113*H114</f>
        <v>#DIV/0!</v>
      </c>
      <c r="I115" t="e" s="69">
        <f>I113*I114</f>
        <v>#DIV/0!</v>
      </c>
    </row>
    <row r="116">
      <c r="B116" t="s" s="71">
        <v>551</v>
      </c>
      <c r="D116" s="68"/>
      <c r="E116" s="68">
        <f>-$C$26*$C86</f>
        <v>0</v>
      </c>
      <c r="F116" s="68">
        <f>-$C$26*$C86</f>
        <v>0</v>
      </c>
      <c r="G116" s="68">
        <f>-$C$26*$C86</f>
        <v>0</v>
      </c>
      <c r="H116" s="68">
        <f>-$C$26*$C86</f>
        <v>0</v>
      </c>
      <c r="I116" s="68">
        <f>-$C$26*$C86</f>
        <v>0</v>
      </c>
    </row>
    <row r="117">
      <c r="B117" t="s" s="71">
        <v>552</v>
      </c>
      <c r="D117" s="68"/>
      <c r="E117" t="e" s="68">
        <f>-E113*$C88/$C82</f>
        <v>#DIV/0!</v>
      </c>
      <c r="F117" t="e" s="68">
        <f>-F113*$C88/$C82</f>
        <v>#DIV/0!</v>
      </c>
      <c r="G117" t="e" s="68">
        <f>-G113*$C88/$C82</f>
        <v>#DIV/0!</v>
      </c>
      <c r="H117" t="e" s="68">
        <f>-H113*$C88/$C82</f>
        <v>#DIV/0!</v>
      </c>
      <c r="I117" t="e" s="68">
        <f>-I113*$C88/$C82</f>
        <v>#DIV/0!</v>
      </c>
    </row>
    <row r="118">
      <c r="B118" t="s" s="71">
        <v>553</v>
      </c>
      <c r="D118" s="68"/>
      <c r="E118" t="e" s="68">
        <f>-E123*$C$17</f>
        <v>#DIV/0!</v>
      </c>
      <c r="F118" t="e" s="68">
        <f>-F123*$C$17</f>
        <v>#DIV/0!</v>
      </c>
      <c r="G118" t="e" s="68">
        <f>-G123*$C$17</f>
        <v>#DIV/0!</v>
      </c>
      <c r="H118" t="e" s="68">
        <f>-H123*$C$17</f>
        <v>#DIV/0!</v>
      </c>
      <c r="I118" t="e" s="68">
        <f>-I123*$C$17</f>
        <v>#DIV/0!</v>
      </c>
    </row>
    <row r="119">
      <c r="B119" t="s" s="71">
        <v>554</v>
      </c>
      <c r="D119" s="68"/>
      <c r="E119" t="e" s="68">
        <f>-MAX(0,E122)*$C$27</f>
        <v>#DIV/0!</v>
      </c>
      <c r="F119" t="e" s="68">
        <f>-MAX(0,F122)*$C$27</f>
        <v>#DIV/0!</v>
      </c>
      <c r="G119" t="e" s="68">
        <f>-MAX(0,G122)*$C$27</f>
        <v>#DIV/0!</v>
      </c>
      <c r="H119" t="e" s="68">
        <f>-MAX(0,H122)*$C$27</f>
        <v>#DIV/0!</v>
      </c>
      <c r="I119" t="e" s="68">
        <f>-MAX(0,I122)*$C$27</f>
        <v>#DIV/0!</v>
      </c>
    </row>
    <row r="120">
      <c r="B120" t="s" s="56">
        <v>555</v>
      </c>
      <c r="C120" s="56"/>
      <c r="D120" s="69"/>
      <c r="E120" t="e" s="69">
        <f>SUM(E115:E119)</f>
        <v>#DIV/0!</v>
      </c>
      <c r="F120" t="e" s="69">
        <f>SUM(F115:F119)</f>
        <v>#DIV/0!</v>
      </c>
      <c r="G120" t="e" s="69">
        <f>SUM(G115:G119)</f>
        <v>#DIV/0!</v>
      </c>
      <c r="H120" t="e" s="69">
        <f>SUM(H115:H119)</f>
        <v>#DIV/0!</v>
      </c>
      <c r="I120" t="e" s="69">
        <f>SUM(I115:I119)</f>
        <v>#DIV/0!</v>
      </c>
    </row>
    <row r="121">
      <c r="B121" t="s" s="71">
        <v>556</v>
      </c>
      <c r="D121" s="68"/>
      <c r="E121" t="e" s="68">
        <f>E113*$C87/$C82</f>
        <v>#DIV/0!</v>
      </c>
      <c r="F121" t="e" s="68">
        <f>F113*$C87/$C82</f>
        <v>#DIV/0!</v>
      </c>
      <c r="G121" t="e" s="68">
        <f>G113*$C87/$C82</f>
        <v>#DIV/0!</v>
      </c>
      <c r="H121" t="e" s="68">
        <f>H113*$C87/$C82</f>
        <v>#DIV/0!</v>
      </c>
      <c r="I121" t="e" s="68">
        <f>I113*$C87/$C82</f>
        <v>#DIV/0!</v>
      </c>
    </row>
    <row r="122">
      <c r="B122" t="s" s="71">
        <v>557</v>
      </c>
      <c r="D122" s="68"/>
      <c r="E122" t="e" s="68">
        <f>E115+E116+E118-E121</f>
        <v>#DIV/0!</v>
      </c>
      <c r="F122" t="e" s="68">
        <f>F115+F116+F118-F121</f>
        <v>#DIV/0!</v>
      </c>
      <c r="G122" t="e" s="68">
        <f>G115+G116+G118-G121</f>
        <v>#DIV/0!</v>
      </c>
      <c r="H122" t="e" s="68">
        <f>H115+H116+H118-H121</f>
        <v>#DIV/0!</v>
      </c>
      <c r="I122" t="e" s="68">
        <f>I115+I116+I118-I121</f>
        <v>#DIV/0!</v>
      </c>
    </row>
    <row r="123">
      <c r="B123" t="s" s="71">
        <v>558</v>
      </c>
      <c r="D123" s="68"/>
      <c r="E123" t="e" s="68">
        <f>D126</f>
        <v>#DIV/0!</v>
      </c>
      <c r="F123" t="e" s="68">
        <f>E126</f>
        <v>#DIV/0!</v>
      </c>
      <c r="G123" t="e" s="68">
        <f>F126</f>
        <v>#DIV/0!</v>
      </c>
      <c r="H123" t="e" s="68">
        <f>G126</f>
        <v>#DIV/0!</v>
      </c>
      <c r="I123" t="e" s="68">
        <f>H126</f>
        <v>#DIV/0!</v>
      </c>
    </row>
    <row r="124">
      <c r="B124" t="s" s="71">
        <v>559</v>
      </c>
      <c r="D124" s="68"/>
      <c r="E124" t="e" s="68">
        <f>-MIN(E123,$C$18*$D126)</f>
        <v>#DIV/0!</v>
      </c>
      <c r="F124" t="e" s="68">
        <f>-MIN(F123,$C$18*$D126)</f>
        <v>#DIV/0!</v>
      </c>
      <c r="G124" t="e" s="68">
        <f>-MIN(G123,$C$18*$D126)</f>
        <v>#DIV/0!</v>
      </c>
      <c r="H124" t="e" s="68">
        <f>-MIN(H123,$C$18*$D126)</f>
        <v>#DIV/0!</v>
      </c>
      <c r="I124" t="e" s="68">
        <f>-MIN(I123,$C$18*$D126)</f>
        <v>#DIV/0!</v>
      </c>
    </row>
    <row r="125">
      <c r="B125" t="s" s="71">
        <v>560</v>
      </c>
      <c r="D125" s="68"/>
      <c r="E125" t="e" s="68">
        <f>-MIN(E123+E124,MAX(0,E120+E124)*$C$19)</f>
        <v>#DIV/0!</v>
      </c>
      <c r="F125" t="e" s="68">
        <f>-MIN(F123+F124,MAX(0,F120+F124)*$C$19)</f>
        <v>#DIV/0!</v>
      </c>
      <c r="G125" t="e" s="68">
        <f>-MIN(G123+G124,MAX(0,G120+G124)*$C$19)</f>
        <v>#DIV/0!</v>
      </c>
      <c r="H125" t="e" s="68">
        <f>-MIN(H123+H124,MAX(0,H120+H124)*$C$19)</f>
        <v>#DIV/0!</v>
      </c>
      <c r="I125" t="e" s="68">
        <f>-MIN(I123+I124,MAX(0,I120+I124)*$C$19)</f>
        <v>#DIV/0!</v>
      </c>
    </row>
    <row r="126">
      <c r="B126" t="s" s="56">
        <v>561</v>
      </c>
      <c r="C126" s="56"/>
      <c r="D126" t="e" s="69">
        <f>C103</f>
        <v>#DIV/0!</v>
      </c>
      <c r="E126" t="e" s="69">
        <f>SUM(E123:E125)</f>
        <v>#DIV/0!</v>
      </c>
      <c r="F126" t="e" s="69">
        <f>SUM(F123:F125)</f>
        <v>#DIV/0!</v>
      </c>
      <c r="G126" t="e" s="69">
        <f>SUM(G123:G125)</f>
        <v>#DIV/0!</v>
      </c>
      <c r="H126" t="e" s="69">
        <f>SUM(H123:H125)</f>
        <v>#DIV/0!</v>
      </c>
      <c r="I126" t="e" s="69">
        <f>SUM(I123:I125)</f>
        <v>#DIV/0!</v>
      </c>
    </row>
    <row r="127">
      <c r="B127" t="s" s="71">
        <v>562</v>
      </c>
      <c r="D127" s="68">
        <f>C99</f>
        <v>0</v>
      </c>
      <c r="E127" t="e" s="68">
        <f>D127+E120+E124+E125</f>
        <v>#DIV/0!</v>
      </c>
      <c r="F127" t="e" s="68">
        <f>E127+F120+F124+F125</f>
        <v>#DIV/0!</v>
      </c>
      <c r="G127" t="e" s="68">
        <f>F127+G120+G124+G125</f>
        <v>#DIV/0!</v>
      </c>
      <c r="H127" t="e" s="68">
        <f>G127+H120+H124+H125</f>
        <v>#DIV/0!</v>
      </c>
      <c r="I127" t="e" s="68">
        <f>H127+I120+I124+I125</f>
        <v>#DIV/0!</v>
      </c>
    </row>
    <row r="128">
      <c r="B128" t="s">
        <v>563</v>
      </c>
      <c r="D128" t="e" s="68">
        <f>D126-D127</f>
        <v>#DIV/0!</v>
      </c>
      <c r="E128" t="e" s="68">
        <f>E126-E127</f>
        <v>#DIV/0!</v>
      </c>
      <c r="F128" t="e" s="68">
        <f>F126-F127</f>
        <v>#DIV/0!</v>
      </c>
      <c r="G128" t="e" s="68">
        <f>G126-G127</f>
        <v>#DIV/0!</v>
      </c>
      <c r="H128" t="e" s="68">
        <f>H126-H127</f>
        <v>#DIV/0!</v>
      </c>
      <c r="I128" t="e" s="68">
        <f>I126-I127</f>
        <v>#DIV/0!</v>
      </c>
    </row>
    <row r="129">
      <c r="B129" t="s">
        <v>564</v>
      </c>
      <c r="D129" t="e" s="22">
        <f>D128/D115</f>
        <v>#DIV/0!</v>
      </c>
      <c r="E129" t="e" s="22">
        <f>E128/E115</f>
        <v>#DIV/0!</v>
      </c>
      <c r="F129" t="e" s="22">
        <f>F128/F115</f>
        <v>#DIV/0!</v>
      </c>
      <c r="G129" t="e" s="22">
        <f>G128/G115</f>
        <v>#DIV/0!</v>
      </c>
      <c r="H129" t="e" s="22">
        <f>H128/H115</f>
        <v>#DIV/0!</v>
      </c>
      <c r="I129" t="e" s="22">
        <f>I128/I115</f>
        <v>#DIV/0!</v>
      </c>
    </row>
    <row r="130">
      <c r="B130" t="s">
        <v>565</v>
      </c>
      <c r="D130" s="22"/>
      <c r="E130" t="e" s="22">
        <f>IF(E118&lt;0,E115/-E118,"n.a.")</f>
        <v>#DIV/0!</v>
      </c>
      <c r="F130" t="e" s="22">
        <f>IF(F118&lt;0,F115/-F118,"n.a.")</f>
        <v>#DIV/0!</v>
      </c>
      <c r="G130" t="e" s="22">
        <f>IF(G118&lt;0,G115/-G118,"n.a.")</f>
        <v>#DIV/0!</v>
      </c>
      <c r="H130" t="e" s="22">
        <f>IF(H118&lt;0,H115/-H118,"n.a.")</f>
        <v>#DIV/0!</v>
      </c>
      <c r="I130" t="e" s="22">
        <f>IF(I118&lt;0,I115/-I118,"n.a.")</f>
        <v>#DIV/0!</v>
      </c>
    </row>
    <row r="131">
      <c r="B131" t="s" s="67">
        <v>566</v>
      </c>
    </row>
    <row r="132">
      <c r="B132" t="s" s="71">
        <v>567</v>
      </c>
      <c r="C132" t="e" s="68">
        <f>I115*C97</f>
        <v>#DIV/0!</v>
      </c>
    </row>
    <row r="133">
      <c r="B133" t="s" s="71">
        <v>568</v>
      </c>
      <c r="C133" t="e" s="68">
        <f>-I128</f>
        <v>#DIV/0!</v>
      </c>
    </row>
    <row r="134">
      <c r="B134" t="s" s="56">
        <v>569</v>
      </c>
      <c r="C134" t="e" s="69">
        <f>C132+C133</f>
        <v>#DIV/0!</v>
      </c>
      <c r="D134" s="56"/>
      <c r="E134" s="56"/>
      <c r="F134" s="56"/>
      <c r="G134" s="56"/>
      <c r="H134" s="56"/>
      <c r="I134" s="56"/>
    </row>
    <row r="135">
      <c r="B135" t="s">
        <v>570</v>
      </c>
      <c r="D135" t="e" s="68">
        <f>-C108</f>
        <v>#DIV/0!</v>
      </c>
      <c r="E135" t="e" s="68">
        <f>IF(YEAR(E79)=YEAR($C$33)+$C$34,$C134,0)</f>
        <v>#DIV/0!</v>
      </c>
      <c r="F135" s="68">
        <f>IF(YEAR(F79)=YEAR($C$33)+$C$34,$C134,0)</f>
        <v>0</v>
      </c>
      <c r="G135" s="68">
        <f>IF(YEAR(G79)=YEAR($C$33)+$C$34,$C134,0)</f>
        <v>0</v>
      </c>
      <c r="H135" s="68">
        <f>IF(YEAR(H79)=YEAR($C$33)+$C$34,$C134,0)</f>
        <v>0</v>
      </c>
      <c r="I135" s="68">
        <f>IF(YEAR(I79)=YEAR($C$33)+$C$34,$C134,0)</f>
        <v>0</v>
      </c>
    </row>
    <row r="136">
      <c r="B136" t="s">
        <v>571</v>
      </c>
      <c r="C136" t="e" s="53">
        <f>SUMIF(D135:I135,"&gt;0")/-SUMIF(D135:I135,"&lt;0")</f>
        <v>#DIV/0!</v>
      </c>
    </row>
    <row r="137">
      <c r="B137" t="s" s="56">
        <v>572</v>
      </c>
      <c r="C137" t="e" s="57">
        <f>XIRR(D135:I135,D79:I79)</f>
        <v>#DIV/0!</v>
      </c>
      <c r="D137" s="56"/>
      <c r="E137" s="56"/>
      <c r="F137" s="56"/>
      <c r="G137" s="56"/>
      <c r="H137" s="56"/>
      <c r="I137" s="56"/>
    </row>
    <row r="140">
      <c r="B140" t="s" s="5">
        <v>749</v>
      </c>
      <c r="C140" s="5"/>
      <c r="D140" s="5"/>
      <c r="E140" s="5"/>
      <c r="F140" s="5"/>
      <c r="G140" s="5"/>
      <c r="H140" s="5"/>
      <c r="I140" s="5"/>
    </row>
    <row r="141">
      <c r="B141" t="s" s="3">
        <v>516</v>
      </c>
      <c r="C141" t="s" s="64">
        <v>573</v>
      </c>
      <c r="D141" s="65">
        <f>$C$33</f>
        <v>0</v>
      </c>
      <c r="E141" s="66">
        <f>EDATE(D141,12)</f>
        <v>366</v>
      </c>
      <c r="F141" s="66">
        <f>EDATE(E141,12)</f>
        <v>731</v>
      </c>
      <c r="G141" s="66">
        <f>EDATE(F141,12)</f>
        <v>1096</v>
      </c>
      <c r="H141" s="66">
        <f>EDATE(G141,12)</f>
        <v>1461</v>
      </c>
      <c r="I141" s="66">
        <f>EDATE(H141,12)</f>
        <v>1827</v>
      </c>
    </row>
    <row r="142">
      <c r="B142" t="s">
        <v>743</v>
      </c>
      <c r="C142" s="29"/>
    </row>
    <row r="143">
      <c r="B143" t="s">
        <v>518</v>
      </c>
      <c r="C143" s="31"/>
    </row>
    <row r="144">
      <c r="B144" t="s">
        <v>519</v>
      </c>
      <c r="C144" s="73">
        <f>Screen!F47</f>
        <v>0</v>
      </c>
    </row>
    <row r="145">
      <c r="B145" t="s" s="3">
        <v>520</v>
      </c>
      <c r="C145" t="str" s="76">
        <f>Screen!H47</f>
        <v>n.a.</v>
      </c>
      <c r="D145" s="3"/>
      <c r="E145" s="3"/>
      <c r="F145" s="3"/>
      <c r="G145" s="3"/>
      <c r="H145" s="3"/>
      <c r="I145" s="3"/>
    </row>
    <row r="146">
      <c r="B146" t="s">
        <v>521</v>
      </c>
      <c r="C146" s="73">
        <f>Screen!L47</f>
        <v>0</v>
      </c>
    </row>
    <row r="147">
      <c r="B147" t="s" s="3">
        <v>522</v>
      </c>
      <c r="C147" t="str" s="76">
        <f>Screen!M47</f>
        <v>n.a.</v>
      </c>
      <c r="D147" s="3"/>
      <c r="E147" s="3"/>
      <c r="F147" s="3"/>
      <c r="G147" s="3"/>
      <c r="H147" s="3"/>
      <c r="I147" s="3"/>
    </row>
    <row r="148">
      <c r="B148" t="s">
        <v>523</v>
      </c>
      <c r="C148" s="73">
        <f>Screen!K47</f>
        <v>0</v>
      </c>
    </row>
    <row r="149">
      <c r="B149" t="s">
        <v>524</v>
      </c>
      <c r="C149" s="73">
        <f>Screen!J47</f>
        <v>0</v>
      </c>
    </row>
    <row r="150">
      <c r="B150" t="s">
        <v>525</v>
      </c>
      <c r="C150" s="30"/>
    </row>
    <row r="151">
      <c r="B151" t="s">
        <v>526</v>
      </c>
      <c r="C151" s="73">
        <f>SUM(Screen!N47:P47)</f>
        <v>0</v>
      </c>
    </row>
    <row r="152">
      <c r="B152" t="s">
        <v>291</v>
      </c>
      <c r="C152" s="73">
        <f>Screen!Q47</f>
        <v>0</v>
      </c>
    </row>
    <row r="153">
      <c r="B153" t="s" s="3">
        <v>574</v>
      </c>
      <c r="C153" t="e" s="58">
        <f>AVERAGE(D153:E153)</f>
        <v>#DIV/0!</v>
      </c>
      <c r="D153" s="77"/>
      <c r="E153" s="77"/>
      <c r="F153" s="125"/>
      <c r="G153" s="3"/>
      <c r="H153" s="3"/>
      <c r="I153" s="3"/>
      <c r="K153" s="4"/>
    </row>
    <row r="154">
      <c r="B154" t="s">
        <v>3</v>
      </c>
      <c r="C154" s="9">
        <f>C142*(1+$C$6)</f>
        <v>0</v>
      </c>
    </row>
    <row r="155">
      <c r="B155" t="s">
        <v>528</v>
      </c>
      <c r="C155" s="68">
        <f>C154*C143</f>
        <v>0</v>
      </c>
    </row>
    <row r="156">
      <c r="B156" t="s" s="71">
        <v>529</v>
      </c>
      <c r="C156" s="68">
        <f>C151</f>
        <v>0</v>
      </c>
    </row>
    <row r="157">
      <c r="B157" t="s" s="71">
        <v>530</v>
      </c>
      <c r="C157" s="68">
        <f>-C152</f>
        <v>0</v>
      </c>
    </row>
    <row r="158">
      <c r="B158" t="s" s="56">
        <v>531</v>
      </c>
      <c r="C158" s="69">
        <f>SUM(C155:C157)</f>
        <v>0</v>
      </c>
      <c r="D158" s="56"/>
      <c r="E158" s="56"/>
      <c r="F158" s="56"/>
      <c r="G158" s="56"/>
      <c r="H158" s="56"/>
      <c r="I158" s="56"/>
    </row>
    <row r="159">
      <c r="B159" t="s">
        <v>532</v>
      </c>
      <c r="C159" t="e" s="13">
        <f>C158/C146</f>
        <v>#DIV/0!</v>
      </c>
    </row>
    <row r="160">
      <c r="B160" t="s" s="71">
        <v>533</v>
      </c>
      <c r="C160" t="e" s="68">
        <f>C158*$C$25</f>
        <v>#DIV/0!</v>
      </c>
    </row>
    <row r="161">
      <c r="B161" t="s" s="71">
        <v>534</v>
      </c>
      <c r="C161" s="68">
        <f>$C$28</f>
        <v>0</v>
      </c>
    </row>
    <row r="162">
      <c r="B162" t="s" s="56">
        <v>535</v>
      </c>
      <c r="C162" t="e" s="69">
        <f>C155+C156+C160+C161</f>
        <v>#DIV/0!</v>
      </c>
      <c r="D162" s="56"/>
      <c r="E162" s="56"/>
      <c r="F162" s="56"/>
      <c r="G162" s="56"/>
      <c r="H162" s="56"/>
      <c r="I162" s="56"/>
    </row>
    <row r="163">
      <c r="B163" t="s" s="71">
        <v>747</v>
      </c>
      <c r="C163" t="e" s="68">
        <f>$C$9*C146</f>
        <v>#DIV/0!</v>
      </c>
    </row>
    <row r="164">
      <c r="B164" t="s" s="71">
        <v>748</v>
      </c>
      <c r="C164" t="e" s="68">
        <f>$C$11*(C162-C152)/(1-$C$11*$C$22)</f>
        <v>#DIV/0!</v>
      </c>
    </row>
    <row r="165">
      <c r="B165" t="s" s="56">
        <v>538</v>
      </c>
      <c r="C165" t="e" s="69">
        <f>MIN(C163,C164)</f>
        <v>#DIV/0!</v>
      </c>
      <c r="D165" s="56"/>
      <c r="E165" s="56"/>
      <c r="F165" s="56"/>
      <c r="G165" s="56"/>
      <c r="H165" s="56"/>
      <c r="I165" s="56"/>
    </row>
    <row r="166">
      <c r="B166" t="s">
        <v>539</v>
      </c>
      <c r="C166" t="e" s="16">
        <f>IF(C163&lt;=C164,"Leverage","Equity floor")</f>
        <v>#DIV/0!</v>
      </c>
    </row>
    <row r="167">
      <c r="B167" t="s" s="71">
        <v>540</v>
      </c>
      <c r="C167" t="e" s="68">
        <f>C165*$C$22</f>
        <v>#DIV/0!</v>
      </c>
    </row>
    <row r="168">
      <c r="B168" t="s" s="56">
        <v>541</v>
      </c>
      <c r="C168" t="e" s="69">
        <f>C162+C167</f>
        <v>#DIV/0!</v>
      </c>
      <c r="D168" s="56"/>
      <c r="E168" s="56"/>
      <c r="F168" s="56"/>
      <c r="G168" s="56"/>
      <c r="H168" s="56"/>
      <c r="I168" s="56"/>
    </row>
    <row r="169">
      <c r="B169" t="s" s="71">
        <v>542</v>
      </c>
      <c r="C169" s="68">
        <f>C152</f>
        <v>0</v>
      </c>
    </row>
    <row r="170">
      <c r="B170" t="s" s="56">
        <v>543</v>
      </c>
      <c r="C170" t="e" s="69">
        <f>C168-C165-C169</f>
        <v>#DIV/0!</v>
      </c>
      <c r="D170" s="56"/>
      <c r="E170" s="56"/>
      <c r="F170" s="56"/>
      <c r="G170" s="56"/>
      <c r="H170" s="56"/>
      <c r="I170" s="56"/>
    </row>
    <row r="171">
      <c r="B171" t="s">
        <v>544</v>
      </c>
      <c r="C171" t="e" s="13">
        <f>C165/C146</f>
        <v>#DIV/0!</v>
      </c>
    </row>
    <row r="172">
      <c r="B172" t="s" s="3">
        <v>545</v>
      </c>
      <c r="C172" t="e" s="58">
        <f>C170/(C170+C165)</f>
        <v>#DIV/0!</v>
      </c>
      <c r="D172" s="3"/>
      <c r="E172" s="3"/>
      <c r="F172" s="3"/>
      <c r="G172" s="3"/>
      <c r="H172" s="3"/>
      <c r="I172" s="3"/>
    </row>
    <row r="173">
      <c r="B173" t="s" s="67">
        <v>546</v>
      </c>
    </row>
    <row r="174">
      <c r="B174" t="s" s="3">
        <v>547</v>
      </c>
      <c r="C174" s="3"/>
      <c r="D174" s="58"/>
      <c r="E174" t="e" s="58">
        <f>C153</f>
        <v>#DIV/0!</v>
      </c>
      <c r="F174" t="e" s="58">
        <f>MAX(E174-$C$29,MIN($C$30,$C145))</f>
        <v>#DIV/0!</v>
      </c>
      <c r="G174" t="e" s="58">
        <f>MAX(F174-$C$29,MIN($C$30,$C145))</f>
        <v>#DIV/0!</v>
      </c>
      <c r="H174" t="e" s="58">
        <f>MAX(G174-$C$29,MIN($C$30,$C145))</f>
        <v>#DIV/0!</v>
      </c>
      <c r="I174" t="e" s="58">
        <f>MAX(H174-$C$29,MIN($C$30,$C145))</f>
        <v>#DIV/0!</v>
      </c>
    </row>
    <row r="175">
      <c r="B175" t="s" s="56">
        <v>548</v>
      </c>
      <c r="C175" s="56"/>
      <c r="D175" s="70">
        <f>C144</f>
        <v>0</v>
      </c>
      <c r="E175" t="e" s="70">
        <f>D175*(1+E174)</f>
        <v>#DIV/0!</v>
      </c>
      <c r="F175" t="e" s="70">
        <f>E175*(1+F174)</f>
        <v>#DIV/0!</v>
      </c>
      <c r="G175" t="e" s="70">
        <f>F175*(1+G174)</f>
        <v>#DIV/0!</v>
      </c>
      <c r="H175" t="e" s="70">
        <f>G175*(1+H174)</f>
        <v>#DIV/0!</v>
      </c>
      <c r="I175" t="e" s="70">
        <f>H175*(1+I174)</f>
        <v>#DIV/0!</v>
      </c>
    </row>
    <row r="176">
      <c r="B176" t="s" s="3">
        <v>549</v>
      </c>
      <c r="C176" s="3"/>
      <c r="D176" t="str" s="58">
        <f>C147</f>
        <v>n.a.</v>
      </c>
      <c r="E176" t="e" s="58">
        <f>MIN(D176+$C$31,MAX($C$32,$C147))</f>
        <v>#VALUE!</v>
      </c>
      <c r="F176" t="e" s="58">
        <f>MIN(E176+$C$31,MAX($C$32,$C147))</f>
        <v>#VALUE!</v>
      </c>
      <c r="G176" t="e" s="58">
        <f>MIN(F176+$C$31,MAX($C$32,$C147))</f>
        <v>#VALUE!</v>
      </c>
      <c r="H176" t="e" s="58">
        <f>MIN(G176+$C$31,MAX($C$32,$C147))</f>
        <v>#VALUE!</v>
      </c>
      <c r="I176" t="e" s="58">
        <f>MIN(H176+$C$31,MAX($C$32,$C147))</f>
        <v>#VALUE!</v>
      </c>
    </row>
    <row r="177">
      <c r="B177" t="s" s="56">
        <v>550</v>
      </c>
      <c r="C177" s="56"/>
      <c r="D177" t="e" s="69">
        <f>D175*D176</f>
        <v>#VALUE!</v>
      </c>
      <c r="E177" t="e" s="69">
        <f>E175*E176</f>
        <v>#DIV/0!</v>
      </c>
      <c r="F177" t="e" s="69">
        <f>F175*F176</f>
        <v>#DIV/0!</v>
      </c>
      <c r="G177" t="e" s="69">
        <f>G175*G176</f>
        <v>#DIV/0!</v>
      </c>
      <c r="H177" t="e" s="69">
        <f>H175*H176</f>
        <v>#DIV/0!</v>
      </c>
      <c r="I177" t="e" s="69">
        <f>I175*I176</f>
        <v>#DIV/0!</v>
      </c>
    </row>
    <row r="178">
      <c r="B178" t="s" s="71">
        <v>551</v>
      </c>
      <c r="D178" s="68"/>
      <c r="E178" s="68">
        <f>-$C$26*$C148</f>
        <v>0</v>
      </c>
      <c r="F178" s="68">
        <f>-$C$26*$C148</f>
        <v>0</v>
      </c>
      <c r="G178" s="68">
        <f>-$C$26*$C148</f>
        <v>0</v>
      </c>
      <c r="H178" s="68">
        <f>-$C$26*$C148</f>
        <v>0</v>
      </c>
      <c r="I178" s="68">
        <f>-$C$26*$C148</f>
        <v>0</v>
      </c>
    </row>
    <row r="179">
      <c r="B179" t="s" s="71">
        <v>552</v>
      </c>
      <c r="D179" s="68"/>
      <c r="E179" t="e" s="68">
        <f>-E175*$C150/$C144</f>
        <v>#DIV/0!</v>
      </c>
      <c r="F179" t="e" s="68">
        <f>-F175*$C150/$C144</f>
        <v>#DIV/0!</v>
      </c>
      <c r="G179" t="e" s="68">
        <f>-G175*$C150/$C144</f>
        <v>#DIV/0!</v>
      </c>
      <c r="H179" t="e" s="68">
        <f>-H175*$C150/$C144</f>
        <v>#DIV/0!</v>
      </c>
      <c r="I179" t="e" s="68">
        <f>-I175*$C150/$C144</f>
        <v>#DIV/0!</v>
      </c>
    </row>
    <row r="180">
      <c r="B180" t="s" s="71">
        <v>553</v>
      </c>
      <c r="D180" s="68"/>
      <c r="E180" t="e" s="68">
        <f>-E185*$C$17</f>
        <v>#DIV/0!</v>
      </c>
      <c r="F180" t="e" s="68">
        <f>-F185*$C$17</f>
        <v>#DIV/0!</v>
      </c>
      <c r="G180" t="e" s="68">
        <f>-G185*$C$17</f>
        <v>#DIV/0!</v>
      </c>
      <c r="H180" t="e" s="68">
        <f>-H185*$C$17</f>
        <v>#DIV/0!</v>
      </c>
      <c r="I180" t="e" s="68">
        <f>-I185*$C$17</f>
        <v>#DIV/0!</v>
      </c>
    </row>
    <row r="181">
      <c r="B181" t="s" s="71">
        <v>554</v>
      </c>
      <c r="D181" s="68"/>
      <c r="E181" t="e" s="68">
        <f>-MAX(0,E184)*$C$27</f>
        <v>#DIV/0!</v>
      </c>
      <c r="F181" t="e" s="68">
        <f>-MAX(0,F184)*$C$27</f>
        <v>#DIV/0!</v>
      </c>
      <c r="G181" t="e" s="68">
        <f>-MAX(0,G184)*$C$27</f>
        <v>#DIV/0!</v>
      </c>
      <c r="H181" t="e" s="68">
        <f>-MAX(0,H184)*$C$27</f>
        <v>#DIV/0!</v>
      </c>
      <c r="I181" t="e" s="68">
        <f>-MAX(0,I184)*$C$27</f>
        <v>#DIV/0!</v>
      </c>
    </row>
    <row r="182">
      <c r="B182" t="s" s="56">
        <v>555</v>
      </c>
      <c r="C182" s="56"/>
      <c r="D182" s="69"/>
      <c r="E182" t="e" s="69">
        <f>SUM(E177:E181)</f>
        <v>#DIV/0!</v>
      </c>
      <c r="F182" t="e" s="69">
        <f>SUM(F177:F181)</f>
        <v>#DIV/0!</v>
      </c>
      <c r="G182" t="e" s="69">
        <f>SUM(G177:G181)</f>
        <v>#DIV/0!</v>
      </c>
      <c r="H182" t="e" s="69">
        <f>SUM(H177:H181)</f>
        <v>#DIV/0!</v>
      </c>
      <c r="I182" t="e" s="69">
        <f>SUM(I177:I181)</f>
        <v>#DIV/0!</v>
      </c>
    </row>
    <row r="183">
      <c r="B183" t="s" s="71">
        <v>556</v>
      </c>
      <c r="D183" s="68"/>
      <c r="E183" t="e" s="68">
        <f>E175*$C149/$C144</f>
        <v>#DIV/0!</v>
      </c>
      <c r="F183" t="e" s="68">
        <f>F175*$C149/$C144</f>
        <v>#DIV/0!</v>
      </c>
      <c r="G183" t="e" s="68">
        <f>G175*$C149/$C144</f>
        <v>#DIV/0!</v>
      </c>
      <c r="H183" t="e" s="68">
        <f>H175*$C149/$C144</f>
        <v>#DIV/0!</v>
      </c>
      <c r="I183" t="e" s="68">
        <f>I175*$C149/$C144</f>
        <v>#DIV/0!</v>
      </c>
    </row>
    <row r="184">
      <c r="B184" t="s" s="71">
        <v>557</v>
      </c>
      <c r="D184" s="68"/>
      <c r="E184" t="e" s="68">
        <f>E177+E178+E180-E183</f>
        <v>#DIV/0!</v>
      </c>
      <c r="F184" t="e" s="68">
        <f>F177+F178+F180-F183</f>
        <v>#DIV/0!</v>
      </c>
      <c r="G184" t="e" s="68">
        <f>G177+G178+G180-G183</f>
        <v>#DIV/0!</v>
      </c>
      <c r="H184" t="e" s="68">
        <f>H177+H178+H180-H183</f>
        <v>#DIV/0!</v>
      </c>
      <c r="I184" t="e" s="68">
        <f>I177+I178+I180-I183</f>
        <v>#DIV/0!</v>
      </c>
    </row>
    <row r="185">
      <c r="B185" t="s" s="71">
        <v>558</v>
      </c>
      <c r="D185" s="68"/>
      <c r="E185" t="e" s="68">
        <f>D188</f>
        <v>#DIV/0!</v>
      </c>
      <c r="F185" t="e" s="68">
        <f>E188</f>
        <v>#DIV/0!</v>
      </c>
      <c r="G185" t="e" s="68">
        <f>F188</f>
        <v>#DIV/0!</v>
      </c>
      <c r="H185" t="e" s="68">
        <f>G188</f>
        <v>#DIV/0!</v>
      </c>
      <c r="I185" t="e" s="68">
        <f>H188</f>
        <v>#DIV/0!</v>
      </c>
    </row>
    <row r="186">
      <c r="B186" t="s" s="71">
        <v>559</v>
      </c>
      <c r="D186" s="68"/>
      <c r="E186" t="e" s="68">
        <f>-MIN(E185,$C$18*$D188)</f>
        <v>#DIV/0!</v>
      </c>
      <c r="F186" t="e" s="68">
        <f>-MIN(F185,$C$18*$D188)</f>
        <v>#DIV/0!</v>
      </c>
      <c r="G186" t="e" s="68">
        <f>-MIN(G185,$C$18*$D188)</f>
        <v>#DIV/0!</v>
      </c>
      <c r="H186" t="e" s="68">
        <f>-MIN(H185,$C$18*$D188)</f>
        <v>#DIV/0!</v>
      </c>
      <c r="I186" t="e" s="68">
        <f>-MIN(I185,$C$18*$D188)</f>
        <v>#DIV/0!</v>
      </c>
    </row>
    <row r="187">
      <c r="B187" t="s" s="71">
        <v>560</v>
      </c>
      <c r="D187" s="68"/>
      <c r="E187" t="e" s="68">
        <f>-MIN(E185+E186,MAX(0,E182+E186)*$C$19)</f>
        <v>#DIV/0!</v>
      </c>
      <c r="F187" t="e" s="68">
        <f>-MIN(F185+F186,MAX(0,F182+F186)*$C$19)</f>
        <v>#DIV/0!</v>
      </c>
      <c r="G187" t="e" s="68">
        <f>-MIN(G185+G186,MAX(0,G182+G186)*$C$19)</f>
        <v>#DIV/0!</v>
      </c>
      <c r="H187" t="e" s="68">
        <f>-MIN(H185+H186,MAX(0,H182+H186)*$C$19)</f>
        <v>#DIV/0!</v>
      </c>
      <c r="I187" t="e" s="68">
        <f>-MIN(I185+I186,MAX(0,I182+I186)*$C$19)</f>
        <v>#DIV/0!</v>
      </c>
    </row>
    <row r="188">
      <c r="B188" t="s" s="56">
        <v>561</v>
      </c>
      <c r="C188" s="56"/>
      <c r="D188" t="e" s="69">
        <f>C165</f>
        <v>#DIV/0!</v>
      </c>
      <c r="E188" t="e" s="69">
        <f>SUM(E185:E187)</f>
        <v>#DIV/0!</v>
      </c>
      <c r="F188" t="e" s="69">
        <f>SUM(F185:F187)</f>
        <v>#DIV/0!</v>
      </c>
      <c r="G188" t="e" s="69">
        <f>SUM(G185:G187)</f>
        <v>#DIV/0!</v>
      </c>
      <c r="H188" t="e" s="69">
        <f>SUM(H185:H187)</f>
        <v>#DIV/0!</v>
      </c>
      <c r="I188" t="e" s="69">
        <f>SUM(I185:I187)</f>
        <v>#DIV/0!</v>
      </c>
    </row>
    <row r="189">
      <c r="B189" t="s" s="71">
        <v>562</v>
      </c>
      <c r="D189" s="68">
        <f>C161</f>
        <v>0</v>
      </c>
      <c r="E189" t="e" s="68">
        <f>D189+E182+E186+E187</f>
        <v>#DIV/0!</v>
      </c>
      <c r="F189" t="e" s="68">
        <f>E189+F182+F186+F187</f>
        <v>#DIV/0!</v>
      </c>
      <c r="G189" t="e" s="68">
        <f>F189+G182+G186+G187</f>
        <v>#DIV/0!</v>
      </c>
      <c r="H189" t="e" s="68">
        <f>G189+H182+H186+H187</f>
        <v>#DIV/0!</v>
      </c>
      <c r="I189" t="e" s="68">
        <f>H189+I182+I186+I187</f>
        <v>#DIV/0!</v>
      </c>
    </row>
    <row r="190">
      <c r="B190" t="s">
        <v>563</v>
      </c>
      <c r="D190" t="e" s="68">
        <f>D188-D189</f>
        <v>#DIV/0!</v>
      </c>
      <c r="E190" t="e" s="68">
        <f>E188-E189</f>
        <v>#DIV/0!</v>
      </c>
      <c r="F190" t="e" s="68">
        <f>F188-F189</f>
        <v>#DIV/0!</v>
      </c>
      <c r="G190" t="e" s="68">
        <f>G188-G189</f>
        <v>#DIV/0!</v>
      </c>
      <c r="H190" t="e" s="68">
        <f>H188-H189</f>
        <v>#DIV/0!</v>
      </c>
      <c r="I190" t="e" s="68">
        <f>I188-I189</f>
        <v>#DIV/0!</v>
      </c>
    </row>
    <row r="191">
      <c r="B191" t="s">
        <v>564</v>
      </c>
      <c r="D191" t="e" s="22">
        <f>D190/D177</f>
        <v>#DIV/0!</v>
      </c>
      <c r="E191" t="e" s="22">
        <f>E190/E177</f>
        <v>#DIV/0!</v>
      </c>
      <c r="F191" t="e" s="22">
        <f>F190/F177</f>
        <v>#DIV/0!</v>
      </c>
      <c r="G191" t="e" s="22">
        <f>G190/G177</f>
        <v>#DIV/0!</v>
      </c>
      <c r="H191" t="e" s="22">
        <f>H190/H177</f>
        <v>#DIV/0!</v>
      </c>
      <c r="I191" t="e" s="22">
        <f>I190/I177</f>
        <v>#DIV/0!</v>
      </c>
    </row>
    <row r="192">
      <c r="B192" t="s">
        <v>565</v>
      </c>
      <c r="D192" s="22"/>
      <c r="E192" t="e" s="22">
        <f>IF(E180&lt;0,E177/-E180,"n.a.")</f>
        <v>#DIV/0!</v>
      </c>
      <c r="F192" t="e" s="22">
        <f>IF(F180&lt;0,F177/-F180,"n.a.")</f>
        <v>#DIV/0!</v>
      </c>
      <c r="G192" t="e" s="22">
        <f>IF(G180&lt;0,G177/-G180,"n.a.")</f>
        <v>#DIV/0!</v>
      </c>
      <c r="H192" t="e" s="22">
        <f>IF(H180&lt;0,H177/-H180,"n.a.")</f>
        <v>#DIV/0!</v>
      </c>
      <c r="I192" t="e" s="22">
        <f>IF(I180&lt;0,I177/-I180,"n.a.")</f>
        <v>#DIV/0!</v>
      </c>
    </row>
    <row r="193">
      <c r="B193" t="s" s="67">
        <v>566</v>
      </c>
    </row>
    <row r="194">
      <c r="B194" t="s" s="71">
        <v>567</v>
      </c>
      <c r="C194" t="e" s="68">
        <f>I177*C159</f>
        <v>#DIV/0!</v>
      </c>
    </row>
    <row r="195">
      <c r="B195" t="s" s="71">
        <v>568</v>
      </c>
      <c r="C195" t="e" s="68">
        <f>-I190</f>
        <v>#DIV/0!</v>
      </c>
    </row>
    <row r="196">
      <c r="B196" t="s" s="56">
        <v>569</v>
      </c>
      <c r="C196" t="e" s="69">
        <f>C194+C195</f>
        <v>#DIV/0!</v>
      </c>
      <c r="D196" s="56"/>
      <c r="E196" s="56"/>
      <c r="F196" s="56"/>
      <c r="G196" s="56"/>
      <c r="H196" s="56"/>
      <c r="I196" s="56"/>
    </row>
    <row r="197">
      <c r="B197" t="s">
        <v>570</v>
      </c>
      <c r="D197" t="e" s="68">
        <f>-C170</f>
        <v>#DIV/0!</v>
      </c>
      <c r="E197" t="e" s="68">
        <f>IF(YEAR(E141)=YEAR($C$33)+$C$34,$C196,0)</f>
        <v>#DIV/0!</v>
      </c>
      <c r="F197" s="68">
        <f>IF(YEAR(F141)=YEAR($C$33)+$C$34,$C196,0)</f>
        <v>0</v>
      </c>
      <c r="G197" s="68">
        <f>IF(YEAR(G141)=YEAR($C$33)+$C$34,$C196,0)</f>
        <v>0</v>
      </c>
      <c r="H197" s="68">
        <f>IF(YEAR(H141)=YEAR($C$33)+$C$34,$C196,0)</f>
        <v>0</v>
      </c>
      <c r="I197" s="68">
        <f>IF(YEAR(I141)=YEAR($C$33)+$C$34,$C196,0)</f>
        <v>0</v>
      </c>
    </row>
    <row r="198">
      <c r="B198" t="s">
        <v>571</v>
      </c>
      <c r="C198" t="e" s="53">
        <f>SUMIF(D197:I197,"&gt;0")/-SUMIF(D197:I197,"&lt;0")</f>
        <v>#DIV/0!</v>
      </c>
    </row>
    <row r="199">
      <c r="B199" t="s" s="56">
        <v>572</v>
      </c>
      <c r="C199" t="e" s="57">
        <f>XIRR(D197:I197,D141:I141)</f>
        <v>#DIV/0!</v>
      </c>
      <c r="D199" s="56"/>
      <c r="E199" s="56"/>
      <c r="F199" s="56"/>
      <c r="G199" s="56"/>
      <c r="H199" s="56"/>
      <c r="I199" s="56"/>
    </row>
    <row r="202">
      <c r="B202" t="s" s="5">
        <v>750</v>
      </c>
      <c r="C202" s="5"/>
      <c r="D202" s="5"/>
      <c r="E202" s="5"/>
      <c r="F202" s="5"/>
      <c r="G202" s="5"/>
      <c r="H202" s="5"/>
      <c r="I202" s="5"/>
    </row>
    <row r="203">
      <c r="B203" t="s" s="3">
        <v>516</v>
      </c>
      <c r="C203" t="s" s="64">
        <v>573</v>
      </c>
      <c r="D203" s="65">
        <f>$C$33</f>
        <v>0</v>
      </c>
      <c r="E203" s="66">
        <f>EDATE(D203,12)</f>
        <v>366</v>
      </c>
      <c r="F203" s="66">
        <f>EDATE(E203,12)</f>
        <v>731</v>
      </c>
      <c r="G203" s="66">
        <f>EDATE(F203,12)</f>
        <v>1096</v>
      </c>
      <c r="H203" s="66">
        <f>EDATE(G203,12)</f>
        <v>1461</v>
      </c>
      <c r="I203" s="66">
        <f>EDATE(H203,12)</f>
        <v>1827</v>
      </c>
    </row>
    <row r="204">
      <c r="B204" t="s">
        <v>743</v>
      </c>
      <c r="C204" s="29"/>
    </row>
    <row r="205">
      <c r="B205" t="s">
        <v>518</v>
      </c>
      <c r="C205" s="31"/>
    </row>
    <row r="206">
      <c r="B206" t="s">
        <v>519</v>
      </c>
      <c r="C206" s="73">
        <f>Screen!F48</f>
        <v>0</v>
      </c>
    </row>
    <row r="207">
      <c r="B207" t="s" s="3">
        <v>520</v>
      </c>
      <c r="C207" t="str" s="76">
        <f>Screen!H48</f>
        <v>n.a.</v>
      </c>
      <c r="D207" s="3"/>
      <c r="E207" s="3"/>
      <c r="F207" s="3"/>
      <c r="G207" s="3"/>
      <c r="H207" s="3"/>
      <c r="I207" s="3"/>
    </row>
    <row r="208">
      <c r="B208" t="s">
        <v>521</v>
      </c>
      <c r="C208" s="73">
        <f>Screen!L48</f>
        <v>0</v>
      </c>
    </row>
    <row r="209">
      <c r="B209" t="s" s="3">
        <v>522</v>
      </c>
      <c r="C209" t="str" s="76">
        <f>Screen!M48</f>
        <v>n.a.</v>
      </c>
      <c r="D209" s="3"/>
      <c r="E209" s="3"/>
      <c r="F209" s="3"/>
      <c r="G209" s="3"/>
      <c r="H209" s="3"/>
      <c r="I209" s="3"/>
    </row>
    <row r="210">
      <c r="B210" t="s">
        <v>523</v>
      </c>
      <c r="C210" s="73">
        <f>Screen!K48</f>
        <v>0</v>
      </c>
    </row>
    <row r="211">
      <c r="B211" t="s">
        <v>524</v>
      </c>
      <c r="C211" s="73">
        <f>Screen!J48</f>
        <v>0</v>
      </c>
    </row>
    <row r="212">
      <c r="B212" t="s">
        <v>525</v>
      </c>
      <c r="C212" s="30"/>
    </row>
    <row r="213">
      <c r="B213" t="s">
        <v>526</v>
      </c>
      <c r="C213" s="73">
        <f>SUM(Screen!N48:P48)</f>
        <v>0</v>
      </c>
    </row>
    <row r="214">
      <c r="B214" t="s">
        <v>291</v>
      </c>
      <c r="C214" s="73">
        <f>Screen!Q48</f>
        <v>0</v>
      </c>
    </row>
    <row r="215">
      <c r="B215" t="s" s="3">
        <v>574</v>
      </c>
      <c r="C215" t="e" s="58">
        <f>AVERAGE(D215:E215)</f>
        <v>#DIV/0!</v>
      </c>
      <c r="D215" s="77"/>
      <c r="E215" s="77"/>
      <c r="F215" s="125"/>
      <c r="G215" s="3"/>
      <c r="H215" s="3"/>
      <c r="I215" s="3"/>
      <c r="K215" s="4"/>
    </row>
    <row r="216">
      <c r="B216" t="s">
        <v>3</v>
      </c>
      <c r="C216" s="9">
        <f>C204*(1+$C$6)</f>
        <v>0</v>
      </c>
    </row>
    <row r="217">
      <c r="B217" t="s">
        <v>528</v>
      </c>
      <c r="C217" s="68">
        <f>C216*C205</f>
        <v>0</v>
      </c>
    </row>
    <row r="218">
      <c r="B218" t="s" s="71">
        <v>529</v>
      </c>
      <c r="C218" s="68">
        <f>C213</f>
        <v>0</v>
      </c>
    </row>
    <row r="219">
      <c r="B219" t="s" s="71">
        <v>530</v>
      </c>
      <c r="C219" s="68">
        <f>-C214</f>
        <v>0</v>
      </c>
    </row>
    <row r="220">
      <c r="B220" t="s" s="56">
        <v>531</v>
      </c>
      <c r="C220" s="69">
        <f>SUM(C217:C219)</f>
        <v>0</v>
      </c>
      <c r="D220" s="56"/>
      <c r="E220" s="56"/>
      <c r="F220" s="56"/>
      <c r="G220" s="56"/>
      <c r="H220" s="56"/>
      <c r="I220" s="56"/>
    </row>
    <row r="221">
      <c r="B221" t="s">
        <v>532</v>
      </c>
      <c r="C221" t="e" s="13">
        <f>C220/C208</f>
        <v>#DIV/0!</v>
      </c>
    </row>
    <row r="222">
      <c r="B222" t="s" s="71">
        <v>533</v>
      </c>
      <c r="C222" t="e" s="68">
        <f>C220*$C$25</f>
        <v>#DIV/0!</v>
      </c>
    </row>
    <row r="223">
      <c r="B223" t="s" s="71">
        <v>534</v>
      </c>
      <c r="C223" s="68">
        <f>$C$28</f>
        <v>0</v>
      </c>
    </row>
    <row r="224">
      <c r="B224" t="s" s="56">
        <v>535</v>
      </c>
      <c r="C224" t="e" s="69">
        <f>C217+C218+C222+C223</f>
        <v>#DIV/0!</v>
      </c>
      <c r="D224" s="56"/>
      <c r="E224" s="56"/>
      <c r="F224" s="56"/>
      <c r="G224" s="56"/>
      <c r="H224" s="56"/>
      <c r="I224" s="56"/>
    </row>
    <row r="225">
      <c r="B225" t="s" s="71">
        <v>747</v>
      </c>
      <c r="C225" t="e" s="68">
        <f>$C$9*C208</f>
        <v>#DIV/0!</v>
      </c>
    </row>
    <row r="226">
      <c r="B226" t="s" s="71">
        <v>748</v>
      </c>
      <c r="C226" t="e" s="68">
        <f>$C$11*(C224-C214)/(1-$C$11*$C$22)</f>
        <v>#DIV/0!</v>
      </c>
    </row>
    <row r="227">
      <c r="B227" t="s" s="56">
        <v>538</v>
      </c>
      <c r="C227" t="e" s="69">
        <f>MIN(C225,C226)</f>
        <v>#DIV/0!</v>
      </c>
      <c r="D227" s="56"/>
      <c r="E227" s="56"/>
      <c r="F227" s="56"/>
      <c r="G227" s="56"/>
      <c r="H227" s="56"/>
      <c r="I227" s="56"/>
    </row>
    <row r="228">
      <c r="B228" t="s">
        <v>539</v>
      </c>
      <c r="C228" t="e" s="16">
        <f>IF(C225&lt;=C226,"Leverage","Equity floor")</f>
        <v>#DIV/0!</v>
      </c>
    </row>
    <row r="229">
      <c r="B229" t="s" s="71">
        <v>540</v>
      </c>
      <c r="C229" t="e" s="68">
        <f>C227*$C$22</f>
        <v>#DIV/0!</v>
      </c>
    </row>
    <row r="230">
      <c r="B230" t="s" s="56">
        <v>541</v>
      </c>
      <c r="C230" t="e" s="69">
        <f>C224+C229</f>
        <v>#DIV/0!</v>
      </c>
      <c r="D230" s="56"/>
      <c r="E230" s="56"/>
      <c r="F230" s="56"/>
      <c r="G230" s="56"/>
      <c r="H230" s="56"/>
      <c r="I230" s="56"/>
    </row>
    <row r="231">
      <c r="B231" t="s" s="71">
        <v>542</v>
      </c>
      <c r="C231" s="68">
        <f>C214</f>
        <v>0</v>
      </c>
    </row>
    <row r="232">
      <c r="B232" t="s" s="56">
        <v>543</v>
      </c>
      <c r="C232" t="e" s="69">
        <f>C230-C227-C231</f>
        <v>#DIV/0!</v>
      </c>
      <c r="D232" s="56"/>
      <c r="E232" s="56"/>
      <c r="F232" s="56"/>
      <c r="G232" s="56"/>
      <c r="H232" s="56"/>
      <c r="I232" s="56"/>
    </row>
    <row r="233">
      <c r="B233" t="s">
        <v>544</v>
      </c>
      <c r="C233" t="e" s="13">
        <f>C227/C208</f>
        <v>#DIV/0!</v>
      </c>
    </row>
    <row r="234">
      <c r="B234" t="s" s="3">
        <v>545</v>
      </c>
      <c r="C234" t="e" s="58">
        <f>C232/(C232+C227)</f>
        <v>#DIV/0!</v>
      </c>
      <c r="D234" s="3"/>
      <c r="E234" s="3"/>
      <c r="F234" s="3"/>
      <c r="G234" s="3"/>
      <c r="H234" s="3"/>
      <c r="I234" s="3"/>
    </row>
    <row r="235">
      <c r="B235" t="s" s="67">
        <v>546</v>
      </c>
    </row>
    <row r="236">
      <c r="B236" t="s" s="3">
        <v>547</v>
      </c>
      <c r="C236" s="3"/>
      <c r="D236" s="58"/>
      <c r="E236" t="e" s="58">
        <f>C215</f>
        <v>#DIV/0!</v>
      </c>
      <c r="F236" t="e" s="58">
        <f>MAX(E236-$C$29,MIN($C$30,$C207))</f>
        <v>#DIV/0!</v>
      </c>
      <c r="G236" t="e" s="58">
        <f>MAX(F236-$C$29,MIN($C$30,$C207))</f>
        <v>#DIV/0!</v>
      </c>
      <c r="H236" t="e" s="58">
        <f>MAX(G236-$C$29,MIN($C$30,$C207))</f>
        <v>#DIV/0!</v>
      </c>
      <c r="I236" t="e" s="58">
        <f>MAX(H236-$C$29,MIN($C$30,$C207))</f>
        <v>#DIV/0!</v>
      </c>
    </row>
    <row r="237">
      <c r="B237" t="s" s="56">
        <v>548</v>
      </c>
      <c r="C237" s="56"/>
      <c r="D237" s="70">
        <f>C206</f>
        <v>0</v>
      </c>
      <c r="E237" t="e" s="70">
        <f>D237*(1+E236)</f>
        <v>#DIV/0!</v>
      </c>
      <c r="F237" t="e" s="70">
        <f>E237*(1+F236)</f>
        <v>#DIV/0!</v>
      </c>
      <c r="G237" t="e" s="70">
        <f>F237*(1+G236)</f>
        <v>#DIV/0!</v>
      </c>
      <c r="H237" t="e" s="70">
        <f>G237*(1+H236)</f>
        <v>#DIV/0!</v>
      </c>
      <c r="I237" t="e" s="70">
        <f>H237*(1+I236)</f>
        <v>#DIV/0!</v>
      </c>
    </row>
    <row r="238">
      <c r="B238" t="s" s="3">
        <v>549</v>
      </c>
      <c r="C238" s="3"/>
      <c r="D238" t="str" s="58">
        <f>C209</f>
        <v>n.a.</v>
      </c>
      <c r="E238" t="e" s="58">
        <f>MIN(D238+$C$31,MAX($C$32,$C209))</f>
        <v>#VALUE!</v>
      </c>
      <c r="F238" t="e" s="58">
        <f>MIN(E238+$C$31,MAX($C$32,$C209))</f>
        <v>#VALUE!</v>
      </c>
      <c r="G238" t="e" s="58">
        <f>MIN(F238+$C$31,MAX($C$32,$C209))</f>
        <v>#VALUE!</v>
      </c>
      <c r="H238" t="e" s="58">
        <f>MIN(G238+$C$31,MAX($C$32,$C209))</f>
        <v>#VALUE!</v>
      </c>
      <c r="I238" t="e" s="58">
        <f>MIN(H238+$C$31,MAX($C$32,$C209))</f>
        <v>#VALUE!</v>
      </c>
    </row>
    <row r="239">
      <c r="B239" t="s" s="56">
        <v>550</v>
      </c>
      <c r="C239" s="56"/>
      <c r="D239" t="e" s="69">
        <f>D237*D238</f>
        <v>#VALUE!</v>
      </c>
      <c r="E239" t="e" s="69">
        <f>E237*E238</f>
        <v>#DIV/0!</v>
      </c>
      <c r="F239" t="e" s="69">
        <f>F237*F238</f>
        <v>#DIV/0!</v>
      </c>
      <c r="G239" t="e" s="69">
        <f>G237*G238</f>
        <v>#DIV/0!</v>
      </c>
      <c r="H239" t="e" s="69">
        <f>H237*H238</f>
        <v>#DIV/0!</v>
      </c>
      <c r="I239" t="e" s="69">
        <f>I237*I238</f>
        <v>#DIV/0!</v>
      </c>
    </row>
    <row r="240">
      <c r="B240" t="s" s="71">
        <v>551</v>
      </c>
      <c r="D240" s="68"/>
      <c r="E240" s="68">
        <f>-$C$26*$C210</f>
        <v>0</v>
      </c>
      <c r="F240" s="68">
        <f>-$C$26*$C210</f>
        <v>0</v>
      </c>
      <c r="G240" s="68">
        <f>-$C$26*$C210</f>
        <v>0</v>
      </c>
      <c r="H240" s="68">
        <f>-$C$26*$C210</f>
        <v>0</v>
      </c>
      <c r="I240" s="68">
        <f>-$C$26*$C210</f>
        <v>0</v>
      </c>
    </row>
    <row r="241">
      <c r="B241" t="s" s="71">
        <v>552</v>
      </c>
      <c r="D241" s="68"/>
      <c r="E241" t="e" s="68">
        <f>-E237*$C212/$C206</f>
        <v>#DIV/0!</v>
      </c>
      <c r="F241" t="e" s="68">
        <f>-F237*$C212/$C206</f>
        <v>#DIV/0!</v>
      </c>
      <c r="G241" t="e" s="68">
        <f>-G237*$C212/$C206</f>
        <v>#DIV/0!</v>
      </c>
      <c r="H241" t="e" s="68">
        <f>-H237*$C212/$C206</f>
        <v>#DIV/0!</v>
      </c>
      <c r="I241" t="e" s="68">
        <f>-I237*$C212/$C206</f>
        <v>#DIV/0!</v>
      </c>
    </row>
    <row r="242">
      <c r="B242" t="s" s="71">
        <v>553</v>
      </c>
      <c r="D242" s="68"/>
      <c r="E242" t="e" s="68">
        <f>-E247*$C$17</f>
        <v>#DIV/0!</v>
      </c>
      <c r="F242" t="e" s="68">
        <f>-F247*$C$17</f>
        <v>#DIV/0!</v>
      </c>
      <c r="G242" t="e" s="68">
        <f>-G247*$C$17</f>
        <v>#DIV/0!</v>
      </c>
      <c r="H242" t="e" s="68">
        <f>-H247*$C$17</f>
        <v>#DIV/0!</v>
      </c>
      <c r="I242" t="e" s="68">
        <f>-I247*$C$17</f>
        <v>#DIV/0!</v>
      </c>
    </row>
    <row r="243">
      <c r="B243" t="s" s="71">
        <v>554</v>
      </c>
      <c r="D243" s="68"/>
      <c r="E243" t="e" s="68">
        <f>-MAX(0,E246)*$C$27</f>
        <v>#DIV/0!</v>
      </c>
      <c r="F243" t="e" s="68">
        <f>-MAX(0,F246)*$C$27</f>
        <v>#DIV/0!</v>
      </c>
      <c r="G243" t="e" s="68">
        <f>-MAX(0,G246)*$C$27</f>
        <v>#DIV/0!</v>
      </c>
      <c r="H243" t="e" s="68">
        <f>-MAX(0,H246)*$C$27</f>
        <v>#DIV/0!</v>
      </c>
      <c r="I243" t="e" s="68">
        <f>-MAX(0,I246)*$C$27</f>
        <v>#DIV/0!</v>
      </c>
    </row>
    <row r="244">
      <c r="B244" t="s" s="56">
        <v>555</v>
      </c>
      <c r="C244" s="56"/>
      <c r="D244" s="69"/>
      <c r="E244" t="e" s="69">
        <f>SUM(E239:E243)</f>
        <v>#DIV/0!</v>
      </c>
      <c r="F244" t="e" s="69">
        <f>SUM(F239:F243)</f>
        <v>#DIV/0!</v>
      </c>
      <c r="G244" t="e" s="69">
        <f>SUM(G239:G243)</f>
        <v>#DIV/0!</v>
      </c>
      <c r="H244" t="e" s="69">
        <f>SUM(H239:H243)</f>
        <v>#DIV/0!</v>
      </c>
      <c r="I244" t="e" s="69">
        <f>SUM(I239:I243)</f>
        <v>#DIV/0!</v>
      </c>
    </row>
    <row r="245">
      <c r="B245" t="s" s="71">
        <v>556</v>
      </c>
      <c r="D245" s="68"/>
      <c r="E245" t="e" s="68">
        <f>E237*$C211/$C206</f>
        <v>#DIV/0!</v>
      </c>
      <c r="F245" t="e" s="68">
        <f>F237*$C211/$C206</f>
        <v>#DIV/0!</v>
      </c>
      <c r="G245" t="e" s="68">
        <f>G237*$C211/$C206</f>
        <v>#DIV/0!</v>
      </c>
      <c r="H245" t="e" s="68">
        <f>H237*$C211/$C206</f>
        <v>#DIV/0!</v>
      </c>
      <c r="I245" t="e" s="68">
        <f>I237*$C211/$C206</f>
        <v>#DIV/0!</v>
      </c>
    </row>
    <row r="246">
      <c r="B246" t="s" s="71">
        <v>557</v>
      </c>
      <c r="D246" s="68"/>
      <c r="E246" t="e" s="68">
        <f>E239+E240+E242-E245</f>
        <v>#DIV/0!</v>
      </c>
      <c r="F246" t="e" s="68">
        <f>F239+F240+F242-F245</f>
        <v>#DIV/0!</v>
      </c>
      <c r="G246" t="e" s="68">
        <f>G239+G240+G242-G245</f>
        <v>#DIV/0!</v>
      </c>
      <c r="H246" t="e" s="68">
        <f>H239+H240+H242-H245</f>
        <v>#DIV/0!</v>
      </c>
      <c r="I246" t="e" s="68">
        <f>I239+I240+I242-I245</f>
        <v>#DIV/0!</v>
      </c>
    </row>
    <row r="247">
      <c r="B247" t="s" s="71">
        <v>558</v>
      </c>
      <c r="D247" s="68"/>
      <c r="E247" t="e" s="68">
        <f>D250</f>
        <v>#DIV/0!</v>
      </c>
      <c r="F247" t="e" s="68">
        <f>E250</f>
        <v>#DIV/0!</v>
      </c>
      <c r="G247" t="e" s="68">
        <f>F250</f>
        <v>#DIV/0!</v>
      </c>
      <c r="H247" t="e" s="68">
        <f>G250</f>
        <v>#DIV/0!</v>
      </c>
      <c r="I247" t="e" s="68">
        <f>H250</f>
        <v>#DIV/0!</v>
      </c>
    </row>
    <row r="248">
      <c r="B248" t="s" s="71">
        <v>559</v>
      </c>
      <c r="D248" s="68"/>
      <c r="E248" t="e" s="68">
        <f>-MIN(E247,$C$18*$D250)</f>
        <v>#DIV/0!</v>
      </c>
      <c r="F248" t="e" s="68">
        <f>-MIN(F247,$C$18*$D250)</f>
        <v>#DIV/0!</v>
      </c>
      <c r="G248" t="e" s="68">
        <f>-MIN(G247,$C$18*$D250)</f>
        <v>#DIV/0!</v>
      </c>
      <c r="H248" t="e" s="68">
        <f>-MIN(H247,$C$18*$D250)</f>
        <v>#DIV/0!</v>
      </c>
      <c r="I248" t="e" s="68">
        <f>-MIN(I247,$C$18*$D250)</f>
        <v>#DIV/0!</v>
      </c>
    </row>
    <row r="249">
      <c r="B249" t="s" s="71">
        <v>560</v>
      </c>
      <c r="D249" s="68"/>
      <c r="E249" t="e" s="68">
        <f>-MIN(E247+E248,MAX(0,E244+E248)*$C$19)</f>
        <v>#DIV/0!</v>
      </c>
      <c r="F249" t="e" s="68">
        <f>-MIN(F247+F248,MAX(0,F244+F248)*$C$19)</f>
        <v>#DIV/0!</v>
      </c>
      <c r="G249" t="e" s="68">
        <f>-MIN(G247+G248,MAX(0,G244+G248)*$C$19)</f>
        <v>#DIV/0!</v>
      </c>
      <c r="H249" t="e" s="68">
        <f>-MIN(H247+H248,MAX(0,H244+H248)*$C$19)</f>
        <v>#DIV/0!</v>
      </c>
      <c r="I249" t="e" s="68">
        <f>-MIN(I247+I248,MAX(0,I244+I248)*$C$19)</f>
        <v>#DIV/0!</v>
      </c>
    </row>
    <row r="250">
      <c r="B250" t="s" s="56">
        <v>561</v>
      </c>
      <c r="C250" s="56"/>
      <c r="D250" t="e" s="69">
        <f>C227</f>
        <v>#DIV/0!</v>
      </c>
      <c r="E250" t="e" s="69">
        <f>SUM(E247:E249)</f>
        <v>#DIV/0!</v>
      </c>
      <c r="F250" t="e" s="69">
        <f>SUM(F247:F249)</f>
        <v>#DIV/0!</v>
      </c>
      <c r="G250" t="e" s="69">
        <f>SUM(G247:G249)</f>
        <v>#DIV/0!</v>
      </c>
      <c r="H250" t="e" s="69">
        <f>SUM(H247:H249)</f>
        <v>#DIV/0!</v>
      </c>
      <c r="I250" t="e" s="69">
        <f>SUM(I247:I249)</f>
        <v>#DIV/0!</v>
      </c>
    </row>
    <row r="251">
      <c r="B251" t="s" s="71">
        <v>562</v>
      </c>
      <c r="D251" s="68">
        <f>C223</f>
        <v>0</v>
      </c>
      <c r="E251" t="e" s="68">
        <f>D251+E244+E248+E249</f>
        <v>#DIV/0!</v>
      </c>
      <c r="F251" t="e" s="68">
        <f>E251+F244+F248+F249</f>
        <v>#DIV/0!</v>
      </c>
      <c r="G251" t="e" s="68">
        <f>F251+G244+G248+G249</f>
        <v>#DIV/0!</v>
      </c>
      <c r="H251" t="e" s="68">
        <f>G251+H244+H248+H249</f>
        <v>#DIV/0!</v>
      </c>
      <c r="I251" t="e" s="68">
        <f>H251+I244+I248+I249</f>
        <v>#DIV/0!</v>
      </c>
    </row>
    <row r="252">
      <c r="B252" t="s">
        <v>563</v>
      </c>
      <c r="D252" t="e" s="68">
        <f>D250-D251</f>
        <v>#DIV/0!</v>
      </c>
      <c r="E252" t="e" s="68">
        <f>E250-E251</f>
        <v>#DIV/0!</v>
      </c>
      <c r="F252" t="e" s="68">
        <f>F250-F251</f>
        <v>#DIV/0!</v>
      </c>
      <c r="G252" t="e" s="68">
        <f>G250-G251</f>
        <v>#DIV/0!</v>
      </c>
      <c r="H252" t="e" s="68">
        <f>H250-H251</f>
        <v>#DIV/0!</v>
      </c>
      <c r="I252" t="e" s="68">
        <f>I250-I251</f>
        <v>#DIV/0!</v>
      </c>
    </row>
    <row r="253">
      <c r="B253" t="s">
        <v>564</v>
      </c>
      <c r="D253" t="e" s="22">
        <f>D252/D239</f>
        <v>#DIV/0!</v>
      </c>
      <c r="E253" t="e" s="22">
        <f>E252/E239</f>
        <v>#DIV/0!</v>
      </c>
      <c r="F253" t="e" s="22">
        <f>F252/F239</f>
        <v>#DIV/0!</v>
      </c>
      <c r="G253" t="e" s="22">
        <f>G252/G239</f>
        <v>#DIV/0!</v>
      </c>
      <c r="H253" t="e" s="22">
        <f>H252/H239</f>
        <v>#DIV/0!</v>
      </c>
      <c r="I253" t="e" s="22">
        <f>I252/I239</f>
        <v>#DIV/0!</v>
      </c>
    </row>
    <row r="254">
      <c r="B254" t="s">
        <v>565</v>
      </c>
      <c r="D254" s="22"/>
      <c r="E254" t="e" s="22">
        <f>IF(E242&lt;0,E239/-E242,"n.a.")</f>
        <v>#DIV/0!</v>
      </c>
      <c r="F254" t="e" s="22">
        <f>IF(F242&lt;0,F239/-F242,"n.a.")</f>
        <v>#DIV/0!</v>
      </c>
      <c r="G254" t="e" s="22">
        <f>IF(G242&lt;0,G239/-G242,"n.a.")</f>
        <v>#DIV/0!</v>
      </c>
      <c r="H254" t="e" s="22">
        <f>IF(H242&lt;0,H239/-H242,"n.a.")</f>
        <v>#DIV/0!</v>
      </c>
      <c r="I254" t="e" s="22">
        <f>IF(I242&lt;0,I239/-I242,"n.a.")</f>
        <v>#DIV/0!</v>
      </c>
    </row>
    <row r="255">
      <c r="B255" t="s" s="67">
        <v>566</v>
      </c>
    </row>
    <row r="256">
      <c r="B256" t="s" s="71">
        <v>567</v>
      </c>
      <c r="C256" t="e" s="68">
        <f>I239*C221</f>
        <v>#DIV/0!</v>
      </c>
    </row>
    <row r="257">
      <c r="B257" t="s" s="71">
        <v>568</v>
      </c>
      <c r="C257" t="e" s="68">
        <f>-I252</f>
        <v>#DIV/0!</v>
      </c>
    </row>
    <row r="258">
      <c r="B258" t="s" s="56">
        <v>569</v>
      </c>
      <c r="C258" t="e" s="69">
        <f>C256+C257</f>
        <v>#DIV/0!</v>
      </c>
      <c r="D258" s="56"/>
      <c r="E258" s="56"/>
      <c r="F258" s="56"/>
      <c r="G258" s="56"/>
      <c r="H258" s="56"/>
      <c r="I258" s="56"/>
    </row>
    <row r="259">
      <c r="B259" t="s">
        <v>570</v>
      </c>
      <c r="D259" t="e" s="68">
        <f>-C232</f>
        <v>#DIV/0!</v>
      </c>
      <c r="E259" t="e" s="68">
        <f>IF(YEAR(E203)=YEAR($C$33)+$C$34,$C258,0)</f>
        <v>#DIV/0!</v>
      </c>
      <c r="F259" s="68">
        <f>IF(YEAR(F203)=YEAR($C$33)+$C$34,$C258,0)</f>
        <v>0</v>
      </c>
      <c r="G259" s="68">
        <f>IF(YEAR(G203)=YEAR($C$33)+$C$34,$C258,0)</f>
        <v>0</v>
      </c>
      <c r="H259" s="68">
        <f>IF(YEAR(H203)=YEAR($C$33)+$C$34,$C258,0)</f>
        <v>0</v>
      </c>
      <c r="I259" s="68">
        <f>IF(YEAR(I203)=YEAR($C$33)+$C$34,$C258,0)</f>
        <v>0</v>
      </c>
    </row>
    <row r="260">
      <c r="B260" t="s">
        <v>571</v>
      </c>
      <c r="C260" t="e" s="53">
        <f>SUMIF(D259:I259,"&gt;0")/-SUMIF(D259:I259,"&lt;0")</f>
        <v>#DIV/0!</v>
      </c>
    </row>
    <row r="261">
      <c r="B261" t="s" s="56">
        <v>572</v>
      </c>
      <c r="C261" t="e" s="57">
        <f>XIRR(D259:I259,D203:I203)</f>
        <v>#DIV/0!</v>
      </c>
      <c r="D261" s="56"/>
      <c r="E261" s="56"/>
      <c r="F261" s="56"/>
      <c r="G261" s="56"/>
      <c r="H261" s="56"/>
      <c r="I261" s="56"/>
    </row>
    <row r="264">
      <c r="B264" t="s" s="5">
        <v>751</v>
      </c>
      <c r="C264" s="5"/>
      <c r="D264" s="5"/>
      <c r="E264" s="5"/>
      <c r="F264" s="5"/>
      <c r="G264" s="5"/>
      <c r="H264" s="5"/>
      <c r="I264" s="5"/>
    </row>
    <row r="265">
      <c r="B265" t="s" s="3">
        <v>516</v>
      </c>
      <c r="C265" t="s" s="64">
        <v>573</v>
      </c>
      <c r="D265" s="65">
        <f>$C$33</f>
        <v>0</v>
      </c>
      <c r="E265" s="66">
        <f>EDATE(D265,12)</f>
        <v>366</v>
      </c>
      <c r="F265" s="66">
        <f>EDATE(E265,12)</f>
        <v>731</v>
      </c>
      <c r="G265" s="66">
        <f>EDATE(F265,12)</f>
        <v>1096</v>
      </c>
      <c r="H265" s="66">
        <f>EDATE(G265,12)</f>
        <v>1461</v>
      </c>
      <c r="I265" s="66">
        <f>EDATE(H265,12)</f>
        <v>1827</v>
      </c>
    </row>
    <row r="266">
      <c r="B266" t="s">
        <v>743</v>
      </c>
      <c r="C266" s="29"/>
    </row>
    <row r="267">
      <c r="B267" t="s">
        <v>518</v>
      </c>
      <c r="C267" s="31"/>
    </row>
    <row r="268">
      <c r="B268" t="s">
        <v>519</v>
      </c>
      <c r="C268" s="73">
        <f>Screen!F49</f>
        <v>0</v>
      </c>
    </row>
    <row r="269">
      <c r="B269" t="s" s="3">
        <v>520</v>
      </c>
      <c r="C269" t="str" s="76">
        <f>Screen!H49</f>
        <v>n.a.</v>
      </c>
      <c r="D269" s="3"/>
      <c r="E269" s="3"/>
      <c r="F269" s="3"/>
      <c r="G269" s="3"/>
      <c r="H269" s="3"/>
      <c r="I269" s="3"/>
    </row>
    <row r="270">
      <c r="B270" t="s">
        <v>521</v>
      </c>
      <c r="C270" s="73">
        <f>Screen!L49</f>
        <v>0</v>
      </c>
    </row>
    <row r="271">
      <c r="B271" t="s" s="3">
        <v>522</v>
      </c>
      <c r="C271" t="str" s="76">
        <f>Screen!M49</f>
        <v>n.a.</v>
      </c>
      <c r="D271" s="3"/>
      <c r="E271" s="3"/>
      <c r="F271" s="3"/>
      <c r="G271" s="3"/>
      <c r="H271" s="3"/>
      <c r="I271" s="3"/>
    </row>
    <row r="272">
      <c r="B272" t="s">
        <v>523</v>
      </c>
      <c r="C272" s="73">
        <f>Screen!K49</f>
        <v>0</v>
      </c>
    </row>
    <row r="273">
      <c r="B273" t="s">
        <v>524</v>
      </c>
      <c r="C273" s="73">
        <f>Screen!J49</f>
        <v>0</v>
      </c>
    </row>
    <row r="274">
      <c r="B274" t="s">
        <v>525</v>
      </c>
      <c r="C274" s="30"/>
    </row>
    <row r="275">
      <c r="B275" t="s">
        <v>526</v>
      </c>
      <c r="C275" s="73">
        <f>SUM(Screen!N49:P49)</f>
        <v>0</v>
      </c>
    </row>
    <row r="276">
      <c r="B276" t="s">
        <v>291</v>
      </c>
      <c r="C276" s="73">
        <f>Screen!Q49</f>
        <v>0</v>
      </c>
    </row>
    <row r="277">
      <c r="B277" t="s" s="3">
        <v>574</v>
      </c>
      <c r="C277" t="e" s="58">
        <f>AVERAGE(D277:E277)</f>
        <v>#DIV/0!</v>
      </c>
      <c r="D277" s="77"/>
      <c r="E277" s="77"/>
      <c r="F277" s="125"/>
      <c r="G277" s="3"/>
      <c r="H277" s="3"/>
      <c r="I277" s="3"/>
      <c r="K277" s="4"/>
    </row>
    <row r="278">
      <c r="B278" t="s">
        <v>3</v>
      </c>
      <c r="C278" s="9">
        <f>C266*(1+$C$6)</f>
        <v>0</v>
      </c>
    </row>
    <row r="279">
      <c r="B279" t="s">
        <v>528</v>
      </c>
      <c r="C279" s="68">
        <f>C278*C267</f>
        <v>0</v>
      </c>
    </row>
    <row r="280">
      <c r="B280" t="s" s="71">
        <v>529</v>
      </c>
      <c r="C280" s="68">
        <f>C275</f>
        <v>0</v>
      </c>
    </row>
    <row r="281">
      <c r="B281" t="s" s="71">
        <v>530</v>
      </c>
      <c r="C281" s="68">
        <f>-C276</f>
        <v>0</v>
      </c>
    </row>
    <row r="282">
      <c r="B282" t="s" s="56">
        <v>531</v>
      </c>
      <c r="C282" s="69">
        <f>SUM(C279:C281)</f>
        <v>0</v>
      </c>
      <c r="D282" s="56"/>
      <c r="E282" s="56"/>
      <c r="F282" s="56"/>
      <c r="G282" s="56"/>
      <c r="H282" s="56"/>
      <c r="I282" s="56"/>
    </row>
    <row r="283">
      <c r="B283" t="s">
        <v>532</v>
      </c>
      <c r="C283" t="e" s="13">
        <f>C282/C270</f>
        <v>#DIV/0!</v>
      </c>
    </row>
    <row r="284">
      <c r="B284" t="s" s="71">
        <v>533</v>
      </c>
      <c r="C284" t="e" s="68">
        <f>C282*$C$25</f>
        <v>#DIV/0!</v>
      </c>
    </row>
    <row r="285">
      <c r="B285" t="s" s="71">
        <v>534</v>
      </c>
      <c r="C285" s="68">
        <f>$C$28</f>
        <v>0</v>
      </c>
    </row>
    <row r="286">
      <c r="B286" t="s" s="56">
        <v>535</v>
      </c>
      <c r="C286" t="e" s="69">
        <f>C279+C280+C284+C285</f>
        <v>#DIV/0!</v>
      </c>
      <c r="D286" s="56"/>
      <c r="E286" s="56"/>
      <c r="F286" s="56"/>
      <c r="G286" s="56"/>
      <c r="H286" s="56"/>
      <c r="I286" s="56"/>
    </row>
    <row r="287">
      <c r="B287" t="s" s="71">
        <v>747</v>
      </c>
      <c r="C287" t="e" s="68">
        <f>$C$9*C270</f>
        <v>#DIV/0!</v>
      </c>
    </row>
    <row r="288">
      <c r="B288" t="s" s="71">
        <v>748</v>
      </c>
      <c r="C288" t="e" s="68">
        <f>$C$11*(C286-C276)/(1-$C$11*$C$22)</f>
        <v>#DIV/0!</v>
      </c>
    </row>
    <row r="289">
      <c r="B289" t="s" s="56">
        <v>538</v>
      </c>
      <c r="C289" t="e" s="69">
        <f>MIN(C287,C288)</f>
        <v>#DIV/0!</v>
      </c>
      <c r="D289" s="56"/>
      <c r="E289" s="56"/>
      <c r="F289" s="56"/>
      <c r="G289" s="56"/>
      <c r="H289" s="56"/>
      <c r="I289" s="56"/>
    </row>
    <row r="290">
      <c r="B290" t="s">
        <v>539</v>
      </c>
      <c r="C290" t="e" s="16">
        <f>IF(C287&lt;=C288,"Leverage","Equity floor")</f>
        <v>#DIV/0!</v>
      </c>
    </row>
    <row r="291">
      <c r="B291" t="s" s="71">
        <v>540</v>
      </c>
      <c r="C291" t="e" s="68">
        <f>C289*$C$22</f>
        <v>#DIV/0!</v>
      </c>
    </row>
    <row r="292">
      <c r="B292" t="s" s="56">
        <v>541</v>
      </c>
      <c r="C292" t="e" s="69">
        <f>C286+C291</f>
        <v>#DIV/0!</v>
      </c>
      <c r="D292" s="56"/>
      <c r="E292" s="56"/>
      <c r="F292" s="56"/>
      <c r="G292" s="56"/>
      <c r="H292" s="56"/>
      <c r="I292" s="56"/>
    </row>
    <row r="293">
      <c r="B293" t="s" s="71">
        <v>542</v>
      </c>
      <c r="C293" s="68">
        <f>C276</f>
        <v>0</v>
      </c>
    </row>
    <row r="294">
      <c r="B294" t="s" s="56">
        <v>543</v>
      </c>
      <c r="C294" t="e" s="69">
        <f>C292-C289-C293</f>
        <v>#DIV/0!</v>
      </c>
      <c r="D294" s="56"/>
      <c r="E294" s="56"/>
      <c r="F294" s="56"/>
      <c r="G294" s="56"/>
      <c r="H294" s="56"/>
      <c r="I294" s="56"/>
    </row>
    <row r="295">
      <c r="B295" t="s">
        <v>544</v>
      </c>
      <c r="C295" t="e" s="13">
        <f>C289/C270</f>
        <v>#DIV/0!</v>
      </c>
    </row>
    <row r="296">
      <c r="B296" t="s" s="3">
        <v>545</v>
      </c>
      <c r="C296" t="e" s="58">
        <f>C294/(C294+C289)</f>
        <v>#DIV/0!</v>
      </c>
      <c r="D296" s="3"/>
      <c r="E296" s="3"/>
      <c r="F296" s="3"/>
      <c r="G296" s="3"/>
      <c r="H296" s="3"/>
      <c r="I296" s="3"/>
    </row>
    <row r="297">
      <c r="B297" t="s" s="67">
        <v>546</v>
      </c>
    </row>
    <row r="298">
      <c r="B298" t="s" s="3">
        <v>547</v>
      </c>
      <c r="C298" s="3"/>
      <c r="D298" s="58"/>
      <c r="E298" t="e" s="58">
        <f>C277</f>
        <v>#DIV/0!</v>
      </c>
      <c r="F298" t="e" s="58">
        <f>MAX(E298-$C$29,MIN($C$30,$C269))</f>
        <v>#DIV/0!</v>
      </c>
      <c r="G298" t="e" s="58">
        <f>MAX(F298-$C$29,MIN($C$30,$C269))</f>
        <v>#DIV/0!</v>
      </c>
      <c r="H298" t="e" s="58">
        <f>MAX(G298-$C$29,MIN($C$30,$C269))</f>
        <v>#DIV/0!</v>
      </c>
      <c r="I298" t="e" s="58">
        <f>MAX(H298-$C$29,MIN($C$30,$C269))</f>
        <v>#DIV/0!</v>
      </c>
    </row>
    <row r="299">
      <c r="B299" t="s" s="56">
        <v>548</v>
      </c>
      <c r="C299" s="56"/>
      <c r="D299" s="70">
        <f>C268</f>
        <v>0</v>
      </c>
      <c r="E299" t="e" s="70">
        <f>D299*(1+E298)</f>
        <v>#DIV/0!</v>
      </c>
      <c r="F299" t="e" s="70">
        <f>E299*(1+F298)</f>
        <v>#DIV/0!</v>
      </c>
      <c r="G299" t="e" s="70">
        <f>F299*(1+G298)</f>
        <v>#DIV/0!</v>
      </c>
      <c r="H299" t="e" s="70">
        <f>G299*(1+H298)</f>
        <v>#DIV/0!</v>
      </c>
      <c r="I299" t="e" s="70">
        <f>H299*(1+I298)</f>
        <v>#DIV/0!</v>
      </c>
    </row>
    <row r="300">
      <c r="B300" t="s" s="3">
        <v>549</v>
      </c>
      <c r="C300" s="3"/>
      <c r="D300" t="str" s="58">
        <f>C271</f>
        <v>n.a.</v>
      </c>
      <c r="E300" t="e" s="58">
        <f>MIN(D300+$C$31,MAX($C$32,$C271))</f>
        <v>#VALUE!</v>
      </c>
      <c r="F300" t="e" s="58">
        <f>MIN(E300+$C$31,MAX($C$32,$C271))</f>
        <v>#VALUE!</v>
      </c>
      <c r="G300" t="e" s="58">
        <f>MIN(F300+$C$31,MAX($C$32,$C271))</f>
        <v>#VALUE!</v>
      </c>
      <c r="H300" t="e" s="58">
        <f>MIN(G300+$C$31,MAX($C$32,$C271))</f>
        <v>#VALUE!</v>
      </c>
      <c r="I300" t="e" s="58">
        <f>MIN(H300+$C$31,MAX($C$32,$C271))</f>
        <v>#VALUE!</v>
      </c>
    </row>
    <row r="301">
      <c r="B301" t="s" s="56">
        <v>550</v>
      </c>
      <c r="C301" s="56"/>
      <c r="D301" t="e" s="69">
        <f>D299*D300</f>
        <v>#VALUE!</v>
      </c>
      <c r="E301" t="e" s="69">
        <f>E299*E300</f>
        <v>#DIV/0!</v>
      </c>
      <c r="F301" t="e" s="69">
        <f>F299*F300</f>
        <v>#DIV/0!</v>
      </c>
      <c r="G301" t="e" s="69">
        <f>G299*G300</f>
        <v>#DIV/0!</v>
      </c>
      <c r="H301" t="e" s="69">
        <f>H299*H300</f>
        <v>#DIV/0!</v>
      </c>
      <c r="I301" t="e" s="69">
        <f>I299*I300</f>
        <v>#DIV/0!</v>
      </c>
    </row>
    <row r="302">
      <c r="B302" t="s" s="71">
        <v>551</v>
      </c>
      <c r="D302" s="68"/>
      <c r="E302" s="68">
        <f>-$C$26*$C272</f>
        <v>0</v>
      </c>
      <c r="F302" s="68">
        <f>-$C$26*$C272</f>
        <v>0</v>
      </c>
      <c r="G302" s="68">
        <f>-$C$26*$C272</f>
        <v>0</v>
      </c>
      <c r="H302" s="68">
        <f>-$C$26*$C272</f>
        <v>0</v>
      </c>
      <c r="I302" s="68">
        <f>-$C$26*$C272</f>
        <v>0</v>
      </c>
    </row>
    <row r="303">
      <c r="B303" t="s" s="71">
        <v>552</v>
      </c>
      <c r="D303" s="68"/>
      <c r="E303" t="e" s="68">
        <f>-E299*$C274/$C268</f>
        <v>#DIV/0!</v>
      </c>
      <c r="F303" t="e" s="68">
        <f>-F299*$C274/$C268</f>
        <v>#DIV/0!</v>
      </c>
      <c r="G303" t="e" s="68">
        <f>-G299*$C274/$C268</f>
        <v>#DIV/0!</v>
      </c>
      <c r="H303" t="e" s="68">
        <f>-H299*$C274/$C268</f>
        <v>#DIV/0!</v>
      </c>
      <c r="I303" t="e" s="68">
        <f>-I299*$C274/$C268</f>
        <v>#DIV/0!</v>
      </c>
    </row>
    <row r="304">
      <c r="B304" t="s" s="71">
        <v>553</v>
      </c>
      <c r="D304" s="68"/>
      <c r="E304" t="e" s="68">
        <f>-E309*$C$17</f>
        <v>#DIV/0!</v>
      </c>
      <c r="F304" t="e" s="68">
        <f>-F309*$C$17</f>
        <v>#DIV/0!</v>
      </c>
      <c r="G304" t="e" s="68">
        <f>-G309*$C$17</f>
        <v>#DIV/0!</v>
      </c>
      <c r="H304" t="e" s="68">
        <f>-H309*$C$17</f>
        <v>#DIV/0!</v>
      </c>
      <c r="I304" t="e" s="68">
        <f>-I309*$C$17</f>
        <v>#DIV/0!</v>
      </c>
    </row>
    <row r="305">
      <c r="B305" t="s" s="71">
        <v>554</v>
      </c>
      <c r="D305" s="68"/>
      <c r="E305" t="e" s="68">
        <f>-MAX(0,E308)*$C$27</f>
        <v>#DIV/0!</v>
      </c>
      <c r="F305" t="e" s="68">
        <f>-MAX(0,F308)*$C$27</f>
        <v>#DIV/0!</v>
      </c>
      <c r="G305" t="e" s="68">
        <f>-MAX(0,G308)*$C$27</f>
        <v>#DIV/0!</v>
      </c>
      <c r="H305" t="e" s="68">
        <f>-MAX(0,H308)*$C$27</f>
        <v>#DIV/0!</v>
      </c>
      <c r="I305" t="e" s="68">
        <f>-MAX(0,I308)*$C$27</f>
        <v>#DIV/0!</v>
      </c>
    </row>
    <row r="306">
      <c r="B306" t="s" s="56">
        <v>555</v>
      </c>
      <c r="C306" s="56"/>
      <c r="D306" s="69"/>
      <c r="E306" t="e" s="69">
        <f>SUM(E301:E305)</f>
        <v>#DIV/0!</v>
      </c>
      <c r="F306" t="e" s="69">
        <f>SUM(F301:F305)</f>
        <v>#DIV/0!</v>
      </c>
      <c r="G306" t="e" s="69">
        <f>SUM(G301:G305)</f>
        <v>#DIV/0!</v>
      </c>
      <c r="H306" t="e" s="69">
        <f>SUM(H301:H305)</f>
        <v>#DIV/0!</v>
      </c>
      <c r="I306" t="e" s="69">
        <f>SUM(I301:I305)</f>
        <v>#DIV/0!</v>
      </c>
    </row>
    <row r="307">
      <c r="B307" t="s" s="71">
        <v>556</v>
      </c>
      <c r="D307" s="68"/>
      <c r="E307" t="e" s="68">
        <f>E299*$C273/$C268</f>
        <v>#DIV/0!</v>
      </c>
      <c r="F307" t="e" s="68">
        <f>F299*$C273/$C268</f>
        <v>#DIV/0!</v>
      </c>
      <c r="G307" t="e" s="68">
        <f>G299*$C273/$C268</f>
        <v>#DIV/0!</v>
      </c>
      <c r="H307" t="e" s="68">
        <f>H299*$C273/$C268</f>
        <v>#DIV/0!</v>
      </c>
      <c r="I307" t="e" s="68">
        <f>I299*$C273/$C268</f>
        <v>#DIV/0!</v>
      </c>
    </row>
    <row r="308">
      <c r="B308" t="s" s="71">
        <v>557</v>
      </c>
      <c r="D308" s="68"/>
      <c r="E308" t="e" s="68">
        <f>E301+E302+E304-E307</f>
        <v>#DIV/0!</v>
      </c>
      <c r="F308" t="e" s="68">
        <f>F301+F302+F304-F307</f>
        <v>#DIV/0!</v>
      </c>
      <c r="G308" t="e" s="68">
        <f>G301+G302+G304-G307</f>
        <v>#DIV/0!</v>
      </c>
      <c r="H308" t="e" s="68">
        <f>H301+H302+H304-H307</f>
        <v>#DIV/0!</v>
      </c>
      <c r="I308" t="e" s="68">
        <f>I301+I302+I304-I307</f>
        <v>#DIV/0!</v>
      </c>
    </row>
    <row r="309">
      <c r="B309" t="s" s="71">
        <v>558</v>
      </c>
      <c r="D309" s="68"/>
      <c r="E309" t="e" s="68">
        <f>D312</f>
        <v>#DIV/0!</v>
      </c>
      <c r="F309" t="e" s="68">
        <f>E312</f>
        <v>#DIV/0!</v>
      </c>
      <c r="G309" t="e" s="68">
        <f>F312</f>
        <v>#DIV/0!</v>
      </c>
      <c r="H309" t="e" s="68">
        <f>G312</f>
        <v>#DIV/0!</v>
      </c>
      <c r="I309" t="e" s="68">
        <f>H312</f>
        <v>#DIV/0!</v>
      </c>
    </row>
    <row r="310">
      <c r="B310" t="s" s="71">
        <v>559</v>
      </c>
      <c r="D310" s="68"/>
      <c r="E310" t="e" s="68">
        <f>-MIN(E309,$C$18*$D312)</f>
        <v>#DIV/0!</v>
      </c>
      <c r="F310" t="e" s="68">
        <f>-MIN(F309,$C$18*$D312)</f>
        <v>#DIV/0!</v>
      </c>
      <c r="G310" t="e" s="68">
        <f>-MIN(G309,$C$18*$D312)</f>
        <v>#DIV/0!</v>
      </c>
      <c r="H310" t="e" s="68">
        <f>-MIN(H309,$C$18*$D312)</f>
        <v>#DIV/0!</v>
      </c>
      <c r="I310" t="e" s="68">
        <f>-MIN(I309,$C$18*$D312)</f>
        <v>#DIV/0!</v>
      </c>
    </row>
    <row r="311">
      <c r="B311" t="s" s="71">
        <v>560</v>
      </c>
      <c r="D311" s="68"/>
      <c r="E311" t="e" s="68">
        <f>-MIN(E309+E310,MAX(0,E306+E310)*$C$19)</f>
        <v>#DIV/0!</v>
      </c>
      <c r="F311" t="e" s="68">
        <f>-MIN(F309+F310,MAX(0,F306+F310)*$C$19)</f>
        <v>#DIV/0!</v>
      </c>
      <c r="G311" t="e" s="68">
        <f>-MIN(G309+G310,MAX(0,G306+G310)*$C$19)</f>
        <v>#DIV/0!</v>
      </c>
      <c r="H311" t="e" s="68">
        <f>-MIN(H309+H310,MAX(0,H306+H310)*$C$19)</f>
        <v>#DIV/0!</v>
      </c>
      <c r="I311" t="e" s="68">
        <f>-MIN(I309+I310,MAX(0,I306+I310)*$C$19)</f>
        <v>#DIV/0!</v>
      </c>
    </row>
    <row r="312">
      <c r="B312" t="s" s="56">
        <v>561</v>
      </c>
      <c r="C312" s="56"/>
      <c r="D312" t="e" s="69">
        <f>C289</f>
        <v>#DIV/0!</v>
      </c>
      <c r="E312" t="e" s="69">
        <f>SUM(E309:E311)</f>
        <v>#DIV/0!</v>
      </c>
      <c r="F312" t="e" s="69">
        <f>SUM(F309:F311)</f>
        <v>#DIV/0!</v>
      </c>
      <c r="G312" t="e" s="69">
        <f>SUM(G309:G311)</f>
        <v>#DIV/0!</v>
      </c>
      <c r="H312" t="e" s="69">
        <f>SUM(H309:H311)</f>
        <v>#DIV/0!</v>
      </c>
      <c r="I312" t="e" s="69">
        <f>SUM(I309:I311)</f>
        <v>#DIV/0!</v>
      </c>
    </row>
    <row r="313">
      <c r="B313" t="s" s="71">
        <v>562</v>
      </c>
      <c r="D313" s="68">
        <f>C285</f>
        <v>0</v>
      </c>
      <c r="E313" t="e" s="68">
        <f>D313+E306+E310+E311</f>
        <v>#DIV/0!</v>
      </c>
      <c r="F313" t="e" s="68">
        <f>E313+F306+F310+F311</f>
        <v>#DIV/0!</v>
      </c>
      <c r="G313" t="e" s="68">
        <f>F313+G306+G310+G311</f>
        <v>#DIV/0!</v>
      </c>
      <c r="H313" t="e" s="68">
        <f>G313+H306+H310+H311</f>
        <v>#DIV/0!</v>
      </c>
      <c r="I313" t="e" s="68">
        <f>H313+I306+I310+I311</f>
        <v>#DIV/0!</v>
      </c>
    </row>
    <row r="314">
      <c r="B314" t="s">
        <v>563</v>
      </c>
      <c r="D314" t="e" s="68">
        <f>D312-D313</f>
        <v>#DIV/0!</v>
      </c>
      <c r="E314" t="e" s="68">
        <f>E312-E313</f>
        <v>#DIV/0!</v>
      </c>
      <c r="F314" t="e" s="68">
        <f>F312-F313</f>
        <v>#DIV/0!</v>
      </c>
      <c r="G314" t="e" s="68">
        <f>G312-G313</f>
        <v>#DIV/0!</v>
      </c>
      <c r="H314" t="e" s="68">
        <f>H312-H313</f>
        <v>#DIV/0!</v>
      </c>
      <c r="I314" t="e" s="68">
        <f>I312-I313</f>
        <v>#DIV/0!</v>
      </c>
    </row>
    <row r="315">
      <c r="B315" t="s">
        <v>564</v>
      </c>
      <c r="D315" t="e" s="22">
        <f>D314/D301</f>
        <v>#DIV/0!</v>
      </c>
      <c r="E315" t="e" s="22">
        <f>E314/E301</f>
        <v>#DIV/0!</v>
      </c>
      <c r="F315" t="e" s="22">
        <f>F314/F301</f>
        <v>#DIV/0!</v>
      </c>
      <c r="G315" t="e" s="22">
        <f>G314/G301</f>
        <v>#DIV/0!</v>
      </c>
      <c r="H315" t="e" s="22">
        <f>H314/H301</f>
        <v>#DIV/0!</v>
      </c>
      <c r="I315" t="e" s="22">
        <f>I314/I301</f>
        <v>#DIV/0!</v>
      </c>
    </row>
    <row r="316">
      <c r="B316" t="s">
        <v>565</v>
      </c>
      <c r="D316" s="22"/>
      <c r="E316" t="e" s="22">
        <f>IF(E304&lt;0,E301/-E304,"n.a.")</f>
        <v>#DIV/0!</v>
      </c>
      <c r="F316" t="e" s="22">
        <f>IF(F304&lt;0,F301/-F304,"n.a.")</f>
        <v>#DIV/0!</v>
      </c>
      <c r="G316" t="e" s="22">
        <f>IF(G304&lt;0,G301/-G304,"n.a.")</f>
        <v>#DIV/0!</v>
      </c>
      <c r="H316" t="e" s="22">
        <f>IF(H304&lt;0,H301/-H304,"n.a.")</f>
        <v>#DIV/0!</v>
      </c>
      <c r="I316" t="e" s="22">
        <f>IF(I304&lt;0,I301/-I304,"n.a.")</f>
        <v>#DIV/0!</v>
      </c>
    </row>
    <row r="317">
      <c r="B317" t="s" s="67">
        <v>566</v>
      </c>
    </row>
    <row r="318">
      <c r="B318" t="s" s="71">
        <v>567</v>
      </c>
      <c r="C318" t="e" s="68">
        <f>I301*C283</f>
        <v>#DIV/0!</v>
      </c>
    </row>
    <row r="319">
      <c r="B319" t="s" s="71">
        <v>568</v>
      </c>
      <c r="C319" t="e" s="68">
        <f>-I314</f>
        <v>#DIV/0!</v>
      </c>
    </row>
    <row r="320">
      <c r="B320" t="s" s="56">
        <v>569</v>
      </c>
      <c r="C320" t="e" s="69">
        <f>C318+C319</f>
        <v>#DIV/0!</v>
      </c>
      <c r="D320" s="56"/>
      <c r="E320" s="56"/>
      <c r="F320" s="56"/>
      <c r="G320" s="56"/>
      <c r="H320" s="56"/>
      <c r="I320" s="56"/>
    </row>
    <row r="321">
      <c r="B321" t="s">
        <v>570</v>
      </c>
      <c r="D321" t="e" s="68">
        <f>-C294</f>
        <v>#DIV/0!</v>
      </c>
      <c r="E321" t="e" s="68">
        <f>IF(YEAR(E265)=YEAR($C$33)+$C$34,$C320,0)</f>
        <v>#DIV/0!</v>
      </c>
      <c r="F321" s="68">
        <f>IF(YEAR(F265)=YEAR($C$33)+$C$34,$C320,0)</f>
        <v>0</v>
      </c>
      <c r="G321" s="68">
        <f>IF(YEAR(G265)=YEAR($C$33)+$C$34,$C320,0)</f>
        <v>0</v>
      </c>
      <c r="H321" s="68">
        <f>IF(YEAR(H265)=YEAR($C$33)+$C$34,$C320,0)</f>
        <v>0</v>
      </c>
      <c r="I321" s="68">
        <f>IF(YEAR(I265)=YEAR($C$33)+$C$34,$C320,0)</f>
        <v>0</v>
      </c>
    </row>
    <row r="322">
      <c r="B322" t="s">
        <v>571</v>
      </c>
      <c r="C322" t="e" s="53">
        <f>SUMIF(D321:I321,"&gt;0")/-SUMIF(D321:I321,"&lt;0")</f>
        <v>#DIV/0!</v>
      </c>
    </row>
    <row r="323">
      <c r="B323" t="s" s="56">
        <v>572</v>
      </c>
      <c r="C323" t="e" s="57">
        <f>XIRR(D321:I321,D265:I265)</f>
        <v>#DIV/0!</v>
      </c>
      <c r="D323" s="56"/>
      <c r="E323" s="56"/>
      <c r="F323" s="56"/>
      <c r="G323" s="56"/>
      <c r="H323" s="56"/>
      <c r="I323" s="56"/>
    </row>
    <row r="326">
      <c r="B326" t="s" s="5">
        <v>752</v>
      </c>
      <c r="C326" s="5"/>
      <c r="D326" s="5"/>
      <c r="E326" s="5"/>
      <c r="F326" s="5"/>
      <c r="G326" s="5"/>
      <c r="H326" s="5"/>
      <c r="I326" s="5"/>
    </row>
    <row r="327">
      <c r="B327" t="s" s="3">
        <v>516</v>
      </c>
      <c r="C327" t="s" s="64">
        <v>573</v>
      </c>
      <c r="D327" s="65">
        <f>$C$33</f>
        <v>0</v>
      </c>
      <c r="E327" s="66">
        <f>EDATE(D327,12)</f>
        <v>366</v>
      </c>
      <c r="F327" s="66">
        <f>EDATE(E327,12)</f>
        <v>731</v>
      </c>
      <c r="G327" s="66">
        <f>EDATE(F327,12)</f>
        <v>1096</v>
      </c>
      <c r="H327" s="66">
        <f>EDATE(G327,12)</f>
        <v>1461</v>
      </c>
      <c r="I327" s="66">
        <f>EDATE(H327,12)</f>
        <v>1827</v>
      </c>
    </row>
    <row r="328">
      <c r="B328" t="s">
        <v>743</v>
      </c>
      <c r="C328" s="29"/>
    </row>
    <row r="329">
      <c r="B329" t="s">
        <v>518</v>
      </c>
      <c r="C329" s="31"/>
    </row>
    <row r="330">
      <c r="B330" t="s">
        <v>519</v>
      </c>
      <c r="C330" s="73">
        <f>Screen!F50</f>
        <v>0</v>
      </c>
    </row>
    <row r="331">
      <c r="B331" t="s" s="3">
        <v>520</v>
      </c>
      <c r="C331" t="str" s="76">
        <f>Screen!H50</f>
        <v>n.a.</v>
      </c>
      <c r="D331" s="3"/>
      <c r="E331" s="3"/>
      <c r="F331" s="3"/>
      <c r="G331" s="3"/>
      <c r="H331" s="3"/>
      <c r="I331" s="3"/>
    </row>
    <row r="332">
      <c r="B332" t="s">
        <v>521</v>
      </c>
      <c r="C332" s="73">
        <f>Screen!L50</f>
        <v>0</v>
      </c>
    </row>
    <row r="333">
      <c r="B333" t="s" s="3">
        <v>522</v>
      </c>
      <c r="C333" t="str" s="76">
        <f>Screen!M50</f>
        <v>n.a.</v>
      </c>
      <c r="D333" s="3"/>
      <c r="E333" s="3"/>
      <c r="F333" s="3"/>
      <c r="G333" s="3"/>
      <c r="H333" s="3"/>
      <c r="I333" s="3"/>
    </row>
    <row r="334">
      <c r="B334" t="s">
        <v>523</v>
      </c>
      <c r="C334" s="73">
        <f>Screen!K50</f>
        <v>0</v>
      </c>
    </row>
    <row r="335">
      <c r="B335" t="s">
        <v>524</v>
      </c>
      <c r="C335" s="73">
        <f>Screen!J50</f>
        <v>0</v>
      </c>
    </row>
    <row r="336">
      <c r="B336" t="s">
        <v>525</v>
      </c>
      <c r="C336" s="30"/>
    </row>
    <row r="337">
      <c r="B337" t="s">
        <v>526</v>
      </c>
      <c r="C337" s="73">
        <f>SUM(Screen!N50:P50)</f>
        <v>0</v>
      </c>
    </row>
    <row r="338">
      <c r="B338" t="s">
        <v>291</v>
      </c>
      <c r="C338" s="73">
        <f>Screen!Q50</f>
        <v>0</v>
      </c>
    </row>
    <row r="339">
      <c r="B339" t="s" s="3">
        <v>574</v>
      </c>
      <c r="C339" t="e" s="58">
        <f>AVERAGE(D339:E339)</f>
        <v>#DIV/0!</v>
      </c>
      <c r="D339" s="77"/>
      <c r="E339" s="77"/>
      <c r="F339" s="125"/>
      <c r="G339" s="3"/>
      <c r="H339" s="3"/>
      <c r="I339" s="3"/>
      <c r="K339" s="4"/>
    </row>
    <row r="340">
      <c r="B340" t="s">
        <v>3</v>
      </c>
      <c r="C340" s="9">
        <f>C328*(1+$C$6)</f>
        <v>0</v>
      </c>
    </row>
    <row r="341">
      <c r="B341" t="s">
        <v>528</v>
      </c>
      <c r="C341" s="68">
        <f>C340*C329</f>
        <v>0</v>
      </c>
    </row>
    <row r="342">
      <c r="B342" t="s" s="71">
        <v>529</v>
      </c>
      <c r="C342" s="68">
        <f>C337</f>
        <v>0</v>
      </c>
    </row>
    <row r="343">
      <c r="B343" t="s" s="71">
        <v>530</v>
      </c>
      <c r="C343" s="68">
        <f>-C338</f>
        <v>0</v>
      </c>
    </row>
    <row r="344">
      <c r="B344" t="s" s="56">
        <v>531</v>
      </c>
      <c r="C344" s="69">
        <f>SUM(C341:C343)</f>
        <v>0</v>
      </c>
      <c r="D344" s="56"/>
      <c r="E344" s="56"/>
      <c r="F344" s="56"/>
      <c r="G344" s="56"/>
      <c r="H344" s="56"/>
      <c r="I344" s="56"/>
    </row>
    <row r="345">
      <c r="B345" t="s">
        <v>532</v>
      </c>
      <c r="C345" t="e" s="13">
        <f>C344/C332</f>
        <v>#DIV/0!</v>
      </c>
    </row>
    <row r="346">
      <c r="B346" t="s" s="71">
        <v>533</v>
      </c>
      <c r="C346" t="e" s="68">
        <f>C344*$C$25</f>
        <v>#DIV/0!</v>
      </c>
    </row>
    <row r="347">
      <c r="B347" t="s" s="71">
        <v>534</v>
      </c>
      <c r="C347" s="68">
        <f>$C$28</f>
        <v>0</v>
      </c>
    </row>
    <row r="348">
      <c r="B348" t="s" s="56">
        <v>535</v>
      </c>
      <c r="C348" t="e" s="69">
        <f>C341+C342+C346+C347</f>
        <v>#DIV/0!</v>
      </c>
      <c r="D348" s="56"/>
      <c r="E348" s="56"/>
      <c r="F348" s="56"/>
      <c r="G348" s="56"/>
      <c r="H348" s="56"/>
      <c r="I348" s="56"/>
    </row>
    <row r="349">
      <c r="B349" t="s" s="71">
        <v>747</v>
      </c>
      <c r="C349" t="e" s="68">
        <f>$C$9*C332</f>
        <v>#DIV/0!</v>
      </c>
    </row>
    <row r="350">
      <c r="B350" t="s" s="71">
        <v>748</v>
      </c>
      <c r="C350" t="e" s="68">
        <f>$C$11*(C348-C338)/(1-$C$11*$C$22)</f>
        <v>#DIV/0!</v>
      </c>
    </row>
    <row r="351">
      <c r="B351" t="s" s="56">
        <v>538</v>
      </c>
      <c r="C351" t="e" s="69">
        <f>MIN(C349,C350)</f>
        <v>#DIV/0!</v>
      </c>
      <c r="D351" s="56"/>
      <c r="E351" s="56"/>
      <c r="F351" s="56"/>
      <c r="G351" s="56"/>
      <c r="H351" s="56"/>
      <c r="I351" s="56"/>
    </row>
    <row r="352">
      <c r="B352" t="s">
        <v>539</v>
      </c>
      <c r="C352" t="e" s="16">
        <f>IF(C349&lt;=C350,"Leverage","Equity floor")</f>
        <v>#DIV/0!</v>
      </c>
    </row>
    <row r="353">
      <c r="B353" t="s" s="71">
        <v>540</v>
      </c>
      <c r="C353" t="e" s="68">
        <f>C351*$C$22</f>
        <v>#DIV/0!</v>
      </c>
    </row>
    <row r="354">
      <c r="B354" t="s" s="56">
        <v>541</v>
      </c>
      <c r="C354" t="e" s="69">
        <f>C348+C353</f>
        <v>#DIV/0!</v>
      </c>
      <c r="D354" s="56"/>
      <c r="E354" s="56"/>
      <c r="F354" s="56"/>
      <c r="G354" s="56"/>
      <c r="H354" s="56"/>
      <c r="I354" s="56"/>
    </row>
    <row r="355">
      <c r="B355" t="s" s="71">
        <v>542</v>
      </c>
      <c r="C355" s="68">
        <f>C338</f>
        <v>0</v>
      </c>
    </row>
    <row r="356">
      <c r="B356" t="s" s="56">
        <v>543</v>
      </c>
      <c r="C356" t="e" s="69">
        <f>C354-C351-C355</f>
        <v>#DIV/0!</v>
      </c>
      <c r="D356" s="56"/>
      <c r="E356" s="56"/>
      <c r="F356" s="56"/>
      <c r="G356" s="56"/>
      <c r="H356" s="56"/>
      <c r="I356" s="56"/>
    </row>
    <row r="357">
      <c r="B357" t="s">
        <v>544</v>
      </c>
      <c r="C357" t="e" s="13">
        <f>C351/C332</f>
        <v>#DIV/0!</v>
      </c>
    </row>
    <row r="358">
      <c r="B358" t="s" s="3">
        <v>545</v>
      </c>
      <c r="C358" t="e" s="58">
        <f>C356/(C356+C351)</f>
        <v>#DIV/0!</v>
      </c>
      <c r="D358" s="3"/>
      <c r="E358" s="3"/>
      <c r="F358" s="3"/>
      <c r="G358" s="3"/>
      <c r="H358" s="3"/>
      <c r="I358" s="3"/>
    </row>
    <row r="359">
      <c r="B359" t="s" s="67">
        <v>546</v>
      </c>
    </row>
    <row r="360">
      <c r="B360" t="s" s="3">
        <v>547</v>
      </c>
      <c r="C360" s="3"/>
      <c r="D360" s="58"/>
      <c r="E360" t="e" s="58">
        <f>C339</f>
        <v>#DIV/0!</v>
      </c>
      <c r="F360" t="e" s="58">
        <f>MAX(E360-$C$29,MIN($C$30,$C331))</f>
        <v>#DIV/0!</v>
      </c>
      <c r="G360" t="e" s="58">
        <f>MAX(F360-$C$29,MIN($C$30,$C331))</f>
        <v>#DIV/0!</v>
      </c>
      <c r="H360" t="e" s="58">
        <f>MAX(G360-$C$29,MIN($C$30,$C331))</f>
        <v>#DIV/0!</v>
      </c>
      <c r="I360" t="e" s="58">
        <f>MAX(H360-$C$29,MIN($C$30,$C331))</f>
        <v>#DIV/0!</v>
      </c>
    </row>
    <row r="361">
      <c r="B361" t="s" s="56">
        <v>548</v>
      </c>
      <c r="C361" s="56"/>
      <c r="D361" s="70">
        <f>C330</f>
        <v>0</v>
      </c>
      <c r="E361" t="e" s="70">
        <f>D361*(1+E360)</f>
        <v>#DIV/0!</v>
      </c>
      <c r="F361" t="e" s="70">
        <f>E361*(1+F360)</f>
        <v>#DIV/0!</v>
      </c>
      <c r="G361" t="e" s="70">
        <f>F361*(1+G360)</f>
        <v>#DIV/0!</v>
      </c>
      <c r="H361" t="e" s="70">
        <f>G361*(1+H360)</f>
        <v>#DIV/0!</v>
      </c>
      <c r="I361" t="e" s="70">
        <f>H361*(1+I360)</f>
        <v>#DIV/0!</v>
      </c>
    </row>
    <row r="362">
      <c r="B362" t="s" s="3">
        <v>549</v>
      </c>
      <c r="C362" s="3"/>
      <c r="D362" t="str" s="58">
        <f>C333</f>
        <v>n.a.</v>
      </c>
      <c r="E362" t="e" s="58">
        <f>MIN(D362+$C$31,MAX($C$32,$C333))</f>
        <v>#VALUE!</v>
      </c>
      <c r="F362" t="e" s="58">
        <f>MIN(E362+$C$31,MAX($C$32,$C333))</f>
        <v>#VALUE!</v>
      </c>
      <c r="G362" t="e" s="58">
        <f>MIN(F362+$C$31,MAX($C$32,$C333))</f>
        <v>#VALUE!</v>
      </c>
      <c r="H362" t="e" s="58">
        <f>MIN(G362+$C$31,MAX($C$32,$C333))</f>
        <v>#VALUE!</v>
      </c>
      <c r="I362" t="e" s="58">
        <f>MIN(H362+$C$31,MAX($C$32,$C333))</f>
        <v>#VALUE!</v>
      </c>
    </row>
    <row r="363">
      <c r="B363" t="s" s="56">
        <v>550</v>
      </c>
      <c r="C363" s="56"/>
      <c r="D363" t="e" s="69">
        <f>D361*D362</f>
        <v>#VALUE!</v>
      </c>
      <c r="E363" t="e" s="69">
        <f>E361*E362</f>
        <v>#DIV/0!</v>
      </c>
      <c r="F363" t="e" s="69">
        <f>F361*F362</f>
        <v>#DIV/0!</v>
      </c>
      <c r="G363" t="e" s="69">
        <f>G361*G362</f>
        <v>#DIV/0!</v>
      </c>
      <c r="H363" t="e" s="69">
        <f>H361*H362</f>
        <v>#DIV/0!</v>
      </c>
      <c r="I363" t="e" s="69">
        <f>I361*I362</f>
        <v>#DIV/0!</v>
      </c>
    </row>
    <row r="364">
      <c r="B364" t="s" s="71">
        <v>551</v>
      </c>
      <c r="D364" s="68"/>
      <c r="E364" s="68">
        <f>-$C$26*$C334</f>
        <v>0</v>
      </c>
      <c r="F364" s="68">
        <f>-$C$26*$C334</f>
        <v>0</v>
      </c>
      <c r="G364" s="68">
        <f>-$C$26*$C334</f>
        <v>0</v>
      </c>
      <c r="H364" s="68">
        <f>-$C$26*$C334</f>
        <v>0</v>
      </c>
      <c r="I364" s="68">
        <f>-$C$26*$C334</f>
        <v>0</v>
      </c>
    </row>
    <row r="365">
      <c r="B365" t="s" s="71">
        <v>552</v>
      </c>
      <c r="D365" s="68"/>
      <c r="E365" t="e" s="68">
        <f>-E361*$C336/$C330</f>
        <v>#DIV/0!</v>
      </c>
      <c r="F365" t="e" s="68">
        <f>-F361*$C336/$C330</f>
        <v>#DIV/0!</v>
      </c>
      <c r="G365" t="e" s="68">
        <f>-G361*$C336/$C330</f>
        <v>#DIV/0!</v>
      </c>
      <c r="H365" t="e" s="68">
        <f>-H361*$C336/$C330</f>
        <v>#DIV/0!</v>
      </c>
      <c r="I365" t="e" s="68">
        <f>-I361*$C336/$C330</f>
        <v>#DIV/0!</v>
      </c>
    </row>
    <row r="366">
      <c r="B366" t="s" s="71">
        <v>553</v>
      </c>
      <c r="D366" s="68"/>
      <c r="E366" t="e" s="68">
        <f>-E371*$C$17</f>
        <v>#DIV/0!</v>
      </c>
      <c r="F366" t="e" s="68">
        <f>-F371*$C$17</f>
        <v>#DIV/0!</v>
      </c>
      <c r="G366" t="e" s="68">
        <f>-G371*$C$17</f>
        <v>#DIV/0!</v>
      </c>
      <c r="H366" t="e" s="68">
        <f>-H371*$C$17</f>
        <v>#DIV/0!</v>
      </c>
      <c r="I366" t="e" s="68">
        <f>-I371*$C$17</f>
        <v>#DIV/0!</v>
      </c>
    </row>
    <row r="367">
      <c r="B367" t="s" s="71">
        <v>554</v>
      </c>
      <c r="D367" s="68"/>
      <c r="E367" t="e" s="68">
        <f>-MAX(0,E370)*$C$27</f>
        <v>#DIV/0!</v>
      </c>
      <c r="F367" t="e" s="68">
        <f>-MAX(0,F370)*$C$27</f>
        <v>#DIV/0!</v>
      </c>
      <c r="G367" t="e" s="68">
        <f>-MAX(0,G370)*$C$27</f>
        <v>#DIV/0!</v>
      </c>
      <c r="H367" t="e" s="68">
        <f>-MAX(0,H370)*$C$27</f>
        <v>#DIV/0!</v>
      </c>
      <c r="I367" t="e" s="68">
        <f>-MAX(0,I370)*$C$27</f>
        <v>#DIV/0!</v>
      </c>
    </row>
    <row r="368">
      <c r="B368" t="s" s="56">
        <v>555</v>
      </c>
      <c r="C368" s="56"/>
      <c r="D368" s="69"/>
      <c r="E368" t="e" s="69">
        <f>SUM(E363:E367)</f>
        <v>#DIV/0!</v>
      </c>
      <c r="F368" t="e" s="69">
        <f>SUM(F363:F367)</f>
        <v>#DIV/0!</v>
      </c>
      <c r="G368" t="e" s="69">
        <f>SUM(G363:G367)</f>
        <v>#DIV/0!</v>
      </c>
      <c r="H368" t="e" s="69">
        <f>SUM(H363:H367)</f>
        <v>#DIV/0!</v>
      </c>
      <c r="I368" t="e" s="69">
        <f>SUM(I363:I367)</f>
        <v>#DIV/0!</v>
      </c>
    </row>
    <row r="369">
      <c r="B369" t="s" s="71">
        <v>556</v>
      </c>
      <c r="D369" s="68"/>
      <c r="E369" t="e" s="68">
        <f>E361*$C335/$C330</f>
        <v>#DIV/0!</v>
      </c>
      <c r="F369" t="e" s="68">
        <f>F361*$C335/$C330</f>
        <v>#DIV/0!</v>
      </c>
      <c r="G369" t="e" s="68">
        <f>G361*$C335/$C330</f>
        <v>#DIV/0!</v>
      </c>
      <c r="H369" t="e" s="68">
        <f>H361*$C335/$C330</f>
        <v>#DIV/0!</v>
      </c>
      <c r="I369" t="e" s="68">
        <f>I361*$C335/$C330</f>
        <v>#DIV/0!</v>
      </c>
    </row>
    <row r="370">
      <c r="B370" t="s" s="71">
        <v>557</v>
      </c>
      <c r="D370" s="68"/>
      <c r="E370" t="e" s="68">
        <f>E363+E364+E366-E369</f>
        <v>#DIV/0!</v>
      </c>
      <c r="F370" t="e" s="68">
        <f>F363+F364+F366-F369</f>
        <v>#DIV/0!</v>
      </c>
      <c r="G370" t="e" s="68">
        <f>G363+G364+G366-G369</f>
        <v>#DIV/0!</v>
      </c>
      <c r="H370" t="e" s="68">
        <f>H363+H364+H366-H369</f>
        <v>#DIV/0!</v>
      </c>
      <c r="I370" t="e" s="68">
        <f>I363+I364+I366-I369</f>
        <v>#DIV/0!</v>
      </c>
    </row>
    <row r="371">
      <c r="B371" t="s" s="71">
        <v>558</v>
      </c>
      <c r="D371" s="68"/>
      <c r="E371" t="e" s="68">
        <f>D374</f>
        <v>#DIV/0!</v>
      </c>
      <c r="F371" t="e" s="68">
        <f>E374</f>
        <v>#DIV/0!</v>
      </c>
      <c r="G371" t="e" s="68">
        <f>F374</f>
        <v>#DIV/0!</v>
      </c>
      <c r="H371" t="e" s="68">
        <f>G374</f>
        <v>#DIV/0!</v>
      </c>
      <c r="I371" t="e" s="68">
        <f>H374</f>
        <v>#DIV/0!</v>
      </c>
    </row>
    <row r="372">
      <c r="B372" t="s" s="71">
        <v>559</v>
      </c>
      <c r="D372" s="68"/>
      <c r="E372" t="e" s="68">
        <f>-MIN(E371,$C$18*$D374)</f>
        <v>#DIV/0!</v>
      </c>
      <c r="F372" t="e" s="68">
        <f>-MIN(F371,$C$18*$D374)</f>
        <v>#DIV/0!</v>
      </c>
      <c r="G372" t="e" s="68">
        <f>-MIN(G371,$C$18*$D374)</f>
        <v>#DIV/0!</v>
      </c>
      <c r="H372" t="e" s="68">
        <f>-MIN(H371,$C$18*$D374)</f>
        <v>#DIV/0!</v>
      </c>
      <c r="I372" t="e" s="68">
        <f>-MIN(I371,$C$18*$D374)</f>
        <v>#DIV/0!</v>
      </c>
    </row>
    <row r="373">
      <c r="B373" t="s" s="71">
        <v>560</v>
      </c>
      <c r="D373" s="68"/>
      <c r="E373" t="e" s="68">
        <f>-MIN(E371+E372,MAX(0,E368+E372)*$C$19)</f>
        <v>#DIV/0!</v>
      </c>
      <c r="F373" t="e" s="68">
        <f>-MIN(F371+F372,MAX(0,F368+F372)*$C$19)</f>
        <v>#DIV/0!</v>
      </c>
      <c r="G373" t="e" s="68">
        <f>-MIN(G371+G372,MAX(0,G368+G372)*$C$19)</f>
        <v>#DIV/0!</v>
      </c>
      <c r="H373" t="e" s="68">
        <f>-MIN(H371+H372,MAX(0,H368+H372)*$C$19)</f>
        <v>#DIV/0!</v>
      </c>
      <c r="I373" t="e" s="68">
        <f>-MIN(I371+I372,MAX(0,I368+I372)*$C$19)</f>
        <v>#DIV/0!</v>
      </c>
    </row>
    <row r="374">
      <c r="B374" t="s" s="56">
        <v>561</v>
      </c>
      <c r="C374" s="56"/>
      <c r="D374" t="e" s="69">
        <f>C351</f>
        <v>#DIV/0!</v>
      </c>
      <c r="E374" t="e" s="69">
        <f>SUM(E371:E373)</f>
        <v>#DIV/0!</v>
      </c>
      <c r="F374" t="e" s="69">
        <f>SUM(F371:F373)</f>
        <v>#DIV/0!</v>
      </c>
      <c r="G374" t="e" s="69">
        <f>SUM(G371:G373)</f>
        <v>#DIV/0!</v>
      </c>
      <c r="H374" t="e" s="69">
        <f>SUM(H371:H373)</f>
        <v>#DIV/0!</v>
      </c>
      <c r="I374" t="e" s="69">
        <f>SUM(I371:I373)</f>
        <v>#DIV/0!</v>
      </c>
    </row>
    <row r="375">
      <c r="B375" t="s" s="71">
        <v>562</v>
      </c>
      <c r="D375" s="68">
        <f>C347</f>
        <v>0</v>
      </c>
      <c r="E375" t="e" s="68">
        <f>D375+E368+E372+E373</f>
        <v>#DIV/0!</v>
      </c>
      <c r="F375" t="e" s="68">
        <f>E375+F368+F372+F373</f>
        <v>#DIV/0!</v>
      </c>
      <c r="G375" t="e" s="68">
        <f>F375+G368+G372+G373</f>
        <v>#DIV/0!</v>
      </c>
      <c r="H375" t="e" s="68">
        <f>G375+H368+H372+H373</f>
        <v>#DIV/0!</v>
      </c>
      <c r="I375" t="e" s="68">
        <f>H375+I368+I372+I373</f>
        <v>#DIV/0!</v>
      </c>
    </row>
    <row r="376">
      <c r="B376" t="s">
        <v>563</v>
      </c>
      <c r="D376" t="e" s="68">
        <f>D374-D375</f>
        <v>#DIV/0!</v>
      </c>
      <c r="E376" t="e" s="68">
        <f>E374-E375</f>
        <v>#DIV/0!</v>
      </c>
      <c r="F376" t="e" s="68">
        <f>F374-F375</f>
        <v>#DIV/0!</v>
      </c>
      <c r="G376" t="e" s="68">
        <f>G374-G375</f>
        <v>#DIV/0!</v>
      </c>
      <c r="H376" t="e" s="68">
        <f>H374-H375</f>
        <v>#DIV/0!</v>
      </c>
      <c r="I376" t="e" s="68">
        <f>I374-I375</f>
        <v>#DIV/0!</v>
      </c>
    </row>
    <row r="377">
      <c r="B377" t="s">
        <v>564</v>
      </c>
      <c r="D377" t="e" s="22">
        <f>D376/D363</f>
        <v>#DIV/0!</v>
      </c>
      <c r="E377" t="e" s="22">
        <f>E376/E363</f>
        <v>#DIV/0!</v>
      </c>
      <c r="F377" t="e" s="22">
        <f>F376/F363</f>
        <v>#DIV/0!</v>
      </c>
      <c r="G377" t="e" s="22">
        <f>G376/G363</f>
        <v>#DIV/0!</v>
      </c>
      <c r="H377" t="e" s="22">
        <f>H376/H363</f>
        <v>#DIV/0!</v>
      </c>
      <c r="I377" t="e" s="22">
        <f>I376/I363</f>
        <v>#DIV/0!</v>
      </c>
    </row>
    <row r="378">
      <c r="B378" t="s">
        <v>565</v>
      </c>
      <c r="D378" s="22"/>
      <c r="E378" t="e" s="22">
        <f>IF(E366&lt;0,E363/-E366,"n.a.")</f>
        <v>#DIV/0!</v>
      </c>
      <c r="F378" t="e" s="22">
        <f>IF(F366&lt;0,F363/-F366,"n.a.")</f>
        <v>#DIV/0!</v>
      </c>
      <c r="G378" t="e" s="22">
        <f>IF(G366&lt;0,G363/-G366,"n.a.")</f>
        <v>#DIV/0!</v>
      </c>
      <c r="H378" t="e" s="22">
        <f>IF(H366&lt;0,H363/-H366,"n.a.")</f>
        <v>#DIV/0!</v>
      </c>
      <c r="I378" t="e" s="22">
        <f>IF(I366&lt;0,I363/-I366,"n.a.")</f>
        <v>#DIV/0!</v>
      </c>
    </row>
    <row r="379">
      <c r="B379" t="s" s="67">
        <v>566</v>
      </c>
    </row>
    <row r="380">
      <c r="B380" t="s" s="71">
        <v>567</v>
      </c>
      <c r="C380" t="e" s="68">
        <f>I363*C345</f>
        <v>#DIV/0!</v>
      </c>
    </row>
    <row r="381">
      <c r="B381" t="s" s="71">
        <v>568</v>
      </c>
      <c r="C381" t="e" s="68">
        <f>-I376</f>
        <v>#DIV/0!</v>
      </c>
    </row>
    <row r="382">
      <c r="B382" t="s" s="56">
        <v>569</v>
      </c>
      <c r="C382" t="e" s="69">
        <f>C380+C381</f>
        <v>#DIV/0!</v>
      </c>
      <c r="D382" s="56"/>
      <c r="E382" s="56"/>
      <c r="F382" s="56"/>
      <c r="G382" s="56"/>
      <c r="H382" s="56"/>
      <c r="I382" s="56"/>
    </row>
    <row r="383">
      <c r="B383" t="s">
        <v>570</v>
      </c>
      <c r="D383" t="e" s="68">
        <f>-C356</f>
        <v>#DIV/0!</v>
      </c>
      <c r="E383" t="e" s="68">
        <f>IF(YEAR(E327)=YEAR($C$33)+$C$34,$C382,0)</f>
        <v>#DIV/0!</v>
      </c>
      <c r="F383" s="68">
        <f>IF(YEAR(F327)=YEAR($C$33)+$C$34,$C382,0)</f>
        <v>0</v>
      </c>
      <c r="G383" s="68">
        <f>IF(YEAR(G327)=YEAR($C$33)+$C$34,$C382,0)</f>
        <v>0</v>
      </c>
      <c r="H383" s="68">
        <f>IF(YEAR(H327)=YEAR($C$33)+$C$34,$C382,0)</f>
        <v>0</v>
      </c>
      <c r="I383" s="68">
        <f>IF(YEAR(I327)=YEAR($C$33)+$C$34,$C382,0)</f>
        <v>0</v>
      </c>
    </row>
    <row r="384">
      <c r="B384" t="s">
        <v>571</v>
      </c>
      <c r="C384" t="e" s="53">
        <f>SUMIF(D383:I383,"&gt;0")/-SUMIF(D383:I383,"&lt;0")</f>
        <v>#DIV/0!</v>
      </c>
    </row>
    <row r="385">
      <c r="B385" t="s" s="56">
        <v>572</v>
      </c>
      <c r="C385" t="e" s="57">
        <f>XIRR(D383:I383,D327:I327)</f>
        <v>#DIV/0!</v>
      </c>
      <c r="D385" s="56"/>
      <c r="E385" s="56"/>
      <c r="F385" s="56"/>
      <c r="G385" s="56"/>
      <c r="H385" s="56"/>
      <c r="I385" s="56"/>
    </row>
    <row r="388">
      <c r="B388" t="s" s="5">
        <v>753</v>
      </c>
      <c r="C388" s="5"/>
      <c r="D388" s="5"/>
      <c r="E388" s="5"/>
      <c r="F388" s="5"/>
      <c r="G388" s="5"/>
      <c r="H388" s="5"/>
      <c r="I388" s="5"/>
    </row>
    <row r="389">
      <c r="B389" t="s" s="3">
        <v>516</v>
      </c>
      <c r="C389" t="s" s="64">
        <v>573</v>
      </c>
      <c r="D389" s="65">
        <f>$C$33</f>
        <v>0</v>
      </c>
      <c r="E389" s="66">
        <f>EDATE(D389,12)</f>
        <v>366</v>
      </c>
      <c r="F389" s="66">
        <f>EDATE(E389,12)</f>
        <v>731</v>
      </c>
      <c r="G389" s="66">
        <f>EDATE(F389,12)</f>
        <v>1096</v>
      </c>
      <c r="H389" s="66">
        <f>EDATE(G389,12)</f>
        <v>1461</v>
      </c>
      <c r="I389" s="66">
        <f>EDATE(H389,12)</f>
        <v>1827</v>
      </c>
    </row>
    <row r="390">
      <c r="B390" t="s">
        <v>743</v>
      </c>
      <c r="C390" s="29"/>
    </row>
    <row r="391">
      <c r="B391" t="s">
        <v>518</v>
      </c>
      <c r="C391" s="31"/>
    </row>
    <row r="392">
      <c r="B392" t="s">
        <v>519</v>
      </c>
      <c r="C392" s="73">
        <f>Screen!F51</f>
        <v>0</v>
      </c>
    </row>
    <row r="393">
      <c r="B393" t="s" s="3">
        <v>520</v>
      </c>
      <c r="C393" t="str" s="76">
        <f>Screen!H51</f>
        <v>n.a.</v>
      </c>
      <c r="D393" s="3"/>
      <c r="E393" s="3"/>
      <c r="F393" s="3"/>
      <c r="G393" s="3"/>
      <c r="H393" s="3"/>
      <c r="I393" s="3"/>
    </row>
    <row r="394">
      <c r="B394" t="s">
        <v>521</v>
      </c>
      <c r="C394" s="73">
        <f>Screen!L51</f>
        <v>0</v>
      </c>
    </row>
    <row r="395">
      <c r="B395" t="s" s="3">
        <v>522</v>
      </c>
      <c r="C395" t="str" s="76">
        <f>Screen!M51</f>
        <v>n.a.</v>
      </c>
      <c r="D395" s="3"/>
      <c r="E395" s="3"/>
      <c r="F395" s="3"/>
      <c r="G395" s="3"/>
      <c r="H395" s="3"/>
      <c r="I395" s="3"/>
    </row>
    <row r="396">
      <c r="B396" t="s">
        <v>523</v>
      </c>
      <c r="C396" s="73">
        <f>Screen!K51</f>
        <v>0</v>
      </c>
    </row>
    <row r="397">
      <c r="B397" t="s">
        <v>524</v>
      </c>
      <c r="C397" s="73">
        <f>Screen!J51</f>
        <v>0</v>
      </c>
    </row>
    <row r="398">
      <c r="B398" t="s">
        <v>525</v>
      </c>
      <c r="C398" s="30"/>
    </row>
    <row r="399">
      <c r="B399" t="s">
        <v>526</v>
      </c>
      <c r="C399" s="73">
        <f>SUM(Screen!N51:P51)</f>
        <v>0</v>
      </c>
    </row>
    <row r="400">
      <c r="B400" t="s">
        <v>291</v>
      </c>
      <c r="C400" s="73">
        <f>Screen!Q51</f>
        <v>0</v>
      </c>
    </row>
    <row r="401">
      <c r="B401" t="s" s="3">
        <v>574</v>
      </c>
      <c r="C401" t="e" s="58">
        <f>AVERAGE(D401:E401)</f>
        <v>#DIV/0!</v>
      </c>
      <c r="D401" s="126"/>
      <c r="E401" s="126"/>
      <c r="F401" s="126"/>
      <c r="G401" s="3"/>
      <c r="H401" s="3"/>
      <c r="I401" s="3"/>
      <c r="K401" s="4"/>
    </row>
    <row r="402">
      <c r="B402" t="s">
        <v>3</v>
      </c>
      <c r="C402" s="9">
        <f>C390*(1+$C$6)</f>
        <v>0</v>
      </c>
    </row>
    <row r="403">
      <c r="B403" t="s">
        <v>528</v>
      </c>
      <c r="C403" s="68">
        <f>C402*C391</f>
        <v>0</v>
      </c>
    </row>
    <row r="404">
      <c r="B404" t="s" s="71">
        <v>529</v>
      </c>
      <c r="C404" s="68">
        <f>C399</f>
        <v>0</v>
      </c>
    </row>
    <row r="405">
      <c r="B405" t="s" s="71">
        <v>530</v>
      </c>
      <c r="C405" s="68">
        <f>-C400</f>
        <v>0</v>
      </c>
    </row>
    <row r="406">
      <c r="B406" t="s" s="56">
        <v>531</v>
      </c>
      <c r="C406" s="69">
        <f>SUM(C403:C405)</f>
        <v>0</v>
      </c>
      <c r="D406" s="56"/>
      <c r="E406" s="56"/>
      <c r="F406" s="56"/>
      <c r="G406" s="56"/>
      <c r="H406" s="56"/>
      <c r="I406" s="56"/>
    </row>
    <row r="407">
      <c r="B407" t="s">
        <v>532</v>
      </c>
      <c r="C407" t="e" s="13">
        <f>C406/C394</f>
        <v>#DIV/0!</v>
      </c>
    </row>
    <row r="408">
      <c r="B408" t="s" s="71">
        <v>533</v>
      </c>
      <c r="C408" t="e" s="68">
        <f>C406*$C$25</f>
        <v>#DIV/0!</v>
      </c>
    </row>
    <row r="409">
      <c r="B409" t="s" s="71">
        <v>534</v>
      </c>
      <c r="C409" s="68">
        <f>$C$28</f>
        <v>0</v>
      </c>
    </row>
    <row r="410">
      <c r="B410" t="s" s="56">
        <v>535</v>
      </c>
      <c r="C410" t="e" s="69">
        <f>C403+C404+C408+C409</f>
        <v>#DIV/0!</v>
      </c>
      <c r="D410" s="56"/>
      <c r="E410" s="56"/>
      <c r="F410" s="56"/>
      <c r="G410" s="56"/>
      <c r="H410" s="56"/>
      <c r="I410" s="56"/>
    </row>
    <row r="411">
      <c r="B411" t="s" s="71">
        <v>747</v>
      </c>
      <c r="C411" t="e" s="68">
        <f>$C$9*C394</f>
        <v>#DIV/0!</v>
      </c>
    </row>
    <row r="412">
      <c r="B412" t="s" s="71">
        <v>748</v>
      </c>
      <c r="C412" t="e" s="68">
        <f>$C$11*(C410-C400)/(1-$C$11*$C$22)</f>
        <v>#DIV/0!</v>
      </c>
    </row>
    <row r="413">
      <c r="B413" t="s" s="56">
        <v>538</v>
      </c>
      <c r="C413" t="e" s="69">
        <f>MIN(C411,C412)</f>
        <v>#DIV/0!</v>
      </c>
      <c r="D413" s="56"/>
      <c r="E413" s="56"/>
      <c r="F413" s="56"/>
      <c r="G413" s="56"/>
      <c r="H413" s="56"/>
      <c r="I413" s="56"/>
    </row>
    <row r="414">
      <c r="B414" t="s">
        <v>539</v>
      </c>
      <c r="C414" t="e" s="16">
        <f>IF(C411&lt;=C412,"Leverage","Equity floor")</f>
        <v>#DIV/0!</v>
      </c>
    </row>
    <row r="415">
      <c r="B415" t="s" s="71">
        <v>540</v>
      </c>
      <c r="C415" t="e" s="68">
        <f>C413*$C$22</f>
        <v>#DIV/0!</v>
      </c>
    </row>
    <row r="416">
      <c r="B416" t="s" s="56">
        <v>541</v>
      </c>
      <c r="C416" t="e" s="69">
        <f>C410+C415</f>
        <v>#DIV/0!</v>
      </c>
      <c r="D416" s="56"/>
      <c r="E416" s="56"/>
      <c r="F416" s="56"/>
      <c r="G416" s="56"/>
      <c r="H416" s="56"/>
      <c r="I416" s="56"/>
    </row>
    <row r="417">
      <c r="B417" t="s" s="71">
        <v>542</v>
      </c>
      <c r="C417" s="68">
        <f>C400</f>
        <v>0</v>
      </c>
    </row>
    <row r="418">
      <c r="B418" t="s" s="56">
        <v>543</v>
      </c>
      <c r="C418" t="e" s="69">
        <f>C416-C413-C417</f>
        <v>#DIV/0!</v>
      </c>
      <c r="D418" s="56"/>
      <c r="E418" s="56"/>
      <c r="F418" s="56"/>
      <c r="G418" s="56"/>
      <c r="H418" s="56"/>
      <c r="I418" s="56"/>
    </row>
    <row r="419">
      <c r="B419" t="s">
        <v>544</v>
      </c>
      <c r="C419" t="e" s="13">
        <f>C413/C394</f>
        <v>#DIV/0!</v>
      </c>
    </row>
    <row r="420">
      <c r="B420" t="s" s="3">
        <v>545</v>
      </c>
      <c r="C420" t="e" s="58">
        <f>C418/(C418+C413)</f>
        <v>#DIV/0!</v>
      </c>
      <c r="D420" s="3"/>
      <c r="E420" s="3"/>
      <c r="F420" s="3"/>
      <c r="G420" s="3"/>
      <c r="H420" s="3"/>
      <c r="I420" s="3"/>
    </row>
    <row r="421">
      <c r="B421" t="s" s="67">
        <v>546</v>
      </c>
    </row>
    <row r="422">
      <c r="B422" t="s" s="3">
        <v>547</v>
      </c>
      <c r="C422" s="3"/>
      <c r="D422" s="58"/>
      <c r="E422" t="e" s="58">
        <f>C401</f>
        <v>#DIV/0!</v>
      </c>
      <c r="F422" t="e" s="58">
        <f>MAX(E422-$C$29,MIN($C$30,$C393))</f>
        <v>#DIV/0!</v>
      </c>
      <c r="G422" t="e" s="58">
        <f>MAX(F422-$C$29,MIN($C$30,$C393))</f>
        <v>#DIV/0!</v>
      </c>
      <c r="H422" t="e" s="58">
        <f>MAX(G422-$C$29,MIN($C$30,$C393))</f>
        <v>#DIV/0!</v>
      </c>
      <c r="I422" t="e" s="58">
        <f>MAX(H422-$C$29,MIN($C$30,$C393))</f>
        <v>#DIV/0!</v>
      </c>
    </row>
    <row r="423">
      <c r="B423" t="s" s="56">
        <v>548</v>
      </c>
      <c r="C423" s="56"/>
      <c r="D423" s="70">
        <f>C392</f>
        <v>0</v>
      </c>
      <c r="E423" t="e" s="70">
        <f>D423*(1+E422)</f>
        <v>#DIV/0!</v>
      </c>
      <c r="F423" t="e" s="70">
        <f>E423*(1+F422)</f>
        <v>#DIV/0!</v>
      </c>
      <c r="G423" t="e" s="70">
        <f>F423*(1+G422)</f>
        <v>#DIV/0!</v>
      </c>
      <c r="H423" t="e" s="70">
        <f>G423*(1+H422)</f>
        <v>#DIV/0!</v>
      </c>
      <c r="I423" t="e" s="70">
        <f>H423*(1+I422)</f>
        <v>#DIV/0!</v>
      </c>
    </row>
    <row r="424">
      <c r="B424" t="s" s="3">
        <v>549</v>
      </c>
      <c r="C424" s="3"/>
      <c r="D424" t="str" s="58">
        <f>C395</f>
        <v>n.a.</v>
      </c>
      <c r="E424" t="e" s="58">
        <f>MIN(D424+$C$31,MAX($C$32,$C395))</f>
        <v>#VALUE!</v>
      </c>
      <c r="F424" t="e" s="58">
        <f>MIN(E424+$C$31,MAX($C$32,$C395))</f>
        <v>#VALUE!</v>
      </c>
      <c r="G424" t="e" s="58">
        <f>MIN(F424+$C$31,MAX($C$32,$C395))</f>
        <v>#VALUE!</v>
      </c>
      <c r="H424" t="e" s="58">
        <f>MIN(G424+$C$31,MAX($C$32,$C395))</f>
        <v>#VALUE!</v>
      </c>
      <c r="I424" t="e" s="58">
        <f>MIN(H424+$C$31,MAX($C$32,$C395))</f>
        <v>#VALUE!</v>
      </c>
    </row>
    <row r="425">
      <c r="B425" t="s" s="56">
        <v>550</v>
      </c>
      <c r="C425" s="56"/>
      <c r="D425" t="e" s="69">
        <f>D423*D424</f>
        <v>#VALUE!</v>
      </c>
      <c r="E425" t="e" s="69">
        <f>E423*E424</f>
        <v>#DIV/0!</v>
      </c>
      <c r="F425" t="e" s="69">
        <f>F423*F424</f>
        <v>#DIV/0!</v>
      </c>
      <c r="G425" t="e" s="69">
        <f>G423*G424</f>
        <v>#DIV/0!</v>
      </c>
      <c r="H425" t="e" s="69">
        <f>H423*H424</f>
        <v>#DIV/0!</v>
      </c>
      <c r="I425" t="e" s="69">
        <f>I423*I424</f>
        <v>#DIV/0!</v>
      </c>
    </row>
    <row r="426">
      <c r="B426" t="s" s="71">
        <v>551</v>
      </c>
      <c r="D426" s="68"/>
      <c r="E426" s="68">
        <f>-$C$26*$C396</f>
        <v>0</v>
      </c>
      <c r="F426" s="68">
        <f>-$C$26*$C396</f>
        <v>0</v>
      </c>
      <c r="G426" s="68">
        <f>-$C$26*$C396</f>
        <v>0</v>
      </c>
      <c r="H426" s="68">
        <f>-$C$26*$C396</f>
        <v>0</v>
      </c>
      <c r="I426" s="68">
        <f>-$C$26*$C396</f>
        <v>0</v>
      </c>
    </row>
    <row r="427">
      <c r="B427" t="s" s="71">
        <v>552</v>
      </c>
      <c r="D427" s="68"/>
      <c r="E427" t="e" s="68">
        <f>-E423*$C398/$C392</f>
        <v>#DIV/0!</v>
      </c>
      <c r="F427" t="e" s="68">
        <f>-F423*$C398/$C392</f>
        <v>#DIV/0!</v>
      </c>
      <c r="G427" t="e" s="68">
        <f>-G423*$C398/$C392</f>
        <v>#DIV/0!</v>
      </c>
      <c r="H427" t="e" s="68">
        <f>-H423*$C398/$C392</f>
        <v>#DIV/0!</v>
      </c>
      <c r="I427" t="e" s="68">
        <f>-I423*$C398/$C392</f>
        <v>#DIV/0!</v>
      </c>
    </row>
    <row r="428">
      <c r="B428" t="s" s="71">
        <v>553</v>
      </c>
      <c r="D428" s="68"/>
      <c r="E428" t="e" s="68">
        <f>-E433*$C$17</f>
        <v>#DIV/0!</v>
      </c>
      <c r="F428" t="e" s="68">
        <f>-F433*$C$17</f>
        <v>#DIV/0!</v>
      </c>
      <c r="G428" t="e" s="68">
        <f>-G433*$C$17</f>
        <v>#DIV/0!</v>
      </c>
      <c r="H428" t="e" s="68">
        <f>-H433*$C$17</f>
        <v>#DIV/0!</v>
      </c>
      <c r="I428" t="e" s="68">
        <f>-I433*$C$17</f>
        <v>#DIV/0!</v>
      </c>
    </row>
    <row r="429">
      <c r="B429" t="s" s="71">
        <v>554</v>
      </c>
      <c r="D429" s="68"/>
      <c r="E429" t="e" s="68">
        <f>-MAX(0,E432)*$C$27</f>
        <v>#DIV/0!</v>
      </c>
      <c r="F429" t="e" s="68">
        <f>-MAX(0,F432)*$C$27</f>
        <v>#DIV/0!</v>
      </c>
      <c r="G429" t="e" s="68">
        <f>-MAX(0,G432)*$C$27</f>
        <v>#DIV/0!</v>
      </c>
      <c r="H429" t="e" s="68">
        <f>-MAX(0,H432)*$C$27</f>
        <v>#DIV/0!</v>
      </c>
      <c r="I429" t="e" s="68">
        <f>-MAX(0,I432)*$C$27</f>
        <v>#DIV/0!</v>
      </c>
    </row>
    <row r="430">
      <c r="B430" t="s" s="56">
        <v>555</v>
      </c>
      <c r="C430" s="56"/>
      <c r="D430" s="69"/>
      <c r="E430" t="e" s="69">
        <f>SUM(E425:E429)</f>
        <v>#DIV/0!</v>
      </c>
      <c r="F430" t="e" s="69">
        <f>SUM(F425:F429)</f>
        <v>#DIV/0!</v>
      </c>
      <c r="G430" t="e" s="69">
        <f>SUM(G425:G429)</f>
        <v>#DIV/0!</v>
      </c>
      <c r="H430" t="e" s="69">
        <f>SUM(H425:H429)</f>
        <v>#DIV/0!</v>
      </c>
      <c r="I430" t="e" s="69">
        <f>SUM(I425:I429)</f>
        <v>#DIV/0!</v>
      </c>
    </row>
    <row r="431">
      <c r="B431" t="s" s="71">
        <v>556</v>
      </c>
      <c r="D431" s="68"/>
      <c r="E431" t="e" s="68">
        <f>E423*$C397/$C392</f>
        <v>#DIV/0!</v>
      </c>
      <c r="F431" t="e" s="68">
        <f>F423*$C397/$C392</f>
        <v>#DIV/0!</v>
      </c>
      <c r="G431" t="e" s="68">
        <f>G423*$C397/$C392</f>
        <v>#DIV/0!</v>
      </c>
      <c r="H431" t="e" s="68">
        <f>H423*$C397/$C392</f>
        <v>#DIV/0!</v>
      </c>
      <c r="I431" t="e" s="68">
        <f>I423*$C397/$C392</f>
        <v>#DIV/0!</v>
      </c>
    </row>
    <row r="432">
      <c r="B432" t="s" s="71">
        <v>557</v>
      </c>
      <c r="D432" s="68"/>
      <c r="E432" t="e" s="68">
        <f>E425+E426+E428-E431</f>
        <v>#DIV/0!</v>
      </c>
      <c r="F432" t="e" s="68">
        <f>F425+F426+F428-F431</f>
        <v>#DIV/0!</v>
      </c>
      <c r="G432" t="e" s="68">
        <f>G425+G426+G428-G431</f>
        <v>#DIV/0!</v>
      </c>
      <c r="H432" t="e" s="68">
        <f>H425+H426+H428-H431</f>
        <v>#DIV/0!</v>
      </c>
      <c r="I432" t="e" s="68">
        <f>I425+I426+I428-I431</f>
        <v>#DIV/0!</v>
      </c>
    </row>
    <row r="433">
      <c r="B433" t="s" s="71">
        <v>558</v>
      </c>
      <c r="D433" s="68"/>
      <c r="E433" t="e" s="68">
        <f>D436</f>
        <v>#DIV/0!</v>
      </c>
      <c r="F433" t="e" s="68">
        <f>E436</f>
        <v>#DIV/0!</v>
      </c>
      <c r="G433" t="e" s="68">
        <f>F436</f>
        <v>#DIV/0!</v>
      </c>
      <c r="H433" t="e" s="68">
        <f>G436</f>
        <v>#DIV/0!</v>
      </c>
      <c r="I433" t="e" s="68">
        <f>H436</f>
        <v>#DIV/0!</v>
      </c>
    </row>
    <row r="434">
      <c r="B434" t="s" s="71">
        <v>559</v>
      </c>
      <c r="D434" s="68"/>
      <c r="E434" t="e" s="68">
        <f>-MIN(E433,$C$18*$D436)</f>
        <v>#DIV/0!</v>
      </c>
      <c r="F434" t="e" s="68">
        <f>-MIN(F433,$C$18*$D436)</f>
        <v>#DIV/0!</v>
      </c>
      <c r="G434" t="e" s="68">
        <f>-MIN(G433,$C$18*$D436)</f>
        <v>#DIV/0!</v>
      </c>
      <c r="H434" t="e" s="68">
        <f>-MIN(H433,$C$18*$D436)</f>
        <v>#DIV/0!</v>
      </c>
      <c r="I434" t="e" s="68">
        <f>-MIN(I433,$C$18*$D436)</f>
        <v>#DIV/0!</v>
      </c>
    </row>
    <row r="435">
      <c r="B435" t="s" s="71">
        <v>560</v>
      </c>
      <c r="D435" s="68"/>
      <c r="E435" t="e" s="68">
        <f>-MIN(E433+E434,MAX(0,E430+E434)*$C$19)</f>
        <v>#DIV/0!</v>
      </c>
      <c r="F435" t="e" s="68">
        <f>-MIN(F433+F434,MAX(0,F430+F434)*$C$19)</f>
        <v>#DIV/0!</v>
      </c>
      <c r="G435" t="e" s="68">
        <f>-MIN(G433+G434,MAX(0,G430+G434)*$C$19)</f>
        <v>#DIV/0!</v>
      </c>
      <c r="H435" t="e" s="68">
        <f>-MIN(H433+H434,MAX(0,H430+H434)*$C$19)</f>
        <v>#DIV/0!</v>
      </c>
      <c r="I435" t="e" s="68">
        <f>-MIN(I433+I434,MAX(0,I430+I434)*$C$19)</f>
        <v>#DIV/0!</v>
      </c>
    </row>
    <row r="436">
      <c r="B436" t="s" s="56">
        <v>561</v>
      </c>
      <c r="C436" s="56"/>
      <c r="D436" t="e" s="69">
        <f>C413</f>
        <v>#DIV/0!</v>
      </c>
      <c r="E436" t="e" s="69">
        <f>SUM(E433:E435)</f>
        <v>#DIV/0!</v>
      </c>
      <c r="F436" t="e" s="69">
        <f>SUM(F433:F435)</f>
        <v>#DIV/0!</v>
      </c>
      <c r="G436" t="e" s="69">
        <f>SUM(G433:G435)</f>
        <v>#DIV/0!</v>
      </c>
      <c r="H436" t="e" s="69">
        <f>SUM(H433:H435)</f>
        <v>#DIV/0!</v>
      </c>
      <c r="I436" t="e" s="69">
        <f>SUM(I433:I435)</f>
        <v>#DIV/0!</v>
      </c>
    </row>
    <row r="437">
      <c r="B437" t="s" s="71">
        <v>562</v>
      </c>
      <c r="D437" s="68">
        <f>C409</f>
        <v>0</v>
      </c>
      <c r="E437" t="e" s="68">
        <f>D437+E430+E434+E435</f>
        <v>#DIV/0!</v>
      </c>
      <c r="F437" t="e" s="68">
        <f>E437+F430+F434+F435</f>
        <v>#DIV/0!</v>
      </c>
      <c r="G437" t="e" s="68">
        <f>F437+G430+G434+G435</f>
        <v>#DIV/0!</v>
      </c>
      <c r="H437" t="e" s="68">
        <f>G437+H430+H434+H435</f>
        <v>#DIV/0!</v>
      </c>
      <c r="I437" t="e" s="68">
        <f>H437+I430+I434+I435</f>
        <v>#DIV/0!</v>
      </c>
    </row>
    <row r="438">
      <c r="B438" t="s">
        <v>563</v>
      </c>
      <c r="D438" t="e" s="68">
        <f>D436-D437</f>
        <v>#DIV/0!</v>
      </c>
      <c r="E438" t="e" s="68">
        <f>E436-E437</f>
        <v>#DIV/0!</v>
      </c>
      <c r="F438" t="e" s="68">
        <f>F436-F437</f>
        <v>#DIV/0!</v>
      </c>
      <c r="G438" t="e" s="68">
        <f>G436-G437</f>
        <v>#DIV/0!</v>
      </c>
      <c r="H438" t="e" s="68">
        <f>H436-H437</f>
        <v>#DIV/0!</v>
      </c>
      <c r="I438" t="e" s="68">
        <f>I436-I437</f>
        <v>#DIV/0!</v>
      </c>
    </row>
    <row r="439">
      <c r="B439" t="s">
        <v>564</v>
      </c>
      <c r="D439" t="e" s="22">
        <f>D438/D425</f>
        <v>#DIV/0!</v>
      </c>
      <c r="E439" t="e" s="22">
        <f>E438/E425</f>
        <v>#DIV/0!</v>
      </c>
      <c r="F439" t="e" s="22">
        <f>F438/F425</f>
        <v>#DIV/0!</v>
      </c>
      <c r="G439" t="e" s="22">
        <f>G438/G425</f>
        <v>#DIV/0!</v>
      </c>
      <c r="H439" t="e" s="22">
        <f>H438/H425</f>
        <v>#DIV/0!</v>
      </c>
      <c r="I439" t="e" s="22">
        <f>I438/I425</f>
        <v>#DIV/0!</v>
      </c>
    </row>
    <row r="440">
      <c r="B440" t="s">
        <v>565</v>
      </c>
      <c r="D440" s="22"/>
      <c r="E440" t="e" s="22">
        <f>IF(E428&lt;0,E425/-E428,"n.a.")</f>
        <v>#DIV/0!</v>
      </c>
      <c r="F440" t="e" s="22">
        <f>IF(F428&lt;0,F425/-F428,"n.a.")</f>
        <v>#DIV/0!</v>
      </c>
      <c r="G440" t="e" s="22">
        <f>IF(G428&lt;0,G425/-G428,"n.a.")</f>
        <v>#DIV/0!</v>
      </c>
      <c r="H440" t="e" s="22">
        <f>IF(H428&lt;0,H425/-H428,"n.a.")</f>
        <v>#DIV/0!</v>
      </c>
      <c r="I440" t="e" s="22">
        <f>IF(I428&lt;0,I425/-I428,"n.a.")</f>
        <v>#DIV/0!</v>
      </c>
    </row>
    <row r="441">
      <c r="B441" t="s" s="67">
        <v>566</v>
      </c>
    </row>
    <row r="442">
      <c r="B442" t="s" s="71">
        <v>567</v>
      </c>
      <c r="C442" t="e" s="68">
        <f>I425*C407</f>
        <v>#DIV/0!</v>
      </c>
    </row>
    <row r="443">
      <c r="B443" t="s" s="71">
        <v>568</v>
      </c>
      <c r="C443" t="e" s="68">
        <f>-I438</f>
        <v>#DIV/0!</v>
      </c>
    </row>
    <row r="444">
      <c r="B444" t="s" s="56">
        <v>569</v>
      </c>
      <c r="C444" t="e" s="69">
        <f>C442+C443</f>
        <v>#DIV/0!</v>
      </c>
      <c r="D444" s="56"/>
      <c r="E444" s="56"/>
      <c r="F444" s="56"/>
      <c r="G444" s="56"/>
      <c r="H444" s="56"/>
      <c r="I444" s="56"/>
    </row>
    <row r="445">
      <c r="B445" t="s">
        <v>570</v>
      </c>
      <c r="D445" t="e" s="68">
        <f>-C418</f>
        <v>#DIV/0!</v>
      </c>
      <c r="E445" t="e" s="68">
        <f>IF(YEAR(E389)=YEAR($C$33)+$C$34,$C444,0)</f>
        <v>#DIV/0!</v>
      </c>
      <c r="F445" s="68">
        <f>IF(YEAR(F389)=YEAR($C$33)+$C$34,$C444,0)</f>
        <v>0</v>
      </c>
      <c r="G445" s="68">
        <f>IF(YEAR(G389)=YEAR($C$33)+$C$34,$C444,0)</f>
        <v>0</v>
      </c>
      <c r="H445" s="68">
        <f>IF(YEAR(H389)=YEAR($C$33)+$C$34,$C444,0)</f>
        <v>0</v>
      </c>
      <c r="I445" s="68">
        <f>IF(YEAR(I389)=YEAR($C$33)+$C$34,$C444,0)</f>
        <v>0</v>
      </c>
    </row>
    <row r="446">
      <c r="B446" t="s">
        <v>571</v>
      </c>
      <c r="C446" t="e" s="53">
        <f>SUMIF(D445:I445,"&gt;0")/-SUMIF(D445:I445,"&lt;0")</f>
        <v>#DIV/0!</v>
      </c>
    </row>
    <row r="447">
      <c r="B447" t="s" s="56">
        <v>572</v>
      </c>
      <c r="C447" t="e" s="57">
        <f>XIRR(D445:I445,D389:I389)</f>
        <v>#DIV/0!</v>
      </c>
      <c r="D447" s="56"/>
      <c r="E447" s="56"/>
      <c r="F447" s="56"/>
      <c r="G447" s="56"/>
      <c r="H447" s="56"/>
      <c r="I447" s="5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5"/>
  <sheetViews>
    <sheetView showGridLines="0" workbookViewId="0">
      <selection activeCell="A1" sqref="A1"/>
    </sheetView>
  </sheetViews>
  <cols>
    <col min="1" max="1" width="2.21875" customWidth="1"/>
    <col min="2" max="2" width="22" customWidth="1"/>
    <col min="3" max="4" width="11" customWidth="1"/>
    <col min="5" max="5" width="21" customWidth="1"/>
    <col min="6" max="6" width="22" customWidth="1"/>
    <col min="7" max="7" width="15" customWidth="1"/>
    <col min="8" max="8" width="20" customWidth="1"/>
    <col min="9" max="9" width="19" customWidth="1"/>
    <col min="10" max="10" width="22" customWidth="1"/>
    <col min="11" max="11" width="24" customWidth="1"/>
    <col min="12" max="12" width="19" customWidth="1"/>
    <col min="13" max="13" width="11" customWidth="1"/>
    <col min="14" max="15" width="12" customWidth="1"/>
  </cols>
  <sheetData>
    <row r="2">
      <c r="B2" t="s" s="2">
        <v>597</v>
      </c>
    </row>
    <row r="3">
      <c r="B3" t="s" s="4">
        <v>754</v>
      </c>
    </row>
    <row r="5">
      <c r="B5" t="s" s="5">
        <v>599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>
      <c r="B6" t="s" s="6">
        <v>58</v>
      </c>
      <c r="C6" t="s" s="6">
        <v>608</v>
      </c>
      <c r="D6" t="s" s="7">
        <v>619</v>
      </c>
      <c r="E6" t="s" s="7">
        <v>621</v>
      </c>
      <c r="F6" t="s" s="7">
        <v>623</v>
      </c>
      <c r="G6" t="s" s="7">
        <v>625</v>
      </c>
      <c r="H6" t="s" s="7">
        <v>627</v>
      </c>
      <c r="I6" t="s" s="7">
        <v>629</v>
      </c>
      <c r="J6" t="s" s="7">
        <v>636</v>
      </c>
      <c r="K6" t="s" s="7">
        <v>637</v>
      </c>
      <c r="L6" t="s" s="7">
        <v>638</v>
      </c>
      <c r="M6" t="s" s="7">
        <v>639</v>
      </c>
      <c r="N6" t="s" s="7">
        <v>618</v>
      </c>
      <c r="O6" t="s" s="6">
        <v>644</v>
      </c>
    </row>
    <row r="7">
      <c r="B7" s="3"/>
      <c r="C7" s="3"/>
      <c r="D7" s="84"/>
      <c r="E7" s="72"/>
      <c r="F7" s="72"/>
      <c r="G7" t="str" s="72">
        <f>IF(COUNT(E7:F7)=2,AVERAGE(E7:F7),"")</f>
        <v/>
      </c>
      <c r="H7" s="100"/>
      <c r="I7" s="101"/>
      <c r="J7" s="101"/>
      <c r="K7" s="101"/>
      <c r="L7" s="101"/>
      <c r="M7" s="101"/>
      <c r="N7" s="102">
        <f>(I7="Cut")+(J7="Yes")+(K7="Yes")+(L7="Yes")+OR(M7="Cautious",M7="Defensive")</f>
        <v>0</v>
      </c>
      <c r="O7" s="3"/>
    </row>
    <row r="8">
      <c r="B8" s="3"/>
      <c r="C8" s="3"/>
      <c r="D8" s="84"/>
      <c r="E8" s="78"/>
      <c r="F8" s="78"/>
      <c r="G8" t="str" s="72">
        <f>IF(COUNT(E8:F8)=2,AVERAGE(E8:F8),"")</f>
        <v/>
      </c>
      <c r="H8" t="str" s="100">
        <f>IF(OR(I8="Initiated",I8="Reset",NOT(ISNUMBER(G8)),NOT(ISNUMBER(G7))),"",G8-G7)</f>
        <v/>
      </c>
      <c r="I8" s="101"/>
      <c r="J8" s="101"/>
      <c r="K8" s="101"/>
      <c r="L8" s="101"/>
      <c r="M8" s="101"/>
      <c r="N8" s="102">
        <f>(I8="Cut")+(J8="Yes")+(K8="Yes")+(L8="Yes")+OR(M8="Cautious",M8="Defensive")</f>
        <v>0</v>
      </c>
      <c r="O8" s="3"/>
    </row>
    <row r="9">
      <c r="B9" s="3"/>
      <c r="C9" s="3"/>
      <c r="D9" s="84"/>
      <c r="E9" s="78"/>
      <c r="F9" s="78"/>
      <c r="G9" t="str" s="72">
        <f>IF(COUNT(E9:F9)=2,AVERAGE(E9:F9),"")</f>
        <v/>
      </c>
      <c r="H9" t="str" s="100">
        <f>IF(OR(I9="Initiated",I9="Reset",NOT(ISNUMBER(G9)),NOT(ISNUMBER(G8))),"",G9-G8)</f>
        <v/>
      </c>
      <c r="I9" s="101"/>
      <c r="J9" s="101"/>
      <c r="K9" s="101"/>
      <c r="L9" s="101"/>
      <c r="M9" s="101"/>
      <c r="N9" s="102">
        <f>(I9="Cut")+(J9="Yes")+(K9="Yes")+(L9="Yes")+OR(M9="Cautious",M9="Defensive")</f>
        <v>0</v>
      </c>
      <c r="O9" s="3"/>
    </row>
    <row r="10">
      <c r="B10" s="103"/>
      <c r="C10" s="103"/>
      <c r="D10" s="104"/>
      <c r="E10" s="105"/>
      <c r="F10" s="105"/>
      <c r="G10" t="str" s="106">
        <f>IF(COUNT(E10:F10)=2,AVERAGE(E10:F10),"")</f>
        <v/>
      </c>
      <c r="H10" t="str" s="107">
        <f>IF(OR(I10="Initiated",I10="Reset",NOT(ISNUMBER(G10)),NOT(ISNUMBER(G9))),"",G10-G9)</f>
        <v/>
      </c>
      <c r="I10" s="108"/>
      <c r="J10" s="108"/>
      <c r="K10" s="108"/>
      <c r="L10" s="108"/>
      <c r="M10" s="108"/>
      <c r="N10" s="109">
        <f>(I10="Cut")+(J10="Yes")+(K10="Yes")+(L10="Yes")+OR(M10="Cautious",M10="Defensive")</f>
        <v>0</v>
      </c>
      <c r="O10" s="103"/>
    </row>
    <row r="11">
      <c r="D11" s="34"/>
      <c r="E11" s="31"/>
      <c r="F11" s="31"/>
      <c r="G11" t="str" s="12">
        <f>IF(COUNT(E11:F11)=2,AVERAGE(E11:F11),"")</f>
        <v/>
      </c>
      <c r="H11" s="23"/>
      <c r="I11" s="16"/>
      <c r="J11" s="16"/>
      <c r="K11" s="16"/>
      <c r="L11" s="16"/>
      <c r="M11" s="16"/>
      <c r="N11" s="15">
        <f>(I11="Cut")+(J11="Yes")+(K11="Yes")+(L11="Yes")+OR(M11="Cautious",M11="Defensive")</f>
        <v>0</v>
      </c>
    </row>
    <row r="12">
      <c r="D12" s="34"/>
      <c r="E12" s="31"/>
      <c r="F12" s="31"/>
      <c r="G12" t="str" s="12">
        <f>IF(COUNT(E12:F12)=2,AVERAGE(E12:F12),"")</f>
        <v/>
      </c>
      <c r="H12" t="str" s="23">
        <f>IF(OR(I12="Initiated",I12="Reset",NOT(ISNUMBER(G12)),NOT(ISNUMBER(G11))),"",G12-G11)</f>
        <v/>
      </c>
      <c r="I12" s="16"/>
      <c r="J12" s="16"/>
      <c r="K12" s="16"/>
      <c r="L12" s="16"/>
      <c r="M12" s="16"/>
      <c r="N12" s="15">
        <f>(I12="Cut")+(J12="Yes")+(K12="Yes")+(L12="Yes")+OR(M12="Cautious",M12="Defensive")</f>
        <v>0</v>
      </c>
    </row>
    <row r="13">
      <c r="D13" s="34"/>
      <c r="E13" s="31"/>
      <c r="F13" s="31"/>
      <c r="G13" t="str" s="12">
        <f>IF(COUNT(E13:F13)=2,AVERAGE(E13:F13),"")</f>
        <v/>
      </c>
      <c r="H13" t="str" s="23">
        <f>IF(OR(I13="Initiated",I13="Reset",NOT(ISNUMBER(G13)),NOT(ISNUMBER(G12))),"",G13-G12)</f>
        <v/>
      </c>
      <c r="I13" s="16"/>
      <c r="J13" s="16"/>
      <c r="K13" s="16"/>
      <c r="L13" s="16"/>
      <c r="M13" s="16"/>
      <c r="N13" s="15">
        <f>(I13="Cut")+(J13="Yes")+(K13="Yes")+(L13="Yes")+OR(M13="Cautious",M13="Defensive")</f>
        <v>0</v>
      </c>
    </row>
    <row r="14">
      <c r="B14" s="93"/>
      <c r="C14" s="93"/>
      <c r="D14" s="94"/>
      <c r="E14" s="95"/>
      <c r="F14" s="95"/>
      <c r="G14" t="str" s="96">
        <f>IF(COUNT(E14:F14)=2,AVERAGE(E14:F14),"")</f>
        <v/>
      </c>
      <c r="H14" t="str" s="97">
        <f>IF(OR(I14="Initiated",I14="Reset",NOT(ISNUMBER(G14)),NOT(ISNUMBER(G13))),"",G14-G13)</f>
        <v/>
      </c>
      <c r="I14" s="98"/>
      <c r="J14" s="98"/>
      <c r="K14" s="98"/>
      <c r="L14" s="98"/>
      <c r="M14" s="98"/>
      <c r="N14" s="99">
        <f>(I14="Cut")+(J14="Yes")+(K14="Yes")+(L14="Yes")+OR(M14="Cautious",M14="Defensive")</f>
        <v>0</v>
      </c>
      <c r="O14" s="93"/>
    </row>
    <row r="15">
      <c r="D15" s="34"/>
      <c r="E15" s="31"/>
      <c r="F15" s="31"/>
      <c r="G15" t="str" s="12">
        <f>IF(COUNT(E15:F15)=2,AVERAGE(E15:F15),"")</f>
        <v/>
      </c>
      <c r="H15" s="23"/>
      <c r="I15" s="16"/>
      <c r="J15" s="16"/>
      <c r="K15" s="16"/>
      <c r="L15" s="16"/>
      <c r="M15" s="16"/>
      <c r="N15" s="15">
        <f>(I15="Cut")+(J15="Yes")+(K15="Yes")+(L15="Yes")+OR(M15="Cautious",M15="Defensive")</f>
        <v>0</v>
      </c>
    </row>
    <row r="16">
      <c r="D16" s="34"/>
      <c r="E16" s="31"/>
      <c r="F16" s="31"/>
      <c r="G16" t="str" s="12">
        <f>IF(COUNT(E16:F16)=2,AVERAGE(E16:F16),"")</f>
        <v/>
      </c>
      <c r="H16" t="str" s="23">
        <f>IF(OR(I16="Initiated",I16="Reset",NOT(ISNUMBER(G16)),NOT(ISNUMBER(G15))),"",G16-G15)</f>
        <v/>
      </c>
      <c r="I16" s="16"/>
      <c r="J16" s="16"/>
      <c r="K16" s="16"/>
      <c r="L16" s="16"/>
      <c r="M16" s="16"/>
      <c r="N16" s="15">
        <f>(I16="Cut")+(J16="Yes")+(K16="Yes")+(L16="Yes")+OR(M16="Cautious",M16="Defensive")</f>
        <v>0</v>
      </c>
    </row>
    <row r="17">
      <c r="D17" s="34"/>
      <c r="E17" s="31"/>
      <c r="F17" s="31"/>
      <c r="G17" t="str" s="12">
        <f>IF(COUNT(E17:F17)=2,AVERAGE(E17:F17),"")</f>
        <v/>
      </c>
      <c r="H17" t="str" s="23">
        <f>IF(OR(I17="Initiated",I17="Reset",NOT(ISNUMBER(G17)),NOT(ISNUMBER(G16))),"",G17-G16)</f>
        <v/>
      </c>
      <c r="I17" s="16"/>
      <c r="J17" s="16"/>
      <c r="K17" s="16"/>
      <c r="L17" s="16"/>
      <c r="M17" s="16"/>
      <c r="N17" s="15">
        <f>(I17="Cut")+(J17="Yes")+(K17="Yes")+(L17="Yes")+OR(M17="Cautious",M17="Defensive")</f>
        <v>0</v>
      </c>
    </row>
    <row r="18">
      <c r="B18" s="93"/>
      <c r="C18" s="93"/>
      <c r="D18" s="94"/>
      <c r="E18" s="95"/>
      <c r="F18" s="95"/>
      <c r="G18" t="str" s="96">
        <f>IF(COUNT(E18:F18)=2,AVERAGE(E18:F18),"")</f>
        <v/>
      </c>
      <c r="H18" t="str" s="97">
        <f>IF(OR(I18="Initiated",I18="Reset",NOT(ISNUMBER(G18)),NOT(ISNUMBER(G17))),"",G18-G17)</f>
        <v/>
      </c>
      <c r="I18" s="98"/>
      <c r="J18" s="98"/>
      <c r="K18" s="98"/>
      <c r="L18" s="98"/>
      <c r="M18" s="98"/>
      <c r="N18" s="99">
        <f>(I18="Cut")+(J18="Yes")+(K18="Yes")+(L18="Yes")+OR(M18="Cautious",M18="Defensive")</f>
        <v>0</v>
      </c>
      <c r="O18" s="93"/>
    </row>
    <row r="19">
      <c r="D19" s="34"/>
      <c r="E19" s="12"/>
      <c r="F19" s="12"/>
      <c r="G19" t="str" s="12">
        <f>IF(COUNT(E19:F19)=2,AVERAGE(E19:F19),"")</f>
        <v/>
      </c>
      <c r="H19" s="23"/>
      <c r="I19" s="16"/>
      <c r="J19" s="16"/>
      <c r="K19" s="16"/>
      <c r="L19" s="16"/>
      <c r="M19" s="16"/>
      <c r="N19" s="15">
        <f>(I19="Cut")+(J19="Yes")+(K19="Yes")+(L19="Yes")+OR(M19="Cautious",M19="Defensive")</f>
        <v>0</v>
      </c>
    </row>
    <row r="20">
      <c r="D20" s="34"/>
      <c r="E20" s="12"/>
      <c r="F20" s="12"/>
      <c r="G20" t="str" s="12">
        <f>IF(COUNT(E20:F20)=2,AVERAGE(E20:F20),"")</f>
        <v/>
      </c>
      <c r="H20" t="str" s="23">
        <f>IF(OR(I20="Initiated",I20="Reset",NOT(ISNUMBER(G20)),NOT(ISNUMBER(G19))),"",G20-G19)</f>
        <v/>
      </c>
      <c r="I20" s="16"/>
      <c r="J20" s="16"/>
      <c r="K20" s="16"/>
      <c r="L20" s="16"/>
      <c r="M20" s="16"/>
      <c r="N20" s="15">
        <f>(I20="Cut")+(J20="Yes")+(K20="Yes")+(L20="Yes")+OR(M20="Cautious",M20="Defensive")</f>
        <v>0</v>
      </c>
    </row>
    <row r="21">
      <c r="D21" s="34"/>
      <c r="E21" s="12"/>
      <c r="F21" s="12"/>
      <c r="G21" t="str" s="12">
        <f>IF(COUNT(E21:F21)=2,AVERAGE(E21:F21),"")</f>
        <v/>
      </c>
      <c r="H21" t="str" s="23">
        <f>IF(OR(I21="Initiated",I21="Reset",NOT(ISNUMBER(G21)),NOT(ISNUMBER(G20))),"",G21-G20)</f>
        <v/>
      </c>
      <c r="I21" s="16"/>
      <c r="J21" s="16"/>
      <c r="K21" s="16"/>
      <c r="L21" s="16"/>
      <c r="M21" s="16"/>
      <c r="N21" s="15">
        <f>(I21="Cut")+(J21="Yes")+(K21="Yes")+(L21="Yes")+OR(M21="Cautious",M21="Defensive")</f>
        <v>0</v>
      </c>
    </row>
    <row r="22">
      <c r="B22" s="93"/>
      <c r="C22" s="93"/>
      <c r="D22" s="94"/>
      <c r="E22" s="96"/>
      <c r="F22" s="96"/>
      <c r="G22" t="str" s="96">
        <f>IF(COUNT(E22:F22)=2,AVERAGE(E22:F22),"")</f>
        <v/>
      </c>
      <c r="H22" t="str" s="97">
        <f>IF(OR(I22="Initiated",I22="Reset",NOT(ISNUMBER(G22)),NOT(ISNUMBER(G21))),"",G22-G21)</f>
        <v/>
      </c>
      <c r="I22" s="98"/>
      <c r="J22" s="98"/>
      <c r="K22" s="98"/>
      <c r="L22" s="98"/>
      <c r="M22" s="98"/>
      <c r="N22" s="99">
        <f>(I22="Cut")+(J22="Yes")+(K22="Yes")+(L22="Yes")+OR(M22="Cautious",M22="Defensive")</f>
        <v>0</v>
      </c>
      <c r="O22" s="93"/>
    </row>
    <row r="23">
      <c r="D23" s="34"/>
      <c r="E23" s="31"/>
      <c r="F23" s="31"/>
      <c r="G23" t="str" s="12">
        <f>IF(COUNT(E23:F23)=2,AVERAGE(E23:F23),"")</f>
        <v/>
      </c>
      <c r="H23" s="23"/>
      <c r="I23" s="16"/>
      <c r="J23" s="16"/>
      <c r="K23" s="16"/>
      <c r="L23" s="16"/>
      <c r="M23" s="16"/>
      <c r="N23" s="15">
        <f>(I23="Cut")+(J23="Yes")+(K23="Yes")+(L23="Yes")+OR(M23="Cautious",M23="Defensive")</f>
        <v>0</v>
      </c>
    </row>
    <row r="24">
      <c r="D24" s="34"/>
      <c r="E24" s="31"/>
      <c r="F24" s="31"/>
      <c r="G24" t="str" s="12">
        <f>IF(COUNT(E24:F24)=2,AVERAGE(E24:F24),"")</f>
        <v/>
      </c>
      <c r="H24" t="str" s="23">
        <f>IF(OR(I24="Initiated",I24="Reset",NOT(ISNUMBER(G24)),NOT(ISNUMBER(G23))),"",G24-G23)</f>
        <v/>
      </c>
      <c r="I24" s="16"/>
      <c r="J24" s="16"/>
      <c r="K24" s="16"/>
      <c r="L24" s="16"/>
      <c r="M24" s="16"/>
      <c r="N24" s="15">
        <f>(I24="Cut")+(J24="Yes")+(K24="Yes")+(L24="Yes")+OR(M24="Cautious",M24="Defensive")</f>
        <v>0</v>
      </c>
    </row>
    <row r="25">
      <c r="D25" s="34"/>
      <c r="E25" s="31"/>
      <c r="F25" s="31"/>
      <c r="G25" t="str" s="12">
        <f>IF(COUNT(E25:F25)=2,AVERAGE(E25:F25),"")</f>
        <v/>
      </c>
      <c r="H25" t="str" s="23">
        <f>IF(OR(I25="Initiated",I25="Reset",NOT(ISNUMBER(G25)),NOT(ISNUMBER(G24))),"",G25-G24)</f>
        <v/>
      </c>
      <c r="I25" s="16"/>
      <c r="J25" s="16"/>
      <c r="K25" s="16"/>
      <c r="L25" s="16"/>
      <c r="M25" s="16"/>
      <c r="N25" s="15">
        <f>(I25="Cut")+(J25="Yes")+(K25="Yes")+(L25="Yes")+OR(M25="Cautious",M25="Defensive")</f>
        <v>0</v>
      </c>
    </row>
    <row r="26">
      <c r="B26" s="93"/>
      <c r="C26" s="93"/>
      <c r="D26" s="94"/>
      <c r="E26" s="95"/>
      <c r="F26" s="95"/>
      <c r="G26" t="str" s="96">
        <f>IF(COUNT(E26:F26)=2,AVERAGE(E26:F26),"")</f>
        <v/>
      </c>
      <c r="H26" t="str" s="97">
        <f>IF(OR(I26="Initiated",I26="Reset",NOT(ISNUMBER(G26)),NOT(ISNUMBER(G25))),"",G26-G25)</f>
        <v/>
      </c>
      <c r="I26" s="98"/>
      <c r="J26" s="98"/>
      <c r="K26" s="98"/>
      <c r="L26" s="98"/>
      <c r="M26" s="98"/>
      <c r="N26" s="99">
        <f>(I26="Cut")+(J26="Yes")+(K26="Yes")+(L26="Yes")+OR(M26="Cautious",M26="Defensive")</f>
        <v>0</v>
      </c>
      <c r="O26" s="93"/>
    </row>
    <row r="27">
      <c r="D27" s="34"/>
      <c r="E27" s="31"/>
      <c r="F27" s="31"/>
      <c r="G27" t="str" s="12">
        <f>IF(COUNT(E27:F27)=2,AVERAGE(E27:F27),"")</f>
        <v/>
      </c>
      <c r="H27" s="23"/>
      <c r="I27" s="16"/>
      <c r="J27" s="16"/>
      <c r="K27" s="16"/>
      <c r="L27" s="16"/>
      <c r="M27" s="16"/>
      <c r="N27" s="15">
        <f>(I27="Cut")+(J27="Yes")+(K27="Yes")+(L27="Yes")+OR(M27="Cautious",M27="Defensive")</f>
        <v>0</v>
      </c>
    </row>
    <row r="28">
      <c r="D28" s="34"/>
      <c r="E28" s="31"/>
      <c r="F28" s="31"/>
      <c r="G28" t="str" s="12">
        <f>IF(COUNT(E28:F28)=2,AVERAGE(E28:F28),"")</f>
        <v/>
      </c>
      <c r="H28" t="str" s="23">
        <f>IF(OR(I28="Initiated",I28="Reset",NOT(ISNUMBER(G28)),NOT(ISNUMBER(G27))),"",G28-G27)</f>
        <v/>
      </c>
      <c r="I28" s="16"/>
      <c r="J28" s="16"/>
      <c r="K28" s="16"/>
      <c r="L28" s="16"/>
      <c r="M28" s="16"/>
      <c r="N28" s="15">
        <f>(I28="Cut")+(J28="Yes")+(K28="Yes")+(L28="Yes")+OR(M28="Cautious",M28="Defensive")</f>
        <v>0</v>
      </c>
    </row>
    <row r="29">
      <c r="D29" s="34"/>
      <c r="E29" s="12"/>
      <c r="F29" s="12"/>
      <c r="G29" t="str" s="12">
        <f>IF(COUNT(E29:F29)=2,AVERAGE(E29:F29),"")</f>
        <v/>
      </c>
      <c r="H29" t="str" s="23">
        <f>IF(OR(I29="Initiated",I29="Reset",NOT(ISNUMBER(G29)),NOT(ISNUMBER(G28))),"",G29-G28)</f>
        <v/>
      </c>
      <c r="I29" s="16"/>
      <c r="J29" s="16"/>
      <c r="K29" s="16"/>
      <c r="L29" s="16"/>
      <c r="M29" s="16"/>
      <c r="N29" s="15">
        <f>(I29="Cut")+(J29="Yes")+(K29="Yes")+(L29="Yes")+OR(M29="Cautious",M29="Defensive")</f>
        <v>0</v>
      </c>
    </row>
    <row r="30">
      <c r="B30" s="93"/>
      <c r="C30" s="93"/>
      <c r="D30" s="94"/>
      <c r="E30" s="96"/>
      <c r="F30" s="96"/>
      <c r="G30" t="str" s="96">
        <f>IF(COUNT(E30:F30)=2,AVERAGE(E30:F30),"")</f>
        <v/>
      </c>
      <c r="H30" t="str" s="97">
        <f>IF(OR(I30="Initiated",I30="Reset",NOT(ISNUMBER(G30)),NOT(ISNUMBER(G29))),"",G30-G29)</f>
        <v/>
      </c>
      <c r="I30" s="98"/>
      <c r="J30" s="98"/>
      <c r="K30" s="98"/>
      <c r="L30" s="98"/>
      <c r="M30" s="98"/>
      <c r="N30" s="99">
        <f>(I30="Cut")+(J30="Yes")+(K30="Yes")+(L30="Yes")+OR(M30="Cautious",M30="Defensive")</f>
        <v>0</v>
      </c>
      <c r="O30" s="93"/>
    </row>
    <row r="31">
      <c r="D31" s="34"/>
      <c r="E31" s="12"/>
      <c r="F31" s="12"/>
      <c r="G31" t="str" s="12">
        <f>IF(COUNT(E31:F31)=2,AVERAGE(E31:F31),"")</f>
        <v/>
      </c>
      <c r="H31" s="23"/>
      <c r="I31" s="16"/>
      <c r="J31" s="16"/>
      <c r="K31" s="16"/>
      <c r="L31" s="16"/>
      <c r="M31" s="16"/>
      <c r="N31" s="15">
        <f>(I31="Cut")+(J31="Yes")+(K31="Yes")+(L31="Yes")+OR(M31="Cautious",M31="Defensive")</f>
        <v>0</v>
      </c>
    </row>
    <row r="32">
      <c r="D32" s="34"/>
      <c r="E32" s="31"/>
      <c r="F32" s="31"/>
      <c r="G32" t="str" s="12">
        <f>IF(COUNT(E32:F32)=2,AVERAGE(E32:F32),"")</f>
        <v/>
      </c>
      <c r="H32" t="str" s="23">
        <f>IF(OR(I32="Initiated",I32="Reset",NOT(ISNUMBER(G32)),NOT(ISNUMBER(G31))),"",G32-G31)</f>
        <v/>
      </c>
      <c r="I32" s="16"/>
      <c r="J32" s="16"/>
      <c r="K32" s="16"/>
      <c r="L32" s="16"/>
      <c r="M32" s="16"/>
      <c r="N32" s="15">
        <f>(I32="Cut")+(J32="Yes")+(K32="Yes")+(L32="Yes")+OR(M32="Cautious",M32="Defensive")</f>
        <v>0</v>
      </c>
    </row>
    <row r="33">
      <c r="D33" s="34"/>
      <c r="E33" s="31"/>
      <c r="F33" s="31"/>
      <c r="G33" t="str" s="12">
        <f>IF(COUNT(E33:F33)=2,AVERAGE(E33:F33),"")</f>
        <v/>
      </c>
      <c r="H33" t="str" s="23">
        <f>IF(OR(I33="Initiated",I33="Reset",NOT(ISNUMBER(G33)),NOT(ISNUMBER(G32))),"",G33-G32)</f>
        <v/>
      </c>
      <c r="I33" s="16"/>
      <c r="J33" s="16"/>
      <c r="K33" s="16"/>
      <c r="L33" s="16"/>
      <c r="M33" s="16"/>
      <c r="N33" s="15">
        <f>(I33="Cut")+(J33="Yes")+(K33="Yes")+(L33="Yes")+OR(M33="Cautious",M33="Defensive")</f>
        <v>0</v>
      </c>
    </row>
    <row r="34">
      <c r="D34" s="34"/>
      <c r="E34" s="31"/>
      <c r="F34" s="31"/>
      <c r="G34" t="str" s="12">
        <f>IF(COUNT(E34:F34)=2,AVERAGE(E34:F34),"")</f>
        <v/>
      </c>
      <c r="H34" t="str" s="23">
        <f>IF(OR(I34="Initiated",I34="Reset",NOT(ISNUMBER(G34)),NOT(ISNUMBER(G33))),"",G34-G33)</f>
        <v/>
      </c>
      <c r="I34" s="16"/>
      <c r="J34" s="16"/>
      <c r="K34" s="16"/>
      <c r="L34" s="16"/>
      <c r="M34" s="16"/>
      <c r="N34" s="15">
        <f>(I34="Cut")+(J34="Yes")+(K34="Yes")+(L34="Yes")+OR(M34="Cautious",M34="Defensive")</f>
        <v>0</v>
      </c>
    </row>
    <row r="37">
      <c r="B37" t="s" s="5">
        <v>607</v>
      </c>
      <c r="C37" s="5"/>
      <c r="D37" s="5"/>
      <c r="E37" s="5"/>
      <c r="F37" s="5"/>
      <c r="G37" s="5"/>
      <c r="H37" s="5"/>
    </row>
    <row r="38">
      <c r="B38" t="s" s="6">
        <v>58</v>
      </c>
      <c r="C38" t="s" s="7">
        <v>618</v>
      </c>
      <c r="D38" t="s" s="7">
        <v>708</v>
      </c>
      <c r="E38" t="s" s="7">
        <v>709</v>
      </c>
      <c r="F38" t="s" s="7">
        <v>624</v>
      </c>
      <c r="G38" t="s" s="7">
        <v>710</v>
      </c>
      <c r="H38" t="s" s="7">
        <v>711</v>
      </c>
    </row>
    <row r="39">
      <c r="B39" s="3"/>
      <c r="C39" s="102">
        <f>SUMIF($B$7:$B$34,$B39,$N$7:$N$34)</f>
        <v>0</v>
      </c>
      <c r="D39" s="102">
        <f>COUNTIFS($B$7:$B$34,$B39,$I$7:$I$34,"Cut")</f>
        <v>0</v>
      </c>
      <c r="E39" s="102">
        <f>COUNTIFS($B$7:$B$34,$B39,$J$7:$J$34,"Yes")</f>
        <v>0</v>
      </c>
      <c r="F39" s="102">
        <f>COUNTIFS($B$7:$B$34,$B39,$K$7:$K$34,"Yes")</f>
        <v>0</v>
      </c>
      <c r="G39" s="102">
        <f>COUNTIFS($B$7:$B$34,$B39,$L$7:$L$34,"Yes")</f>
        <v>0</v>
      </c>
      <c r="H39" s="102">
        <f>COUNTIFS($B$7:$B$34,$B39,$M$7:$M$34,"Cautious")+COUNTIFS($B$7:$B$34,$B39,$M$7:$M$34,"Defensive")</f>
        <v>0</v>
      </c>
    </row>
    <row r="40">
      <c r="C40" s="15">
        <f>SUMIF($B$7:$B$34,$B40,$N$7:$N$34)</f>
        <v>0</v>
      </c>
      <c r="D40" s="15">
        <f>COUNTIFS($B$7:$B$34,$B40,$I$7:$I$34,"Cut")</f>
        <v>0</v>
      </c>
      <c r="E40" s="15">
        <f>COUNTIFS($B$7:$B$34,$B40,$J$7:$J$34,"Yes")</f>
        <v>0</v>
      </c>
      <c r="F40" s="15">
        <f>COUNTIFS($B$7:$B$34,$B40,$K$7:$K$34,"Yes")</f>
        <v>0</v>
      </c>
      <c r="G40" s="15">
        <f>COUNTIFS($B$7:$B$34,$B40,$L$7:$L$34,"Yes")</f>
        <v>0</v>
      </c>
      <c r="H40" s="15">
        <f>COUNTIFS($B$7:$B$34,$B40,$M$7:$M$34,"Cautious")+COUNTIFS($B$7:$B$34,$B40,$M$7:$M$34,"Defensive")</f>
        <v>0</v>
      </c>
    </row>
    <row r="41">
      <c r="C41" s="15">
        <f>SUMIF($B$7:$B$34,$B41,$N$7:$N$34)</f>
        <v>0</v>
      </c>
      <c r="D41" s="15">
        <f>COUNTIFS($B$7:$B$34,$B41,$I$7:$I$34,"Cut")</f>
        <v>0</v>
      </c>
      <c r="E41" s="15">
        <f>COUNTIFS($B$7:$B$34,$B41,$J$7:$J$34,"Yes")</f>
        <v>0</v>
      </c>
      <c r="F41" s="15">
        <f>COUNTIFS($B$7:$B$34,$B41,$K$7:$K$34,"Yes")</f>
        <v>0</v>
      </c>
      <c r="G41" s="15">
        <f>COUNTIFS($B$7:$B$34,$B41,$L$7:$L$34,"Yes")</f>
        <v>0</v>
      </c>
      <c r="H41" s="15">
        <f>COUNTIFS($B$7:$B$34,$B41,$M$7:$M$34,"Cautious")+COUNTIFS($B$7:$B$34,$B41,$M$7:$M$34,"Defensive")</f>
        <v>0</v>
      </c>
    </row>
    <row r="42">
      <c r="C42" s="15">
        <f>SUMIF($B$7:$B$34,$B42,$N$7:$N$34)</f>
        <v>0</v>
      </c>
      <c r="D42" s="15">
        <f>COUNTIFS($B$7:$B$34,$B42,$I$7:$I$34,"Cut")</f>
        <v>0</v>
      </c>
      <c r="E42" s="15">
        <f>COUNTIFS($B$7:$B$34,$B42,$J$7:$J$34,"Yes")</f>
        <v>0</v>
      </c>
      <c r="F42" s="15">
        <f>COUNTIFS($B$7:$B$34,$B42,$K$7:$K$34,"Yes")</f>
        <v>0</v>
      </c>
      <c r="G42" s="15">
        <f>COUNTIFS($B$7:$B$34,$B42,$L$7:$L$34,"Yes")</f>
        <v>0</v>
      </c>
      <c r="H42" s="15">
        <f>COUNTIFS($B$7:$B$34,$B42,$M$7:$M$34,"Cautious")+COUNTIFS($B$7:$B$34,$B42,$M$7:$M$34,"Defensive")</f>
        <v>0</v>
      </c>
    </row>
    <row r="43">
      <c r="C43" s="15">
        <f>SUMIF($B$7:$B$34,$B43,$N$7:$N$34)</f>
        <v>0</v>
      </c>
      <c r="D43" s="15">
        <f>COUNTIFS($B$7:$B$34,$B43,$I$7:$I$34,"Cut")</f>
        <v>0</v>
      </c>
      <c r="E43" s="15">
        <f>COUNTIFS($B$7:$B$34,$B43,$J$7:$J$34,"Yes")</f>
        <v>0</v>
      </c>
      <c r="F43" s="15">
        <f>COUNTIFS($B$7:$B$34,$B43,$K$7:$K$34,"Yes")</f>
        <v>0</v>
      </c>
      <c r="G43" s="15">
        <f>COUNTIFS($B$7:$B$34,$B43,$L$7:$L$34,"Yes")</f>
        <v>0</v>
      </c>
      <c r="H43" s="15">
        <f>COUNTIFS($B$7:$B$34,$B43,$M$7:$M$34,"Cautious")+COUNTIFS($B$7:$B$34,$B43,$M$7:$M$34,"Defensive")</f>
        <v>0</v>
      </c>
    </row>
    <row r="44">
      <c r="C44" s="15">
        <f>SUMIF($B$7:$B$34,$B44,$N$7:$N$34)</f>
        <v>0</v>
      </c>
      <c r="D44" s="15">
        <f>COUNTIFS($B$7:$B$34,$B44,$I$7:$I$34,"Cut")</f>
        <v>0</v>
      </c>
      <c r="E44" s="15">
        <f>COUNTIFS($B$7:$B$34,$B44,$J$7:$J$34,"Yes")</f>
        <v>0</v>
      </c>
      <c r="F44" s="15">
        <f>COUNTIFS($B$7:$B$34,$B44,$K$7:$K$34,"Yes")</f>
        <v>0</v>
      </c>
      <c r="G44" s="15">
        <f>COUNTIFS($B$7:$B$34,$B44,$L$7:$L$34,"Yes")</f>
        <v>0</v>
      </c>
      <c r="H44" s="15">
        <f>COUNTIFS($B$7:$B$34,$B44,$M$7:$M$34,"Cautious")+COUNTIFS($B$7:$B$34,$B44,$M$7:$M$34,"Defensive")</f>
        <v>0</v>
      </c>
    </row>
    <row r="45">
      <c r="C45" s="15">
        <f>SUMIF($B$7:$B$34,$B45,$N$7:$N$34)</f>
        <v>0</v>
      </c>
      <c r="D45" s="15">
        <f>COUNTIFS($B$7:$B$34,$B45,$I$7:$I$34,"Cut")</f>
        <v>0</v>
      </c>
      <c r="E45" s="15">
        <f>COUNTIFS($B$7:$B$34,$B45,$J$7:$J$34,"Yes")</f>
        <v>0</v>
      </c>
      <c r="F45" s="15">
        <f>COUNTIFS($B$7:$B$34,$B45,$K$7:$K$34,"Yes")</f>
        <v>0</v>
      </c>
      <c r="G45" s="15">
        <f>COUNTIFS($B$7:$B$34,$B45,$L$7:$L$34,"Yes")</f>
        <v>0</v>
      </c>
      <c r="H45" s="15">
        <f>COUNTIFS($B$7:$B$34,$B45,$M$7:$M$34,"Cautious")+COUNTIFS($B$7:$B$34,$B45,$M$7:$M$34,"Defensive")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2026-10-20T23:51:24Z</dcterms:created>
  <dcterms:modified xsi:type="dcterms:W3CDTF">2026-10-20T23:51:25Z</dcterms:modified>
  <cp:category/>
  <cp:contentStatus/>
</cp:coreProperties>
</file>