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4"/>
  </bookViews>
  <sheets>
    <sheet name="Term Sheet" sheetId="1" r:id="rId1"/>
    <sheet name="Debt Schedule" sheetId="2" r:id="rId2"/>
    <sheet name="Credit Stats" sheetId="3" r:id="rId3"/>
    <sheet name="Scenarios" sheetId="4" r:id="rId4"/>
    <sheet name="Debt Output" sheetId="5" r:id="rId5"/>
  </sheets>
  <definedNames>
    <definedName name="_xlnm.Print_Area" localSheetId="4">'Debt Output'!$B$2:$I$75</definedName>
  </definedNames>
  <calcPr iterate="1" iterateCount="200" iterateDelta="0.0001"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C10" authorId="0">
      <text>
        <r>
          <t xml:space="preserve">LBO model workbook (Model G6:I6)</t>
        </r>
      </text>
    </comment>
    <comment ref="C100" authorId="0">
      <text>
        <r>
          <t xml:space="preserve">LBO model workbook (Model G48)</t>
        </r>
      </text>
    </comment>
    <comment ref="C11" authorId="0">
      <text>
        <r>
          <t xml:space="preserve">LBO model workbook (Model C26:I33)</t>
        </r>
      </text>
    </comment>
    <comment ref="C12" authorId="0">
      <text>
        <r>
          <t xml:space="preserve">LBO model workbook (Model Q18:U18)</t>
        </r>
      </text>
    </comment>
    <comment ref="C13" authorId="0">
      <text>
        <r>
          <t xml:space="preserve">LBO model workbook (Model E34)</t>
        </r>
      </text>
    </comment>
    <comment ref="C17" authorId="0">
      <text>
        <r>
          <t xml:space="preserve">CWAN Amended and Restated Debt Commitment Letter and Term Sheet (2026-01-21) p. 28</t>
        </r>
      </text>
    </comment>
    <comment ref="C18" authorId="0">
      <text>
        <r>
          <t xml:space="preserve">CWAN Amended and Restated Debt Commitment Letter and Term Sheet (2026-01-21) p. 43</t>
        </r>
      </text>
    </comment>
    <comment ref="C19" authorId="0">
      <text>
        <r>
          <t xml:space="preserve">CWAN Amended and Restated Debt Commitment Letter and Term Sheet (2026-01-21) p. 43</t>
        </r>
      </text>
    </comment>
    <comment ref="C20" authorId="0">
      <text>
        <r>
          <t xml:space="preserve">Cited for C20:C21
CWAN Amended and Restated Debt Commitment Letter and Term Sheet (2026-01-21) p. 43</t>
        </r>
      </text>
    </comment>
    <comment ref="C23" authorId="0">
      <text>
        <r>
          <t xml:space="preserve">CWAN Amended and Restated Debt Commitment Letter and Term Sheet (2026-01-21) p. 43</t>
        </r>
      </text>
    </comment>
    <comment ref="C24" authorId="0">
      <text>
        <r>
          <t xml:space="preserve">CWAN DEFM14A Definitive Merger Proxy (filed 2026-04-08) p. 110</t>
        </r>
      </text>
    </comment>
    <comment ref="C25" authorId="0">
      <text>
        <r>
          <t xml:space="preserve">CWAN Amended and Restated Debt Commitment Letter and Term Sheet (2026-01-21) p. 43</t>
        </r>
      </text>
    </comment>
    <comment ref="C26" authorId="0">
      <text>
        <r>
          <t xml:space="preserve">CWAN Amended and Restated Debt Commitment Letter and Term Sheet (2026-01-21) p. 43</t>
        </r>
      </text>
    </comment>
    <comment ref="C28" authorId="0">
      <text>
        <r>
          <t xml:space="preserve">LBO model workbook (Model G19:I22)</t>
        </r>
      </text>
    </comment>
    <comment ref="C34" authorId="0">
      <text>
        <r>
          <t xml:space="preserve">CWAN Amended and Restated Debt Commitment Letter and Term Sheet (2026-01-21) p. 37</t>
        </r>
      </text>
    </comment>
    <comment ref="C36" authorId="0">
      <text>
        <r>
          <t xml:space="preserve">CWAN DEFM14A Definitive Merger Proxy (filed 2026-04-08) p. 110</t>
        </r>
      </text>
    </comment>
    <comment ref="C37" authorId="0">
      <text>
        <r>
          <t xml:space="preserve">CWAN Amended and Restated Debt Commitment Letter and Term Sheet (2026-01-21) p. 38</t>
        </r>
      </text>
    </comment>
    <comment ref="C40" authorId="0">
      <text>
        <r>
          <t xml:space="preserve">Cited for C40:C43
CWAN Amended and Restated Debt Commitment Letter and Term Sheet (2026-01-21) p. 38</t>
        </r>
      </text>
    </comment>
    <comment ref="C44" authorId="0">
      <text>
        <r>
          <t xml:space="preserve">Cited for C44:C45
CWAN Amended and Restated Debt Commitment Letter and Term Sheet (2026-01-21) p. 38</t>
        </r>
      </text>
    </comment>
    <comment ref="C47" authorId="0">
      <text>
        <r>
          <t xml:space="preserve">Cited for C47:C48
LBO model workbook (Model K9:M10)</t>
        </r>
      </text>
    </comment>
    <comment ref="C54" authorId="0">
      <text>
        <r>
          <t xml:space="preserve">CWAN Amended and Restated Debt Commitment Letter and Term Sheet (2026-01-21) p. 28</t>
        </r>
      </text>
    </comment>
    <comment ref="C55" authorId="0">
      <text>
        <r>
          <t xml:space="preserve">LBO model workbook (Model C13:M17)</t>
        </r>
      </text>
    </comment>
    <comment ref="C56" authorId="0">
      <text>
        <r>
          <t xml:space="preserve">CWAN DEFM14A Definitive Merger Proxy (filed 2026-04-08) p. 110</t>
        </r>
      </text>
    </comment>
    <comment ref="C58" authorId="0">
      <text>
        <r>
          <t xml:space="preserve">CWAN Amended and Restated Debt Commitment Letter and Term Sheet (2026-01-21) p. 31</t>
        </r>
      </text>
    </comment>
    <comment ref="C59" authorId="0">
      <text>
        <r>
          <t xml:space="preserve">CWAN Amended and Restated Debt Commitment Letter and Term Sheet (2026-01-21) p. 31</t>
        </r>
      </text>
    </comment>
    <comment ref="C61" authorId="0">
      <text>
        <r>
          <t xml:space="preserve">Cited for C61:C63
CWAN Amended and Restated Debt Commitment Letter and Term Sheet (2026-01-21) p. 44</t>
        </r>
      </text>
    </comment>
    <comment ref="C66" authorId="0">
      <text>
        <r>
          <t xml:space="preserve">CWAN Amended and Restated Debt Commitment Letter and Term Sheet (2026-01-21) p. 28</t>
        </r>
      </text>
    </comment>
    <comment ref="C67" authorId="0">
      <text>
        <r>
          <t xml:space="preserve">CWAN DEFM14A Definitive Merger Proxy (filed 2026-04-08) p. 107</t>
        </r>
      </text>
    </comment>
    <comment ref="C68" authorId="0">
      <text>
        <r>
          <t xml:space="preserve">LBO model workbook (Model C13:M17)</t>
        </r>
      </text>
    </comment>
    <comment ref="C69" authorId="0">
      <text>
        <r>
          <t xml:space="preserve">CWAN Amended and Restated Debt Commitment Letter and Term Sheet (2026-01-21) p. 37</t>
        </r>
      </text>
    </comment>
    <comment ref="C7" authorId="0">
      <text>
        <r>
          <t xml:space="preserve">CWAN 8-K Merger Closing (2026-06-25) p. 2</t>
        </r>
      </text>
    </comment>
    <comment ref="C71" authorId="0">
      <text>
        <r>
          <t xml:space="preserve">CWAN Amended and Restated Debt Commitment Letter and Term Sheet (2026-01-21) p. 44</t>
        </r>
      </text>
    </comment>
    <comment ref="C72" authorId="0">
      <text>
        <r>
          <t xml:space="preserve">Cited for C72:C74
CWAN Amended and Restated Debt Commitment Letter and Term Sheet (2026-01-21) p. 44</t>
        </r>
      </text>
    </comment>
    <comment ref="C77" authorId="0">
      <text>
        <r>
          <t xml:space="preserve">CWAN Amended and Restated Debt Commitment Letter and Term Sheet (2026-01-21) p. 41</t>
        </r>
      </text>
    </comment>
    <comment ref="C78" authorId="0">
      <text>
        <r>
          <t xml:space="preserve">Cited for C78:C79
CWAN Amended and Restated Debt Commitment Letter and Term Sheet (2026-01-21) p. 41</t>
        </r>
      </text>
    </comment>
    <comment ref="C85" authorId="0">
      <text>
        <r>
          <t xml:space="preserve">CWAN Amended and Restated Debt Commitment Letter and Term Sheet (2026-01-21) p. 32</t>
        </r>
      </text>
    </comment>
    <comment ref="C86" authorId="0">
      <text>
        <r>
          <t xml:space="preserve">CWAN Amended and Restated Debt Commitment Letter and Term Sheet (2026-01-21) p. 33</t>
        </r>
      </text>
    </comment>
    <comment ref="C87" authorId="0">
      <text>
        <r>
          <t xml:space="preserve">Cited for C87:C88
CWAN Amended and Restated Debt Commitment Letter and Term Sheet (2026-01-21) p. 40</t>
        </r>
      </text>
    </comment>
    <comment ref="C89" authorId="0">
      <text>
        <r>
          <t xml:space="preserve">CWAN Amended and Restated Debt Commitment Letter and Term Sheet (2026-01-21) p. 27</t>
        </r>
      </text>
    </comment>
    <comment ref="C9" authorId="0">
      <text>
        <r>
          <t xml:space="preserve">LBO model workbook (Model C19:E21)</t>
        </r>
      </text>
    </comment>
    <comment ref="C90" authorId="0">
      <text>
        <r>
          <t xml:space="preserve">CWAN Amended and Restated Debt Commitment Letter and Term Sheet (2026-01-21) p. 39</t>
        </r>
      </text>
    </comment>
    <comment ref="C91" authorId="0">
      <text>
        <r>
          <t xml:space="preserve">CWAN Amended and Restated Debt Commitment Letter and Term Sheet (2026-01-21) p. 34</t>
        </r>
      </text>
    </comment>
    <comment ref="C94" authorId="0">
      <text>
        <r>
          <t xml:space="preserve">Cited for C94:C97
LBO model workbook (Model G7:I10)</t>
        </r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22" authorId="0">
      <text>
        <r>
          <t xml:space="preserve">LBO model workbook (Model U26)</t>
        </r>
      </text>
    </comment>
    <comment ref="H135" authorId="0">
      <text>
        <r>
          <t xml:space="preserve">LBO model workbook (Model N162)</t>
        </r>
      </text>
    </comment>
    <comment ref="H138" authorId="0">
      <text>
        <r>
          <t xml:space="preserve">LBO model workbook (Model I204)</t>
        </r>
      </text>
    </comment>
    <comment ref="I10" authorId="0">
      <text>
        <r>
          <t xml:space="preserve">Cited for D10:I10
LBO model workbook (Driver Assumptions C117:F122)</t>
        </r>
      </text>
    </comment>
    <comment ref="I11" authorId="0">
      <text>
        <r>
          <t xml:space="preserve">Cited for D11:I11
LBO model workbook (Driver Assumptions C129:F134)</t>
        </r>
      </text>
    </comment>
    <comment ref="I12" authorId="0">
      <text>
        <r>
          <t xml:space="preserve">Cited for D12:I12
LBO model workbook (Driver Assumptions C20:K24)</t>
        </r>
      </text>
    </comment>
    <comment ref="I13" authorId="0">
      <text>
        <r>
          <t xml:space="preserve">Cited for D13:I13
LBO model workbook (Driver Assumptions C26:K30)</t>
        </r>
      </text>
    </comment>
    <comment ref="I14" authorId="0">
      <text>
        <r>
          <t xml:space="preserve">Cited for D14:I14
LBO model workbook (Driver Assumptions C38:K42)</t>
        </r>
      </text>
    </comment>
    <comment ref="I15" authorId="0">
      <text>
        <r>
          <t xml:space="preserve">Cited for D15:I15
LBO model workbook (Driver Assumptions C44:K48)</t>
        </r>
      </text>
    </comment>
    <comment ref="I16" authorId="0">
      <text>
        <r>
          <t xml:space="preserve">Cited for D16:I16
LBO model workbook (Driver Assumptions E141:F146)</t>
        </r>
      </text>
    </comment>
    <comment ref="K122" authorId="0">
      <text>
        <r>
          <t xml:space="preserve">LBO model workbook (Driver Assumptions E223)</t>
        </r>
      </text>
    </comment>
    <comment ref="P135" authorId="0">
      <text>
        <r>
          <t xml:space="preserve">LBO model workbook (Driver Assumptions E163:E221)</t>
        </r>
      </text>
    </comment>
    <comment ref="P138" authorId="0">
      <text>
        <r>
          <t xml:space="preserve">LBO model workbook (Driver Assumptions E163:E221)</t>
        </r>
      </text>
    </comment>
    <comment ref="Q10" authorId="0">
      <text>
        <r>
          <t xml:space="preserve">Cited for L10:Q10
LBO model workbook (Driver Assumptions C117:F122)</t>
        </r>
      </text>
    </comment>
    <comment ref="Q11" authorId="0">
      <text>
        <r>
          <t xml:space="preserve">Cited for L11:Q11
LBO model workbook (Driver Assumptions C129:F134)</t>
        </r>
      </text>
    </comment>
    <comment ref="Q12" authorId="0">
      <text>
        <r>
          <t xml:space="preserve">Cited for L12:Q12
LBO model workbook (Driver Assumptions C20:K24)</t>
        </r>
      </text>
    </comment>
    <comment ref="Q13" authorId="0">
      <text>
        <r>
          <t xml:space="preserve">Cited for L13:Q13
LBO model workbook (Driver Assumptions C26:K30)</t>
        </r>
      </text>
    </comment>
    <comment ref="Q14" authorId="0">
      <text>
        <r>
          <t xml:space="preserve">Cited for L14:Q14
LBO model workbook (Driver Assumptions C38:K42)</t>
        </r>
      </text>
    </comment>
    <comment ref="Q15" authorId="0">
      <text>
        <r>
          <t xml:space="preserve">Cited for L15:Q15
LBO model workbook (Driver Assumptions C44:K48)</t>
        </r>
      </text>
    </comment>
    <comment ref="Q16" authorId="0">
      <text>
        <r>
          <t xml:space="preserve">Cited for L16:Q16
LBO model workbook (Driver Assumptions E141:F146)</t>
        </r>
      </text>
    </comment>
    <comment ref="S122" authorId="0">
      <text>
        <r>
          <t xml:space="preserve">LBO sensitivity workbook (Sensitivities O92)</t>
        </r>
      </text>
    </comment>
    <comment ref="S143" authorId="0">
      <text>
        <r>
          <t xml:space="preserve">LBO sensitivity workbook (Model C40:I40)</t>
        </r>
      </text>
    </comment>
    <comment ref="X135" authorId="0">
      <text>
        <r>
          <t xml:space="preserve">LBO sensitivity workbook (Sensitivities M92)</t>
        </r>
      </text>
    </comment>
    <comment ref="X138" authorId="0">
      <text>
        <r>
          <t xml:space="preserve">LBO sensitivity workbook (Sensitivities I92)</t>
        </r>
      </text>
    </comment>
    <comment ref="Y12" authorId="0">
      <text>
        <r>
          <t xml:space="preserve">Cited for T12:Y12
LBO sensitivity workbook (Driver Assumptions C21:K21)</t>
        </r>
      </text>
    </comment>
    <comment ref="Y13" authorId="0">
      <text>
        <r>
          <t xml:space="preserve">Cited for T13:Y13
LBO sensitivity workbook (Driver Assumptions C27:K27)</t>
        </r>
      </text>
    </comment>
    <comment ref="Y14" authorId="0">
      <text>
        <r>
          <t xml:space="preserve">Cited for T14:Y14
LBO sensitivity workbook (Driver Assumptions C39:K39)</t>
        </r>
      </text>
    </comment>
    <comment ref="Y144" authorId="0">
      <text>
        <r>
          <t xml:space="preserve">Cited for T144:Y144
LBO sensitivity workbook (Driver Assumptions C9:K9)</t>
        </r>
      </text>
    </comment>
    <comment ref="Y145" authorId="0">
      <text>
        <r>
          <t xml:space="preserve">Cited for T145:Y145
LBO sensitivity workbook (Driver Assumptions C15:K15)</t>
        </r>
      </text>
    </comment>
    <comment ref="Y146" authorId="0">
      <text>
        <r>
          <t xml:space="preserve">Cited for T146:Y146
LBO sensitivity workbook (Driver Assumptions C33:K33)</t>
        </r>
      </text>
    </comment>
    <comment ref="Y15" authorId="0">
      <text>
        <r>
          <t xml:space="preserve">Cited for T15:Y15
LBO sensitivity workbook (Driver Assumptions C45:K45)</t>
        </r>
      </text>
    </comment>
  </commentList>
</comments>
</file>

<file path=xl/sharedStrings.xml><?xml version="1.0" encoding="utf-8"?>
<sst xmlns="http://schemas.openxmlformats.org/spreadsheetml/2006/main" count="535" uniqueCount="535">
  <si>
    <t>Clearwater Analytics take-private: debt term sheet</t>
  </si>
  <si>
    <t>($ in millions)</t>
  </si>
  <si>
    <t>Term</t>
  </si>
  <si>
    <t>Transaction and general</t>
  </si>
  <si>
    <t>Closing date</t>
  </si>
  <si>
    <t>Total debt commitments</t>
  </si>
  <si>
    <t>Term SOFR, held flat</t>
  </si>
  <si>
    <t>Minimum cash</t>
  </si>
  <si>
    <t>Cash at close</t>
  </si>
  <si>
    <t>LTM Mar-26 Adj. EBITDA (pre-SBC)</t>
  </si>
  <si>
    <t>Sponsor equity funded at close</t>
  </si>
  <si>
    <t>Circularity switch (1 = on)</t>
  </si>
  <si>
    <t>Term loan (senior secured, first lien)</t>
  </si>
  <si>
    <t>Principal funded at close</t>
  </si>
  <si>
    <t>Applicable margin over Term SOFR</t>
  </si>
  <si>
    <t>Term SOFR floor</t>
  </si>
  <si>
    <t>Margin step-down</t>
  </si>
  <si>
    <t>Step-down test: 1L net leverage at or below</t>
  </si>
  <si>
    <t>Step-down first available after</t>
  </si>
  <si>
    <t>Further step-down on an IPO</t>
  </si>
  <si>
    <t>PIK option: maximum share of margin</t>
  </si>
  <si>
    <t>PIK step-up, also paid in kind</t>
  </si>
  <si>
    <t>PIK window (months from close)</t>
  </si>
  <si>
    <t>PIK window ends</t>
  </si>
  <si>
    <t>PIK elected, base case (1 = yes)</t>
  </si>
  <si>
    <t>Cash rate while PIK elected</t>
  </si>
  <si>
    <t>PIK rate while elected</t>
  </si>
  <si>
    <t>All-in rate while PIK elected</t>
  </si>
  <si>
    <t>All-in rate if paid in cash</t>
  </si>
  <si>
    <t>Annual cost of the PIK step-up on funded term loan</t>
  </si>
  <si>
    <t>Tenor (years)</t>
  </si>
  <si>
    <t>Maturity date</t>
  </si>
  <si>
    <t>Scheduled amortization (% of original principal p.a.)</t>
  </si>
  <si>
    <t>Prepayment premium, first 12 months</t>
  </si>
  <si>
    <t>Call protection ends</t>
  </si>
  <si>
    <t>Excess cash flow sweep, base percentage</t>
  </si>
  <si>
    <t>ECF first step-down test (1L net leverage)</t>
  </si>
  <si>
    <t>ECF sweep at or below first test</t>
  </si>
  <si>
    <t>ECF second step-down test (1L net leverage)</t>
  </si>
  <si>
    <t>ECF sweep at or below second test</t>
  </si>
  <si>
    <t>ECF threshold ($m)</t>
  </si>
  <si>
    <t>ECF threshold (% of Consolidated EBITDA)</t>
  </si>
  <si>
    <t>First ECF year end</t>
  </si>
  <si>
    <t>Optional prepayment of excess cash above minimum</t>
  </si>
  <si>
    <t>First optional sweep year end</t>
  </si>
  <si>
    <t>OID and financing fees (% of term loan)</t>
  </si>
  <si>
    <t>OID and financing fees ($m)</t>
  </si>
  <si>
    <t>Fee amortization period (years)</t>
  </si>
  <si>
    <t>Delayed-draw term loan (senior secured, first lien)</t>
  </si>
  <si>
    <t>Commitment</t>
  </si>
  <si>
    <t>Drawn at close</t>
  </si>
  <si>
    <t>Availability period (months from close)</t>
  </si>
  <si>
    <t>Availability ends</t>
  </si>
  <si>
    <t>Use: general corporate purposes cap ($m)</t>
  </si>
  <si>
    <t>Draw condition: pro forma 1L net leverage at or below</t>
  </si>
  <si>
    <t>Applicable margin (same as term loan)</t>
  </si>
  <si>
    <t>Ticking fee: fee-free period (days)</t>
  </si>
  <si>
    <t>Ticking fee: day 91 to first anniversary</t>
  </si>
  <si>
    <t>Ticking fee: first anniversary to end of availability</t>
  </si>
  <si>
    <t>Revolving credit facility (senior secured, first lien)</t>
  </si>
  <si>
    <t>Usable at close</t>
  </si>
  <si>
    <t>Applicable margin on drawings (same as term loan)</t>
  </si>
  <si>
    <t>Commitment fee on unused amount</t>
  </si>
  <si>
    <t>Commitment fee step-down, each</t>
  </si>
  <si>
    <t>First fee step-down: 1L net leverage at or below</t>
  </si>
  <si>
    <t>Second fee step-down: 1L net leverage at or below</t>
  </si>
  <si>
    <t>Financial covenant (revolver only; term loan and DDTL: none)</t>
  </si>
  <si>
    <t>Maximum 1L net leverage</t>
  </si>
  <si>
    <t>Springing trigger: net revolver usage above ($m)</t>
  </si>
  <si>
    <t>Springing trigger: or % of revolver commitments</t>
  </si>
  <si>
    <t>Springing trigger in effect ($m)</t>
  </si>
  <si>
    <t>First possible test date</t>
  </si>
  <si>
    <t>Cash below which a full revolver draw springs the test ($m)</t>
  </si>
  <si>
    <t>Incurrence tests and baskets (memo)</t>
  </si>
  <si>
    <t>Ratio debt, pari first lien: 1L net leverage at or below</t>
  </si>
  <si>
    <t>Free-and-clear incremental: greater of ($m) and 100% of EBITDA</t>
  </si>
  <si>
    <t>Restricted dividends: 1L net leverage at or below</t>
  </si>
  <si>
    <t>Restricted debt payments: 1L net leverage at or below</t>
  </si>
  <si>
    <t>Minimum equity contribution</t>
  </si>
  <si>
    <t>Consolidated EBITDA assumed for basket sizing ($m)</t>
  </si>
  <si>
    <t>Cap on planned run-rate synergy add-backs</t>
  </si>
  <si>
    <t>Value</t>
  </si>
  <si>
    <t>Detail</t>
  </si>
  <si>
    <t>New credit agreement entered and existing debt repaid at close</t>
  </si>
  <si>
    <t>Term loan, delayed-draw term loan and revolver</t>
  </si>
  <si>
    <t>No forward curve in the files: Q1'26 rate on existing debt (5.78%) less its 2.25% margin, held flat</t>
  </si>
  <si>
    <t>Operating minimum, as in the LBO model</t>
  </si>
  <si>
    <t>Balance sheet cash left in the business at close</t>
  </si>
  <si>
    <t>Denominator for leverage at close</t>
  </si>
  <si>
    <t>Equity cheque behind the FY2030 IRR</t>
  </si>
  <si>
    <t>Interest on average balances; set to 0, recalculate and reset to 1 to clear an error loop</t>
  </si>
  <si>
    <t>Single draw at close; repaid amounts may not be reborrowed</t>
  </si>
  <si>
    <t>Fixed for the first two full fiscal quarters after close (base rate option: 3.50%)</t>
  </si>
  <si>
    <t>Applies to every benchmark loan</t>
  </si>
  <si>
    <t>One step-down at the leverage test below; range 4.00%-4.50% after the first two quarters</t>
  </si>
  <si>
    <t>Senior Secured First Lien Net Leverage Ratio</t>
  </si>
  <si>
    <t>End of the second full fiscal quarter after close; modeled on prior year-end leverage</t>
  </si>
  <si>
    <t>Not modeled</t>
  </si>
  <si>
    <t>Elected payment by payment, on 3 business days' notice</t>
  </si>
  <si>
    <t>Ratable: 0.125% at 25% PIK, 0.25% at 50% PIK</t>
  </si>
  <si>
    <t>Interest periods selected before the second anniversary of close</t>
  </si>
  <si>
    <t>Last date an interest period can be elected PIK</t>
  </si>
  <si>
    <t>Elected in full through the window, as in the LBO model</t>
  </si>
  <si>
    <t>Term SOFR + 2.25%</t>
  </si>
  <si>
    <t>Half the margin plus the step-up, capitalized</t>
  </si>
  <si>
    <t>Cash plus PIK</t>
  </si>
  <si>
    <t>Term SOFR + 4.50%</t>
  </si>
  <si>
    <t>Before compounding; the price of deferring cash interest</t>
  </si>
  <si>
    <t>Bullet at maturity; lenders may extend individually</t>
  </si>
  <si>
    <t>Seventh anniversary of close</t>
  </si>
  <si>
    <t>No interim amortization</t>
  </si>
  <si>
    <t>Soft call on voluntary prepayments; prepayment from internally generated cash is at par</t>
  </si>
  <si>
    <t>Optional sweep starts in FY2027, after this date</t>
  </si>
  <si>
    <t>Set in the Precedent Credit Agreement, which is not filed; 50% assumed</t>
  </si>
  <si>
    <t>Sweep falls to 25% at or below this level</t>
  </si>
  <si>
    <t>Sweep falls to 0% at or below this level</t>
  </si>
  <si>
    <t>Only ECF above the greater of $105m and 30% of Consolidated EBITDA is swept</t>
  </si>
  <si>
    <t>Modeled on Adj. EBITDA (pre-SBC) as a proxy for Consolidated EBITDA</t>
  </si>
  <si>
    <t>First full fiscal year after close (FY2027); tested on prior year-end leverage</t>
  </si>
  <si>
    <t>Sponsor policy in the LBO model, at par from internally generated cash</t>
  </si>
  <si>
    <t>FY2027, after the soft-call window</t>
  </si>
  <si>
    <t>Facilities fees sit in the Fee and Closing Payment Letter, which is not filed; 2.0% assumed as in the LBO model</t>
  </si>
  <si>
    <t>Capitalized; amortized straight line, non-cash</t>
  </si>
  <si>
    <t>Over the term loan tenor</t>
  </si>
  <si>
    <t>Undrawn at close</t>
  </si>
  <si>
    <t>No draw at close</t>
  </si>
  <si>
    <t>Multiple draws of at least $1.0m; repaid amounts may not be reborrowed</t>
  </si>
  <si>
    <t>Delayed Draw Termination Date</t>
  </si>
  <si>
    <t>Primary use: acquisitions, other investments and capex; also revolver refinancing</t>
  </si>
  <si>
    <t>Tested on each draw, pro forma for the acquisition</t>
  </si>
  <si>
    <t>Margin, maturity and amortization as the term loan; DDTL loans are Term Loans</t>
  </si>
  <si>
    <t>0.00% for the first 90 days</t>
  </si>
  <si>
    <t>On the undrawn amount, quarterly in arrears</t>
  </si>
  <si>
    <t>Multi-currency; letter of credit sublimit of at least $81.25m</t>
  </si>
  <si>
    <t>Cap on closing-date use for consideration and general purposes</t>
  </si>
  <si>
    <t>Undrawn at close; draws only to cover a cash shortfall</t>
  </si>
  <si>
    <t>No amortization or commitment reductions</t>
  </si>
  <si>
    <t>Same pricing options as the term loan; no PIK option</t>
  </si>
  <si>
    <t>Payable quarterly from close</t>
  </si>
  <si>
    <t>Two step-downs; floor of 0.25%</t>
  </si>
  <si>
    <t>No step-downs; equity cure rights as in the Precedent Credit Agreement</t>
  </si>
  <si>
    <t>Revolver loans plus drawn LCs, less unrestricted cash</t>
  </si>
  <si>
    <t>Whichever is greater</t>
  </si>
  <si>
    <t>Greater of the two</t>
  </si>
  <si>
    <t>Last day of the second full fiscal quarter after close, if the trigger is met</t>
  </si>
  <si>
    <t>With cash above this, even a fully drawn revolver stays under the trigger</t>
  </si>
  <si>
    <t>Or no worse than before the incurrence</t>
  </si>
  <si>
    <t>Plus voluntary prepayments</t>
  </si>
  <si>
    <t>Unlimited below this level</t>
  </si>
  <si>
    <t>Of equity plus debt funded at close</t>
  </si>
  <si>
    <t>Above the $280.5m LTM Adj. EBITDA at close</t>
  </si>
  <si>
    <t>Of Consolidated EBITDA, per four-quarter period</t>
  </si>
  <si>
    <t>Source</t>
  </si>
  <si>
    <t>Form 8-K (25-Jun-26), Items 1.01-1.02</t>
  </si>
  <si>
    <t>DEFM14A p. 95; Debt commitment letter (21-Jan-26) Exh. A p. A-2</t>
  </si>
  <si>
    <t/>
  </si>
  <si>
    <t>LBO model, Model!I6</t>
  </si>
  <si>
    <t/>
  </si>
  <si>
    <t/>
  </si>
  <si>
    <t/>
  </si>
  <si>
    <t>Assumption</t>
  </si>
  <si>
    <t>Debt commitment letter (21-Jan-26) Exh. A p. A-2; Form 8-K Item 1.01</t>
  </si>
  <si>
    <t>Debt commitment letter (21-Jan-26) Annex I p. I-1; DEFM14A p. 98</t>
  </si>
  <si>
    <t>Debt commitment letter (21-Jan-26) Annex I p. I-1</t>
  </si>
  <si>
    <t>LBO model, Model!I21</t>
  </si>
  <si>
    <t>Calculated</t>
  </si>
  <si>
    <t>Debt commitment letter (21-Jan-26) Exh. B p. B-8; DEFM14A p. 98</t>
  </si>
  <si>
    <t>Debt commitment letter (21-Jan-26) Exh. B pp. B-9-B-10; DEFM14A p. 98</t>
  </si>
  <si>
    <t>Debt commitment letter (21-Jan-26) Exh. B p. B-9</t>
  </si>
  <si>
    <t>LBO model, Model!M9</t>
  </si>
  <si>
    <t>LBO model, Model!M10</t>
  </si>
  <si>
    <t>Debt commitment letter (21-Jan-26) Exh. A p. A-2; DEFM14A p. 95</t>
  </si>
  <si>
    <t>LBO model, Model!F16</t>
  </si>
  <si>
    <t>Debt commitment letter (21-Jan-26) Exh. B p. B-2; DEFM14A p. 98</t>
  </si>
  <si>
    <t>Debt commitment letter (21-Jan-26) Exh. B p. B-2</t>
  </si>
  <si>
    <t>Debt commitment letter (21-Jan-26) Annex I p. I-2; DEFM14A p. 98</t>
  </si>
  <si>
    <t>Debt commitment letter (21-Jan-26) Annex I p. I-2</t>
  </si>
  <si>
    <t>Debt commitment letter (21-Jan-26) Exh. B p. B-1</t>
  </si>
  <si>
    <t>Debt commitment letter (21-Jan-26) Exh. B pp. B-6-B-7; DEFM14A p. 95</t>
  </si>
  <si>
    <t>LBO model, Model!F14</t>
  </si>
  <si>
    <t>Debt commitment letter (21-Jan-26) Exh. B p. B-8</t>
  </si>
  <si>
    <t>DEFM14A p. 98</t>
  </si>
  <si>
    <t>Debt commitment letter (21-Jan-26) Exh. B p. B-12; DEFM14A p. 99</t>
  </si>
  <si>
    <t>Debt commitment letter (21-Jan-26) Exh. B p. B-12</t>
  </si>
  <si>
    <t>Debt commitment letter (21-Jan-26) Exh. B p. B-3</t>
  </si>
  <si>
    <t>Debt commitment letter (21-Jan-26) Exh. B p. B-4</t>
  </si>
  <si>
    <t>Debt commitment letter (21-Jan-26) Exh. B p. B-11</t>
  </si>
  <si>
    <t>Debt commitment letter (21-Jan-26) Exh. A p. A-1</t>
  </si>
  <si>
    <t>Debt commitment letter (21-Jan-26) Exh. B p. B-10</t>
  </si>
  <si>
    <t>Debt commitment letter (21-Jan-26) Exh. B p. B-5</t>
  </si>
  <si>
    <t>Clearwater Analytics take-private: debt scenarios</t>
  </si>
  <si>
    <t>Scenario selector</t>
  </si>
  <si>
    <t/>
  </si>
  <si>
    <t>Live scenario</t>
  </si>
  <si>
    <t>1  Base: PIK elected through Jun-28, no add-on, Term SOFR held flat</t>
  </si>
  <si>
    <t>2  PIK paid in cash: full margin paid in cash from close</t>
  </si>
  <si>
    <t>3  Add-on (illustrative): $500m delayed draw fully drawn in FY2027</t>
  </si>
  <si>
    <t>4  Term SOFR +100bp</t>
  </si>
  <si>
    <t>5  Term SOFR -100bp</t>
  </si>
  <si>
    <t>Scenario drivers (live)</t>
  </si>
  <si>
    <t>PIK elected (1 = yes)</t>
  </si>
  <si>
    <t>Add-on drawn (1 = yes)</t>
  </si>
  <si>
    <t>Term SOFR shift</t>
  </si>
  <si>
    <t>Add-on and rate inputs (illustrative)</t>
  </si>
  <si>
    <t>Add-on closes in fiscal year ending</t>
  </si>
  <si>
    <t>Delayed draw used for the add-on</t>
  </si>
  <si>
    <t>Purchase multiple: EV / EBITDA (illustrative)</t>
  </si>
  <si>
    <t>Acquired Adj. EBITDA, run-rate</t>
  </si>
  <si>
    <t>Share of first-year EBITDA owned (mid-year close)</t>
  </si>
  <si>
    <t>Acquired EBITDA growth p.a.</t>
  </si>
  <si>
    <t>FCF conversion of acquired EBITDA (after tax, capex, NWC)</t>
  </si>
  <si>
    <t>Exit multiple on acquired EBITDA (= purchase multiple)</t>
  </si>
  <si>
    <t>Term SOFR shock (+/-)</t>
  </si>
  <si>
    <t>Clearwater Analytics take-private: debt schedule</t>
  </si>
  <si>
    <t>($ in millions; fiscal years ending 31-Dec; FY2026 runs from the 25-Jun-26 close)</t>
  </si>
  <si>
    <t>Fiscal year</t>
  </si>
  <si>
    <t>Fraction of year post-close</t>
  </si>
  <si>
    <t>Operating case (linked from the LBO model)</t>
  </si>
  <si>
    <t>Revenue</t>
  </si>
  <si>
    <t>Adj. EBITDA (pre-SBC)</t>
  </si>
  <si>
    <t>SBC, treated as a cash cost</t>
  </si>
  <si>
    <t>Capex (% of revenue)</t>
  </si>
  <si>
    <t>NWC investment (% of revenue)</t>
  </si>
  <si>
    <t>Contract cost amortization (% of revenue)</t>
  </si>
  <si>
    <t>FCF after tax and capex, pre-interest (period)</t>
  </si>
  <si>
    <t>Capex (period)</t>
  </si>
  <si>
    <t>Cash taxes (period, implied)</t>
  </si>
  <si>
    <t>Add-on: acquired Adj. EBITDA, run-rate</t>
  </si>
  <si>
    <t>Add-on: acquired Adj. EBITDA (period)</t>
  </si>
  <si>
    <t>Add-on: FCF contribution (period)</t>
  </si>
  <si>
    <t>Adj. EBITDA (pre-SBC), pro forma ($m)</t>
  </si>
  <si>
    <t>FCF available, pre-interest ($m)</t>
  </si>
  <si>
    <t>Interest rates</t>
  </si>
  <si>
    <t>Term SOFR (held flat, plus scenario shift)</t>
  </si>
  <si>
    <t>Term SOFR, floored</t>
  </si>
  <si>
    <t>Applicable margin (step-down on prior year-end 1L net leverage)</t>
  </si>
  <si>
    <t>Share of period with PIK elected</t>
  </si>
  <si>
    <t>Term loan and DDTL cash rate</t>
  </si>
  <si>
    <t>Term loan and DDTL PIK rate</t>
  </si>
  <si>
    <t>Revolver drawn rate</t>
  </si>
  <si>
    <t>Revolver commitment fee</t>
  </si>
  <si>
    <t>DDTL ticking fee, time-weighted</t>
  </si>
  <si>
    <t>Interest income rate on cash</t>
  </si>
  <si>
    <t>Cash available for debt service and sweep</t>
  </si>
  <si>
    <t>FCF available, pre-interest</t>
  </si>
  <si>
    <t>(–) Cash interest and fees</t>
  </si>
  <si>
    <t>(+) Interest income on cash</t>
  </si>
  <si>
    <t>(–) Scheduled amortization</t>
  </si>
  <si>
    <t>(–) Add-on purchase price</t>
  </si>
  <si>
    <t>(+) Delayed draw funding</t>
  </si>
  <si>
    <t>(+) Beginning cash less minimum cash</t>
  </si>
  <si>
    <t>Cash available for debt service ($m)</t>
  </si>
  <si>
    <t>(+) Revolver draw / (–) repayment</t>
  </si>
  <si>
    <t>Cash available for term loan prepayment ($m)</t>
  </si>
  <si>
    <t>ECF sweep % (prior year-end 1L net leverage)</t>
  </si>
  <si>
    <t>ECF threshold</t>
  </si>
  <si>
    <t>Term loans outstanding before prepayment</t>
  </si>
  <si>
    <t>(–) Required ECF prepayment</t>
  </si>
  <si>
    <t>(–) Optional prepayment (cash sweep)</t>
  </si>
  <si>
    <t>Excess cash retained ($m)</t>
  </si>
  <si>
    <t>Revolving credit facility</t>
  </si>
  <si>
    <t>Beginning balance</t>
  </si>
  <si>
    <t>(+) Draw / (–) repayment</t>
  </si>
  <si>
    <t>Ending balance ($m)</t>
  </si>
  <si>
    <t>Undrawn commitment</t>
  </si>
  <si>
    <t>Cash interest on drawings</t>
  </si>
  <si>
    <t>Commitment fee on undrawn</t>
  </si>
  <si>
    <t>Term loan</t>
  </si>
  <si>
    <t>(+) PIK interest accrued</t>
  </si>
  <si>
    <t>(–) Optional prepayment</t>
  </si>
  <si>
    <t>Average balance</t>
  </si>
  <si>
    <t>Cash interest</t>
  </si>
  <si>
    <t>Delayed-draw term loan</t>
  </si>
  <si>
    <t>(+) Draws</t>
  </si>
  <si>
    <t>Cumulative draws</t>
  </si>
  <si>
    <t>Undrawn commitment (available to Dec-28)</t>
  </si>
  <si>
    <t>Ticking fee on undrawn</t>
  </si>
  <si>
    <t>Financing fees and OID (non-cash)</t>
  </si>
  <si>
    <t>(–) Amortization</t>
  </si>
  <si>
    <t>Interest expense</t>
  </si>
  <si>
    <t>Term loan cash interest</t>
  </si>
  <si>
    <t>DDTL cash interest</t>
  </si>
  <si>
    <t>Revolver cash interest</t>
  </si>
  <si>
    <t>DDTL ticking fee</t>
  </si>
  <si>
    <t>Cash interest and fees ($m)</t>
  </si>
  <si>
    <t>PIK interest (non-cash)</t>
  </si>
  <si>
    <t>Fee and OID amortization (non-cash)</t>
  </si>
  <si>
    <t>Total interest expense ($m)</t>
  </si>
  <si>
    <t>Interest income on cash</t>
  </si>
  <si>
    <t>Cash</t>
  </si>
  <si>
    <t>Beginning cash</t>
  </si>
  <si>
    <t>Change in cash</t>
  </si>
  <si>
    <t>Ending cash ($m)</t>
  </si>
  <si>
    <t>Debt summary</t>
  </si>
  <si>
    <t>Revolver</t>
  </si>
  <si>
    <t>Total debt, incl. PIK ($m)</t>
  </si>
  <si>
    <t>(–) Cash</t>
  </si>
  <si>
    <t>Net debt ($m)</t>
  </si>
  <si>
    <t>Total debt / Adj. EBITDA</t>
  </si>
  <si>
    <t>1L net leverage: net debt / Adj. EBITDA (all debt first lien)</t>
  </si>
  <si>
    <t>Sponsor returns by exit year (NTM multiple, as in the LBO model)</t>
  </si>
  <si>
    <t>Exit multiple: TEV / NTM Adj. EBITDA</t>
  </si>
  <si>
    <t>NTM Adj. EBITDA, platform</t>
  </si>
  <si>
    <t>NTM Adj. EBITDA, add-on</t>
  </si>
  <si>
    <t>Exit enterprise value</t>
  </si>
  <si>
    <t>(–) Total debt, incl. PIK</t>
  </si>
  <si>
    <t>(+) Cash</t>
  </si>
  <si>
    <t>Exit equity value ($m)</t>
  </si>
  <si>
    <t>Sponsor equity invested</t>
  </si>
  <si>
    <t>MOIC</t>
  </si>
  <si>
    <t>IRR</t>
  </si>
  <si>
    <t>Tie-out to the LBO model, FY2030 (live scenario must be 1)</t>
  </si>
  <si>
    <t>Net debt per LBO model</t>
  </si>
  <si>
    <t>Net debt per this schedule</t>
  </si>
  <si>
    <t>Difference</t>
  </si>
  <si>
    <t>IRR per LBO model (selected exit, XIRR)</t>
  </si>
  <si>
    <t>IRR per this schedule</t>
  </si>
  <si>
    <t>Outside-in case</t>
  </si>
  <si>
    <t>Management case</t>
  </si>
  <si>
    <t>Clearwater Analytics take-private: credit statistics</t>
  </si>
  <si>
    <t>($ in millions; leverage on Adj. EBITDA (pre-SBC) as a proxy for covenant Consolidated EBITDA; FY2026 coverage on the post-close stub)</t>
  </si>
  <si>
    <t>Balances and EBITDA</t>
  </si>
  <si>
    <t>Adj. EBITDA (pre-SBC), pro forma; LTM Mar-26 at close</t>
  </si>
  <si>
    <t>Adj. EBITDA (pre-SBC), period</t>
  </si>
  <si>
    <t>Total debt, incl. PIK</t>
  </si>
  <si>
    <t>Leverage</t>
  </si>
  <si>
    <t>Total debt / Adj. EBITDA (gross leverage)</t>
  </si>
  <si>
    <t>Net debt / Adj. EBITDA (net leverage)</t>
  </si>
  <si>
    <t>1L net leverage (all debt is first lien)</t>
  </si>
  <si>
    <t>Headroom to margin step-down test (7.50x)</t>
  </si>
  <si>
    <t>Headroom to restricted dividend test (7.25x)</t>
  </si>
  <si>
    <t>Headroom to DDTL draw test (8.00x)</t>
  </si>
  <si>
    <t/>
  </si>
  <si>
    <t>Coverage</t>
  </si>
  <si>
    <t>Cash interest and fees</t>
  </si>
  <si>
    <t>Adj. EBITDA / cash interest</t>
  </si>
  <si>
    <t>Adj. EBITDA / cash and PIK interest</t>
  </si>
  <si>
    <t>(–) Capex</t>
  </si>
  <si>
    <t>(–) Cash taxes</t>
  </si>
  <si>
    <t>Scheduled principal</t>
  </si>
  <si>
    <t>Fixed-charge coverage: (Adj. EBITDA - capex - cash taxes) / (cash interest + scheduled principal)</t>
  </si>
  <si>
    <t>Cash available for debt service / total debt</t>
  </si>
  <si>
    <t>Cumulative debt paydown since close</t>
  </si>
  <si>
    <t>Liquidity: cash + undrawn revolver</t>
  </si>
  <si>
    <t>Springing financial covenant (revolver only)</t>
  </si>
  <si>
    <t>Net revolver usage: revolver drawn - cash</t>
  </si>
  <si>
    <t>Springing trigger</t>
  </si>
  <si>
    <t>Covenant tested at year end?</t>
  </si>
  <si>
    <t>Additional revolver draw that would spring the test</t>
  </si>
  <si>
    <t>Undrawn revolver</t>
  </si>
  <si>
    <t>1L net leverage</t>
  </si>
  <si>
    <t>Headroom (turns)</t>
  </si>
  <si>
    <t>EBITDA cushion before the covenant bites (%)</t>
  </si>
  <si>
    <t>EBITDA cushion before the covenant bites ($m)</t>
  </si>
  <si>
    <t>Scenario comparison: outside-in case</t>
  </si>
  <si>
    <t>Scenario</t>
  </si>
  <si>
    <t>Scenario number</t>
  </si>
  <si>
    <t>FY2030 total debt, incl. PIK</t>
  </si>
  <si>
    <t>FY2030 net debt</t>
  </si>
  <si>
    <t>FY2030 total debt / Adj. EBITDA</t>
  </si>
  <si>
    <t>FY2030 1L net leverage</t>
  </si>
  <si>
    <t/>
  </si>
  <si>
    <t>Peak 1L net leverage, FY2026-FY2031</t>
  </si>
  <si>
    <t/>
  </si>
  <si>
    <t/>
  </si>
  <si>
    <t/>
  </si>
  <si>
    <t>Cumulative cash interest and fees, FY2026-FY2030</t>
  </si>
  <si>
    <t>Cumulative PIK interest, FY2026-FY2030</t>
  </si>
  <si>
    <t/>
  </si>
  <si>
    <t/>
  </si>
  <si>
    <t>Peak revolver balance</t>
  </si>
  <si>
    <t/>
  </si>
  <si>
    <t/>
  </si>
  <si>
    <t>Scenario comparison: management case</t>
  </si>
  <si>
    <t>Change vs. base</t>
  </si>
  <si>
    <t>Metric</t>
  </si>
  <si>
    <t>Live</t>
  </si>
  <si>
    <t>Base</t>
  </si>
  <si>
    <t>PIK paid in cash</t>
  </si>
  <si>
    <t>Add-on (illustrative)</t>
  </si>
  <si>
    <t>SOFR +100bp</t>
  </si>
  <si>
    <t>SOFR -100bp</t>
  </si>
  <si>
    <t>Clearwater Analytics take-private: debt output</t>
  </si>
  <si>
    <t>Tranche summary ($ in millions)</t>
  </si>
  <si>
    <t>Tranche</t>
  </si>
  <si>
    <t>Total</t>
  </si>
  <si>
    <t>Source: debt commitment letter (21-Jan-26) and DEFM14A pp. 95-99. Revolver usable at close capped at $81.25m; unused fee 0.50% stepping to 0.25%; DDTL ticking fee 0.50%, then 1.00%; 1.00% soft call for 12 months.</t>
  </si>
  <si>
    <t>Debt schedule: outside-in case ($ in millions)</t>
  </si>
  <si>
    <t>Cash available for debt service</t>
  </si>
  <si>
    <t>(–) Term loan prepayment (ECF and optional)</t>
  </si>
  <si>
    <t>PIK interest accrued</t>
  </si>
  <si>
    <t>Term loan, incl. PIK</t>
  </si>
  <si>
    <t>Total debt</t>
  </si>
  <si>
    <t>Net debt</t>
  </si>
  <si>
    <t>Credit statistics ($ in millions)</t>
  </si>
  <si>
    <t>1L net leverage (margin step-down at 7.50x)</t>
  </si>
  <si>
    <t/>
  </si>
  <si>
    <t>EBITDA cushion to the 15.00x springing covenant</t>
  </si>
  <si>
    <t/>
  </si>
  <si>
    <t/>
  </si>
  <si>
    <t/>
  </si>
  <si>
    <t/>
  </si>
  <si>
    <t>Add-on: $500m DDTL drawn FY2027 (illustrative)</t>
  </si>
  <si>
    <t>Term SOFR +100bp</t>
  </si>
  <si>
    <t>Term SOFR -100bp</t>
  </si>
  <si>
    <t/>
  </si>
  <si>
    <t/>
  </si>
  <si>
    <t/>
  </si>
  <si>
    <t>Funded at close</t>
  </si>
  <si>
    <t/>
  </si>
  <si>
    <t>Margin</t>
  </si>
  <si>
    <t>Peak revolver</t>
  </si>
  <si>
    <t>SOFR floor</t>
  </si>
  <si>
    <t/>
  </si>
  <si>
    <t>PIK option</t>
  </si>
  <si>
    <t>None</t>
  </si>
  <si>
    <t/>
  </si>
  <si>
    <t>As term loan</t>
  </si>
  <si>
    <t>Amortization</t>
  </si>
  <si>
    <t>Maturity</t>
  </si>
  <si>
    <t/>
  </si>
  <si>
    <t>Up to 50% to Jun-28</t>
  </si>
  <si>
    <t>Cash tax inputs (linked from the LBO model; used for the Downside cash tax build)</t>
  </si>
  <si>
    <t>§163(j) interest cap (% of EBITDA)</t>
  </si>
  <si>
    <t>Cash tax rate</t>
  </si>
  <si>
    <t>DTA usage cap (% of tax)</t>
  </si>
  <si>
    <t>DTA, net, 31-Mar-26</t>
  </si>
  <si>
    <t>Interest deduction capped; excess carried forward</t>
  </si>
  <si>
    <t>On taxable income after the §163(j) deduction</t>
  </si>
  <si>
    <t>Share of each year's tax that the DTA can shelter</t>
  </si>
  <si>
    <t>Opening DTA available</t>
  </si>
  <si>
    <t>LBO model, Model!I9</t>
  </si>
  <si>
    <t>LBO model, Model!I7</t>
  </si>
  <si>
    <t>LBO model, Model!I8</t>
  </si>
  <si>
    <t>LBO model, Model!I10</t>
  </si>
  <si>
    <t>Downside operating build (drivers from the LBO sensitivity model)</t>
  </si>
  <si>
    <t>FY2025A revenue (reported)</t>
  </si>
  <si>
    <t>Revenue growth</t>
  </si>
  <si>
    <t>Adj. EBITDA margin (pre-SBC)</t>
  </si>
  <si>
    <t>Depreciation (% of capex)</t>
  </si>
  <si>
    <t>Downside cash tax build (§163(j) and DTA, as in the LBO model)</t>
  </si>
  <si>
    <t>(–) Depreciation (period)</t>
  </si>
  <si>
    <t>Adj. EBIT, post-SBC (period)</t>
  </si>
  <si>
    <t>Net interest expense, incl. PIK and fee amortization</t>
  </si>
  <si>
    <t>§163(j) carryforward, opening</t>
  </si>
  <si>
    <t>§163(j) cap</t>
  </si>
  <si>
    <t>Interest deducted</t>
  </si>
  <si>
    <t>§163(j) carryforward, closing</t>
  </si>
  <si>
    <t>Taxable income</t>
  </si>
  <si>
    <t>Tax at cash tax rate</t>
  </si>
  <si>
    <t>DTA, opening</t>
  </si>
  <si>
    <t>(–) DTA utilized</t>
  </si>
  <si>
    <t>DTA, closing</t>
  </si>
  <si>
    <t>Cash taxes ($m)</t>
  </si>
  <si>
    <t>FY2030 returns at the outside-in exit multiple (25.0x)</t>
  </si>
  <si>
    <t>Exit multiple: TEV / NTM Adj. EBITDA (outside-in case)</t>
  </si>
  <si>
    <t>Downside case</t>
  </si>
  <si>
    <t>Revolver and liquidity</t>
  </si>
  <si>
    <t>Revolver draw / (repayment)</t>
  </si>
  <si>
    <t>Revolver balance, year end</t>
  </si>
  <si>
    <t>Peak revolver usage to date</t>
  </si>
  <si>
    <t>Cash above / (below) the $75m minimum</t>
  </si>
  <si>
    <t>Leverage tests at year end (1L net leverage)</t>
  </si>
  <si>
    <t>Margin step-down test met (at or below 7.50x)?</t>
  </si>
  <si>
    <t>ECF sweep percentage applied (prior year-end test)</t>
  </si>
  <si>
    <t>Required ECF prepayment</t>
  </si>
  <si>
    <t>ECF sweep stepped down to 0% (at or below 7.50x)?</t>
  </si>
  <si>
    <t>DDTL draw test met (at or below 8.00x; available to 25-Dec-28)?</t>
  </si>
  <si>
    <t>Live scenario (1 to 6; 1 = base case)</t>
  </si>
  <si>
    <t>6  Term SOFR +200bp (Downside stress)</t>
  </si>
  <si>
    <t>Term SOFR stress (+), scenario 6</t>
  </si>
  <si>
    <t>FY2027 1L net leverage</t>
  </si>
  <si>
    <t>Minimum Adj. EBITDA / cash interest, FY2026-FY2031</t>
  </si>
  <si>
    <t>Minimum Adj. EBITDA / cash and PIK interest, FY2026-FY2031</t>
  </si>
  <si>
    <t>Minimum fixed-charge coverage, FY2026-FY2031</t>
  </si>
  <si>
    <t>Minimum year-end cash, FY2026-FY2031</t>
  </si>
  <si>
    <t>Years above the 7.50x step-down test</t>
  </si>
  <si>
    <t>Years above the 8.00x DDTL draw test, through FY2028</t>
  </si>
  <si>
    <t>Years the springing covenant is tested</t>
  </si>
  <si>
    <t>Minimum EBITDA cushion to the 15.00x covenant</t>
  </si>
  <si>
    <t>FY2030 MOIC, case exit multiple</t>
  </si>
  <si>
    <t>FY2030 IRR, case exit multiple</t>
  </si>
  <si>
    <t>FY2030 MOIC, 25.0x exit</t>
  </si>
  <si>
    <t>FY2030 IRR, 25.0x exit</t>
  </si>
  <si>
    <t>Scenario comparison: Downside case</t>
  </si>
  <si>
    <t>Downside stress by year: Downside, Downside with PIK paid in cash, Downside with Term SOFR +200bp</t>
  </si>
  <si>
    <t>Metric / scenario</t>
  </si>
  <si>
    <t>Downside</t>
  </si>
  <si>
    <t>Downside, PIK paid in cash</t>
  </si>
  <si>
    <t>Downside, Term SOFR +200bp</t>
  </si>
  <si>
    <t>Margin step-down test met (7.50x)?</t>
  </si>
  <si>
    <t>ECF sweep stepped down to 0% (7.50x)?</t>
  </si>
  <si>
    <t>DDTL draw test met (8.00x)?</t>
  </si>
  <si>
    <t>Springing covenant tested?</t>
  </si>
  <si>
    <t>EBITDA cushion to the 15.00x covenant</t>
  </si>
  <si>
    <t>Downside FY2030 returns</t>
  </si>
  <si>
    <t>=CHOOSE(C6,"Base","PIK paid in cash","Add-on (illustrative)","Term SOFR +100bp","Term SOFR -100bp","Term SOFR +200bp")</t>
  </si>
  <si>
    <t>Scenario no.</t>
  </si>
  <si>
    <t/>
  </si>
  <si>
    <t>MOIC, own entry multiple</t>
  </si>
  <si>
    <t>IRR, 25.0x exit</t>
  </si>
  <si>
    <t>MOIC, 25.0x exit</t>
  </si>
  <si>
    <t>SOFR +200bp</t>
  </si>
  <si>
    <t/>
  </si>
  <si>
    <t>Scenario comparison ($ in millions)</t>
  </si>
  <si>
    <t/>
  </si>
  <si>
    <t/>
  </si>
  <si>
    <t>FY2030</t>
  </si>
  <si>
    <t>Minimum coverage, FY2026-FY2031</t>
  </si>
  <si>
    <t>EBITDA / cash interest</t>
  </si>
  <si>
    <t>EBITDA / cash and PIK interest</t>
  </si>
  <si>
    <t>FY2030 returns</t>
  </si>
  <si>
    <t>IRR, case exit multiple</t>
  </si>
  <si>
    <t/>
  </si>
  <si>
    <t/>
  </si>
  <si>
    <t>Deferred awards (linked from the LBO model)</t>
  </si>
  <si>
    <t>Deferred award liability at close</t>
  </si>
  <si>
    <t>Deferred award payout ends</t>
  </si>
  <si>
    <t/>
  </si>
  <si>
    <t>Even payout from close (assumption: the FY2025 10-K gives vesting terms but no by-year schedule)</t>
  </si>
  <si>
    <t>LBO model, Model!E21</t>
  </si>
  <si>
    <t>LBO model, Model!I113</t>
  </si>
  <si>
    <t>LBO model, Model!U20</t>
  </si>
  <si>
    <t>LBO model, Model!E34</t>
  </si>
  <si>
    <t>LBO model, Model!I12</t>
  </si>
  <si>
    <t/>
  </si>
  <si>
    <t/>
  </si>
  <si>
    <t>(–) Deferred award liability, net of tax</t>
  </si>
  <si>
    <t/>
  </si>
  <si>
    <t>Case exit multiple: 25.0x outside-in, 24.8x management, 26.8x Downside (own entry multiple). Add-on illustrative: $500m DDTL at 15.0x EBITDA.</t>
  </si>
  <si>
    <t>IRR, own entry multiple (26.8x)</t>
  </si>
  <si>
    <t>(–) Deferred award payout above SBC as cash</t>
  </si>
  <si>
    <t>Unvested RSU (net of pre-close releases), PSU (at maximum) and Enfusion cash awards; paid as they vest, within SBC as cash; tax-deductible when paid</t>
  </si>
  <si>
    <t>LBO model, Model!G48 and Q28:U37; DEFM14A pp. 105, 118; Form 10-Q Q1'26</t>
  </si>
  <si>
    <t>Leverage on Adj. EBITDA (pre-SBC); FY2026 coverage on the post-close stub. Downside: growth 3pp and margin 1.5pp below outside-in. Deferred award payout sits within SBC as cash. Springing covenant not tested in any case or stress run (42.7% minimum EBITDA cushion, Downside with Term SOFR +200bp).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</si>
</sst>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_);(#,##0.0);&quot;–&quot;_)"/>
    <numFmt numFmtId="165" formatCode="0.00%_);(0.00%);&quot;–&quot;_)"/>
    <numFmt numFmtId="166" formatCode="0_);(0);&quot;–&quot;_)"/>
    <numFmt numFmtId="167" formatCode="0.00&quot;x&quot;_);(0.00&quot;x&quot;);&quot;–&quot;_)"/>
    <numFmt numFmtId="168" formatCode="0.0%_);(0.0%);&quot;–&quot;_)"/>
    <numFmt numFmtId="169" formatCode="0.000%_);(0.000%);&quot;–&quot;_)"/>
    <numFmt numFmtId="170" formatCode="&quot;Close&quot;"/>
    <numFmt numFmtId="171" formatCode="yyyy&quot;E&quot;"/>
    <numFmt numFmtId="172" formatCode="0.00_);(0.00);&quot;–&quot;_)"/>
    <numFmt numFmtId="173" formatCode="+0.00%;(0.00%);&quot;–&quot;"/>
    <numFmt numFmtId="174" formatCode="&quot;FY&quot;yyyy"/>
    <numFmt numFmtId="175" formatCode="0.0&quot;x&quot;"/>
    <numFmt numFmtId="176" formatCode="+0.00&quot;x&quot;;(0.00&quot;x&quot;);&quot;–&quot;"/>
    <numFmt numFmtId="177" formatCode="+#,##0.0;(#,##0.0);&quot;–&quot;"/>
    <numFmt numFmtId="178" formatCode="+0.0%;(0.0%);&quot;–&quot;"/>
    <numFmt numFmtId="179" formatCode="#,##0_);(#,##0);&quot;–&quot;_)"/>
    <numFmt numFmtId="180" formatCode="0.0%_);(0.0%);&quot;None&quot;_)"/>
    <numFmt numFmtId="181" formatCode="0.0&quot;x&quot;_);(0.0&quot;x&quot;);&quot;–&quot;_)"/>
    <numFmt numFmtId="182" formatCode="0.0%"/>
    <numFmt numFmtId="183" formatCode="0.00&quot;x&quot;"/>
    <numFmt numFmtId="184" formatCode="#,##0.0_);(#,##0.0)"/>
  </numFmts>
  <fonts count="24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646464"/>
      <name val="Arial"/>
      <family val="2"/>
    </font>
    <font>
      <sz val="10"/>
      <color rgb="FF646464"/>
      <name val="Arial"/>
      <family val="2"/>
    </font>
    <font>
      <b/>
      <i/>
      <sz val="10"/>
      <color rgb="FF646464"/>
      <name val="Arial"/>
      <family val="2"/>
    </font>
    <font>
      <i/>
      <sz val="10"/>
      <color rgb="FF646464"/>
      <name val="Arial"/>
      <family val="2"/>
    </font>
    <font>
      <b/>
      <i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b/>
      <sz val="10"/>
      <color rgb="FF008000"/>
      <name val="Arial"/>
      <family val="2"/>
    </font>
    <font>
      <b/>
      <u/>
      <sz val="10"/>
      <color rgb="FF000000"/>
      <name val="Arial"/>
      <family val="2"/>
    </font>
    <font>
      <i/>
      <sz val="10"/>
      <color rgb="FF0000FF"/>
      <name val="Arial"/>
      <family val="2"/>
    </font>
    <font>
      <i/>
      <sz val="8"/>
      <color rgb="FF000000"/>
      <name val="Arial"/>
      <family val="2"/>
    </font>
    <font>
      <i/>
      <sz val="8"/>
      <color rgb="FF646464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7F7F7F"/>
      <name val="Arial"/>
      <family val="2"/>
    </font>
    <font>
      <sz val="10"/>
      <color rgb="FF7F7F7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97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1" fillId="0" fontId="1" numFmtId="0" applyFont="1"/>
    <xf xfId="0" borderId="1" fillId="0" fontId="1" numFmtId="0" applyAlignment="1" applyFont="1">
      <alignment horizontal="right"/>
    </xf>
    <xf xfId="0" borderId="0" fillId="0" fontId="0" numFmtId="15"/>
    <xf xfId="0" borderId="0" fillId="0" fontId="0" numFmtId="15" applyAlignment="1">
      <alignment horizontal="right"/>
    </xf>
    <xf xfId="0" borderId="0" fillId="0" fontId="4" numFmtId="15" applyAlignment="1" applyFont="1">
      <alignment horizontal="right"/>
    </xf>
    <xf xfId="0" borderId="0" fillId="0" fontId="0" numFmtId="0" applyAlignment="1">
      <alignment indent="1"/>
    </xf>
    <xf xfId="0" borderId="0" fillId="0" fontId="0" numFmtId="164"/>
    <xf xfId="0" borderId="0" fillId="0" fontId="0" numFmtId="164" applyAlignment="1">
      <alignment horizontal="right"/>
    </xf>
    <xf xfId="0" borderId="0" fillId="0" fontId="0" numFmtId="165"/>
    <xf xfId="0" borderId="0" fillId="0" fontId="0" numFmtId="165" applyAlignment="1">
      <alignment horizontal="right"/>
    </xf>
    <xf xfId="0" borderId="0" fillId="0" fontId="5" numFmtId="165" applyAlignment="1" applyFont="1">
      <alignment horizontal="right"/>
    </xf>
    <xf xfId="0" borderId="0" fillId="0" fontId="5" numFmtId="164" applyAlignment="1" applyFont="1">
      <alignment horizontal="right"/>
    </xf>
    <xf xfId="0" borderId="0" fillId="0" fontId="0" numFmtId="166" applyAlignment="1">
      <alignment horizontal="right"/>
    </xf>
    <xf xfId="0" borderId="0" fillId="0" fontId="4" numFmtId="166" applyAlignment="1" applyFont="1">
      <alignment horizontal="right"/>
    </xf>
    <xf xfId="0" borderId="0" fillId="2" fontId="4" numFmtId="166" applyAlignment="1" applyFont="1" applyFill="1">
      <alignment horizontal="right"/>
    </xf>
    <xf xfId="0" borderId="0" fillId="0" fontId="4" numFmtId="164" applyAlignment="1" applyFont="1">
      <alignment horizontal="right"/>
    </xf>
    <xf xfId="0" borderId="0" fillId="0" fontId="4" numFmtId="165" applyAlignment="1" applyFont="1">
      <alignment horizontal="right"/>
    </xf>
    <xf xfId="0" borderId="0" fillId="0" fontId="0" numFmtId="167"/>
    <xf xfId="0" borderId="0" fillId="0" fontId="0" numFmtId="167" applyAlignment="1">
      <alignment horizontal="right"/>
    </xf>
    <xf xfId="0" borderId="0" fillId="0" fontId="4" numFmtId="167" applyAlignment="1" applyFont="1">
      <alignment horizontal="right"/>
    </xf>
    <xf xfId="0" borderId="0" fillId="0" fontId="0" numFmtId="168"/>
    <xf xfId="0" borderId="0" fillId="0" fontId="0" numFmtId="168" applyAlignment="1">
      <alignment horizontal="right"/>
    </xf>
    <xf xfId="0" borderId="0" fillId="0" fontId="4" numFmtId="168" applyAlignment="1" applyFont="1">
      <alignment horizontal="right"/>
    </xf>
    <xf xfId="0" borderId="0" fillId="0" fontId="5" numFmtId="166" applyAlignment="1" applyFont="1">
      <alignment horizontal="right"/>
    </xf>
    <xf xfId="0" borderId="0" fillId="2" fontId="4" numFmtId="168" applyAlignment="1" applyFont="1" applyFill="1">
      <alignment horizontal="right"/>
    </xf>
    <xf xfId="0" borderId="0" fillId="0" fontId="5" numFmtId="168" applyAlignment="1" applyFont="1">
      <alignment horizontal="right"/>
    </xf>
    <xf xfId="0" borderId="0" fillId="0" fontId="5" numFmtId="15" applyAlignment="1" applyFont="1">
      <alignment horizontal="right"/>
    </xf>
    <xf xfId="0" borderId="0" fillId="0" fontId="0" numFmtId="169"/>
    <xf xfId="0" borderId="0" fillId="0" fontId="4" numFmtId="169" applyAlignment="1" applyFont="1">
      <alignment horizontal="right"/>
    </xf>
    <xf xfId="0" borderId="0" fillId="3" fontId="0" numFmtId="0" applyFill="1"/>
    <xf xfId="0" borderId="0" fillId="3" fontId="7" numFmtId="0" applyFont="1" applyFill="1"/>
    <xf xfId="0" borderId="0" fillId="0" fontId="11" numFmtId="0" applyFont="1"/>
    <xf xfId="0" borderId="0" fillId="0" fontId="13" numFmtId="0" applyAlignment="1" applyFont="1">
      <alignment horizontal="centerContinuous"/>
    </xf>
    <xf xfId="0" borderId="0" fillId="0" fontId="1" numFmtId="0" applyAlignment="1" applyFont="1">
      <alignment horizontal="right"/>
    </xf>
    <xf xfId="0" borderId="1" fillId="0" fontId="1" numFmtId="170" applyAlignment="1" applyFont="1">
      <alignment horizontal="right"/>
    </xf>
    <xf xfId="0" borderId="1" fillId="0" fontId="1" numFmtId="171" applyAlignment="1" applyFont="1">
      <alignment horizontal="right"/>
    </xf>
    <xf xfId="0" borderId="0" fillId="0" fontId="3" numFmtId="172" applyFont="1"/>
    <xf xfId="0" borderId="2" fillId="0" fontId="1" numFmtId="0" applyAlignment="1" applyFont="1"/>
    <xf xfId="0" borderId="2" fillId="0" fontId="1" numFmtId="164" applyFont="1"/>
    <xf xfId="0" borderId="2" fillId="0" fontId="1" numFmtId="168" applyFont="1"/>
    <xf xfId="0" borderId="0" fillId="0" fontId="5" numFmtId="164" applyFont="1"/>
    <xf xfId="0" borderId="0" fillId="0" fontId="5" numFmtId="168" applyFont="1"/>
    <xf xfId="0" borderId="2" fillId="0" fontId="14" numFmtId="164" applyFont="1"/>
    <xf xfId="0" borderId="0" fillId="0" fontId="5" numFmtId="167" applyFont="1"/>
    <xf xfId="0" borderId="0" fillId="0" fontId="5" numFmtId="165" applyFont="1"/>
    <xf xfId="0" borderId="2" fillId="0" fontId="1" numFmtId="164" applyAlignment="1" applyFont="1">
      <alignment horizontal="right"/>
    </xf>
    <xf xfId="0" borderId="2" fillId="0" fontId="1" numFmtId="167" applyAlignment="1" applyFont="1">
      <alignment horizontal="right"/>
    </xf>
    <xf xfId="0" borderId="0" fillId="0" fontId="0" numFmtId="49" applyAlignment="1">
      <alignment horizontal="right"/>
    </xf>
    <xf xfId="0" borderId="0" fillId="0" fontId="1" numFmtId="168" applyAlignment="1" applyFont="1">
      <alignment horizontal="right"/>
    </xf>
    <xf xfId="0" borderId="2" fillId="0" fontId="1" numFmtId="168" applyAlignment="1" applyFont="1">
      <alignment horizontal="right"/>
    </xf>
    <xf xfId="0" borderId="2" fillId="0" fontId="14" numFmtId="167" applyAlignment="1" applyFont="1">
      <alignment horizontal="right"/>
    </xf>
    <xf xfId="0" borderId="0" fillId="0" fontId="5" numFmtId="167" applyAlignment="1" applyFont="1">
      <alignment horizontal="right"/>
    </xf>
    <xf xfId="0" borderId="0" fillId="0" fontId="0" numFmtId="173" applyAlignment="1">
      <alignment horizontal="right"/>
    </xf>
    <xf xfId="0" borderId="0" fillId="0" fontId="0" numFmtId="175" applyAlignment="1">
      <alignment horizontal="right"/>
    </xf>
    <xf xfId="0" borderId="0" fillId="2" fontId="4" numFmtId="174" applyAlignment="1" applyFont="1" applyFill="1">
      <alignment horizontal="right"/>
    </xf>
    <xf xfId="0" borderId="0" fillId="2" fontId="4" numFmtId="175" applyAlignment="1" applyFont="1" applyFill="1">
      <alignment horizontal="right"/>
    </xf>
    <xf xfId="0" borderId="0" fillId="2" fontId="4" numFmtId="165" applyAlignment="1" applyFont="1" applyFill="1">
      <alignment horizontal="right"/>
    </xf>
    <xf xfId="0" borderId="1" fillId="0" fontId="3" numFmtId="0" applyFont="1"/>
    <xf xfId="0" borderId="1" fillId="2" fontId="16" numFmtId="166" applyFont="1" applyFill="1"/>
    <xf xfId="0" borderId="0" fillId="0" fontId="1" numFmtId="0" applyAlignment="1" applyFont="1">
      <alignment indent="1"/>
    </xf>
    <xf xfId="0" borderId="2" fillId="0" fontId="1" numFmtId="0" applyFont="1"/>
    <xf xfId="0" borderId="0" fillId="0" fontId="0" numFmtId="176"/>
    <xf xfId="0" borderId="0" fillId="0" fontId="0" numFmtId="177"/>
    <xf xfId="0" borderId="0" fillId="0" fontId="0" numFmtId="178"/>
    <xf xfId="0" borderId="1" fillId="0" fontId="1" numFmtId="0" applyAlignment="1" applyFont="1">
      <alignment wrapText="1"/>
    </xf>
    <xf xfId="0" borderId="1" fillId="0" fontId="1" numFmtId="0" applyAlignment="1" applyFont="1">
      <alignment wrapText="1" horizontal="right"/>
    </xf>
    <xf xfId="0" borderId="0" fillId="0" fontId="0" numFmtId="179"/>
    <xf xfId="0" borderId="0" fillId="0" fontId="0" numFmtId="179" applyAlignment="1">
      <alignment horizontal="right"/>
    </xf>
    <xf xfId="0" borderId="0" fillId="0" fontId="0" numFmtId="10" applyAlignment="1">
      <alignment horizontal="right"/>
    </xf>
    <xf xfId="0" borderId="0" fillId="0" fontId="0" numFmtId="0" applyAlignment="1">
      <alignment horizontal="right"/>
    </xf>
    <xf xfId="0" borderId="0" fillId="0" fontId="0" numFmtId="180" applyAlignment="1">
      <alignment horizontal="right"/>
    </xf>
    <xf xfId="0" borderId="0" fillId="0" fontId="0" numFmtId="17" applyAlignment="1">
      <alignment horizontal="right"/>
    </xf>
    <xf xfId="0" borderId="2" fillId="0" fontId="1" numFmtId="179" applyAlignment="1" applyFont="1">
      <alignment horizontal="right"/>
    </xf>
    <xf xfId="0" borderId="2" fillId="0" fontId="1" numFmtId="0" applyAlignment="1" applyFont="1">
      <alignment horizontal="right"/>
    </xf>
    <xf xfId="0" borderId="0" fillId="0" fontId="18" numFmtId="0" applyFont="1"/>
    <xf xfId="0" borderId="2" fillId="0" fontId="1" numFmtId="179" applyFont="1"/>
    <xf xfId="0" borderId="0" fillId="4" fontId="20" numFmtId="0" applyFont="1" applyFill="1"/>
    <xf xfId="0" borderId="0" fillId="0" fontId="21" numFmtId="0" applyFont="1"/>
    <xf xfId="0" borderId="0" fillId="2" fontId="4" numFmtId="10" applyFont="1" applyFill="1"/>
    <xf xfId="0" borderId="0" fillId="0" fontId="14" numFmtId="168" applyAlignment="1" applyFont="1">
      <alignment horizontal="right"/>
    </xf>
    <xf xfId="0" borderId="0" fillId="0" fontId="21" numFmtId="0" applyAlignment="1" applyFont="1">
      <alignment horizontal="right"/>
    </xf>
    <xf xfId="0" borderId="0" fillId="0" fontId="22" numFmtId="164" applyAlignment="1" applyFont="1">
      <alignment horizontal="right"/>
    </xf>
    <xf xfId="0" borderId="0" fillId="0" fontId="22" numFmtId="167" applyAlignment="1" applyFont="1">
      <alignment horizontal="right"/>
    </xf>
    <xf xfId="0" borderId="0" fillId="0" fontId="22" numFmtId="49" applyAlignment="1" applyFont="1">
      <alignment horizontal="right"/>
    </xf>
    <xf xfId="0" borderId="0" fillId="0" fontId="22" numFmtId="168" applyAlignment="1" applyFont="1">
      <alignment horizontal="right"/>
    </xf>
    <xf xfId="0" borderId="0" fillId="0" fontId="23" numFmtId="168" applyFont="1"/>
    <xf xfId="0" borderId="0" fillId="0" fontId="23" numFmtId="167" applyFont="1"/>
    <xf xfId="0" borderId="0" fillId="2" fontId="4" numFmtId="166" applyFont="1" applyFill="1"/>
    <xf xfId="0" borderId="0" fillId="0" fontId="0" numFmtId="181" applyAlignment="1">
      <alignment horizontal="right"/>
    </xf>
    <xf xfId="0" borderId="0" fillId="0" fontId="13" numFmtId="0" applyAlignment="1" applyFont="1">
      <alignment horizontal="right"/>
    </xf>
    <xf xfId="0" borderId="0" fillId="0" fontId="0" numFmtId="182" applyAlignment="1">
      <alignment horizontal="right"/>
    </xf>
    <xf xfId="0" borderId="0" fillId="0" fontId="0" numFmtId="183" applyAlignment="1">
      <alignment horizontal="right"/>
    </xf>
    <xf xfId="0" borderId="0" fillId="0" fontId="0" numFmtId="184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1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57.07421875" customWidth="1"/>
    <col min="3" max="3" width="14.21875" customWidth="1"/>
    <col min="4" max="4" width="89.50390625" customWidth="1"/>
    <col min="5" max="5" width="62.7890625" customWidth="1"/>
  </cols>
  <sheetData>
    <row r="2">
      <c r="B2" t="s" s="2">
        <v>0</v>
      </c>
    </row>
    <row r="3">
      <c r="B3" t="s" s="3">
        <v>1</v>
      </c>
    </row>
    <row r="5">
      <c r="B5" t="s" s="4">
        <v>2</v>
      </c>
      <c r="C5" t="s" s="5">
        <v>81</v>
      </c>
      <c r="D5" t="s" s="4">
        <v>82</v>
      </c>
      <c r="E5" t="s" s="4">
        <v>152</v>
      </c>
    </row>
    <row r="6">
      <c r="B6" t="s" s="34">
        <v>3</v>
      </c>
      <c r="C6" s="34"/>
      <c r="D6" s="34"/>
      <c r="E6" s="34"/>
    </row>
    <row r="7">
      <c r="B7" t="s" s="9">
        <v>4</v>
      </c>
      <c r="C7" s="8">
        <v>46198</v>
      </c>
      <c r="D7" t="s">
        <v>83</v>
      </c>
      <c r="E7" t="s" s="35">
        <v>153</v>
      </c>
    </row>
    <row r="8">
      <c r="B8" t="s" s="9">
        <v>5</v>
      </c>
      <c r="C8" s="11">
        <f>C17+C54+C66</f>
        <v>3525</v>
      </c>
      <c r="D8" t="s">
        <v>84</v>
      </c>
      <c r="E8" t="s" s="35">
        <v>154</v>
      </c>
    </row>
    <row r="9">
      <c r="B9" t="s" s="9">
        <v>6</v>
      </c>
      <c r="C9" s="14">
        <v>0.0353</v>
      </c>
      <c r="D9" t="s">
        <v>85</v>
      </c>
      <c r="E9" t="s" s="35">
        <v>520</v>
      </c>
    </row>
    <row r="10">
      <c r="B10" t="s" s="9">
        <v>7</v>
      </c>
      <c r="C10" s="15">
        <v>75</v>
      </c>
      <c r="D10" t="s">
        <v>86</v>
      </c>
      <c r="E10" t="s" s="35">
        <v>156</v>
      </c>
    </row>
    <row r="11">
      <c r="B11" t="s" s="9">
        <v>8</v>
      </c>
      <c r="C11" s="15">
        <v>75</v>
      </c>
      <c r="D11" t="s">
        <v>87</v>
      </c>
      <c r="E11" t="s" s="35">
        <v>521</v>
      </c>
    </row>
    <row r="12">
      <c r="B12" t="s" s="9">
        <v>9</v>
      </c>
      <c r="C12" s="15">
        <v>280.545</v>
      </c>
      <c r="D12" t="s">
        <v>88</v>
      </c>
      <c r="E12" t="s" s="35">
        <v>522</v>
      </c>
    </row>
    <row r="13">
      <c r="B13" t="s" s="9">
        <v>10</v>
      </c>
      <c r="C13" s="15">
        <v>5737.031985790003</v>
      </c>
      <c r="D13" t="s">
        <v>89</v>
      </c>
      <c r="E13" t="s" s="35">
        <v>523</v>
      </c>
    </row>
    <row r="14">
      <c r="B14" t="s" s="9">
        <v>11</v>
      </c>
      <c r="C14" s="18">
        <v>1</v>
      </c>
      <c r="D14" t="s">
        <v>90</v>
      </c>
      <c r="E14" t="s" s="35">
        <v>160</v>
      </c>
    </row>
    <row r="15">
      <c r="E15" s="35"/>
    </row>
    <row r="16">
      <c r="B16" t="s" s="34">
        <v>12</v>
      </c>
      <c r="C16" s="34"/>
      <c r="D16" s="34"/>
      <c r="E16" s="34"/>
    </row>
    <row r="17">
      <c r="B17" t="s" s="9">
        <v>13</v>
      </c>
      <c r="C17" s="19">
        <v>2700</v>
      </c>
      <c r="D17" t="s">
        <v>91</v>
      </c>
      <c r="E17" t="s" s="35">
        <v>161</v>
      </c>
    </row>
    <row r="18">
      <c r="B18" t="s" s="9">
        <v>14</v>
      </c>
      <c r="C18" s="20">
        <v>0.045</v>
      </c>
      <c r="D18" t="s">
        <v>92</v>
      </c>
      <c r="E18" t="s" s="35">
        <v>162</v>
      </c>
    </row>
    <row r="19">
      <c r="B19" t="s" s="9">
        <v>15</v>
      </c>
      <c r="C19" s="20">
        <v>0.005</v>
      </c>
      <c r="D19" t="s">
        <v>93</v>
      </c>
      <c r="E19" t="s" s="35">
        <v>163</v>
      </c>
    </row>
    <row r="20">
      <c r="B20" t="s" s="9">
        <v>16</v>
      </c>
      <c r="C20" s="20">
        <v>0.0025</v>
      </c>
      <c r="D20" t="s">
        <v>94</v>
      </c>
      <c r="E20" t="s" s="35">
        <v>162</v>
      </c>
    </row>
    <row r="21">
      <c r="B21" t="s" s="9">
        <v>17</v>
      </c>
      <c r="C21" s="23">
        <v>7.5</v>
      </c>
      <c r="D21" t="s">
        <v>95</v>
      </c>
      <c r="E21" t="s" s="35">
        <v>163</v>
      </c>
    </row>
    <row r="22">
      <c r="B22" t="s" s="9">
        <v>18</v>
      </c>
      <c r="C22" s="7">
        <f>EOMONTH(C7,6)</f>
        <v>46387</v>
      </c>
      <c r="D22" t="s">
        <v>96</v>
      </c>
      <c r="E22" t="s" s="35">
        <v>163</v>
      </c>
    </row>
    <row r="23">
      <c r="B23" t="s" s="9">
        <v>19</v>
      </c>
      <c r="C23" s="20">
        <v>0.0025</v>
      </c>
      <c r="D23" t="s">
        <v>97</v>
      </c>
      <c r="E23" t="s" s="35">
        <v>163</v>
      </c>
    </row>
    <row r="24">
      <c r="B24" t="s" s="9">
        <v>20</v>
      </c>
      <c r="C24" s="26">
        <v>0.5</v>
      </c>
      <c r="D24" t="s">
        <v>98</v>
      </c>
      <c r="E24" t="s" s="35">
        <v>162</v>
      </c>
    </row>
    <row r="25">
      <c r="B25" t="s" s="9">
        <v>21</v>
      </c>
      <c r="C25" s="20">
        <v>0.0025</v>
      </c>
      <c r="D25" t="s">
        <v>99</v>
      </c>
      <c r="E25" t="s" s="35">
        <v>163</v>
      </c>
    </row>
    <row r="26">
      <c r="B26" t="s" s="9">
        <v>22</v>
      </c>
      <c r="C26" s="17">
        <v>24</v>
      </c>
      <c r="D26" t="s">
        <v>100</v>
      </c>
      <c r="E26" t="s" s="35">
        <v>163</v>
      </c>
    </row>
    <row r="27">
      <c r="B27" t="s" s="9">
        <v>23</v>
      </c>
      <c r="C27" s="7">
        <f>EDATE(C7,C26)</f>
        <v>46929</v>
      </c>
      <c r="D27" t="s">
        <v>101</v>
      </c>
      <c r="E27" t="s" s="35">
        <v>163</v>
      </c>
    </row>
    <row r="28">
      <c r="B28" t="s" s="9">
        <v>24</v>
      </c>
      <c r="C28" s="27">
        <v>1</v>
      </c>
      <c r="D28" t="s">
        <v>102</v>
      </c>
      <c r="E28" t="s" s="35">
        <v>164</v>
      </c>
    </row>
    <row r="29">
      <c r="B29" t="s" s="9">
        <v>25</v>
      </c>
      <c r="C29" s="13">
        <f>MAX(C9,C19)+C18*(1-C24)</f>
        <v>0.0578</v>
      </c>
      <c r="D29" t="s">
        <v>103</v>
      </c>
      <c r="E29" t="s" s="35">
        <v>165</v>
      </c>
    </row>
    <row r="30">
      <c r="B30" t="s" s="9">
        <v>26</v>
      </c>
      <c r="C30" s="13">
        <f>C18*C24+C25</f>
        <v>0.024999999999999998</v>
      </c>
      <c r="D30" t="s">
        <v>104</v>
      </c>
      <c r="E30" t="s" s="35">
        <v>165</v>
      </c>
    </row>
    <row r="31">
      <c r="B31" t="s" s="9">
        <v>27</v>
      </c>
      <c r="C31" s="13">
        <f>C29+C30</f>
        <v>0.0828</v>
      </c>
      <c r="D31" t="s">
        <v>105</v>
      </c>
      <c r="E31" t="s" s="35">
        <v>165</v>
      </c>
    </row>
    <row r="32">
      <c r="B32" t="s" s="9">
        <v>28</v>
      </c>
      <c r="C32" s="13">
        <f>MAX(C9,C19)+C18</f>
        <v>0.0803</v>
      </c>
      <c r="D32" t="s">
        <v>106</v>
      </c>
      <c r="E32" t="s" s="35">
        <v>165</v>
      </c>
    </row>
    <row r="33">
      <c r="B33" t="s" s="9">
        <v>29</v>
      </c>
      <c r="C33" s="11">
        <f>C17*C25</f>
        <v>6.75</v>
      </c>
      <c r="D33" t="s">
        <v>107</v>
      </c>
      <c r="E33" t="s" s="35">
        <v>165</v>
      </c>
    </row>
    <row r="34">
      <c r="B34" t="s" s="9">
        <v>30</v>
      </c>
      <c r="C34" s="17">
        <v>7</v>
      </c>
      <c r="D34" t="s">
        <v>108</v>
      </c>
      <c r="E34" t="s" s="35">
        <v>166</v>
      </c>
    </row>
    <row r="35">
      <c r="B35" t="s" s="9">
        <v>31</v>
      </c>
      <c r="C35" s="7">
        <f>EDATE(C7,12*C34)</f>
        <v>48755</v>
      </c>
      <c r="D35" t="s">
        <v>109</v>
      </c>
      <c r="E35" t="s" s="35">
        <v>165</v>
      </c>
    </row>
    <row r="36">
      <c r="B36" t="s" s="9">
        <v>32</v>
      </c>
      <c r="C36" s="20">
        <v>0</v>
      </c>
      <c r="D36" t="s">
        <v>110</v>
      </c>
      <c r="E36" t="s" s="35">
        <v>166</v>
      </c>
    </row>
    <row r="37">
      <c r="B37" t="s" s="9">
        <v>33</v>
      </c>
      <c r="C37" s="20">
        <v>0.01</v>
      </c>
      <c r="D37" t="s">
        <v>111</v>
      </c>
      <c r="E37" t="s" s="35">
        <v>167</v>
      </c>
    </row>
    <row r="38">
      <c r="B38" t="s" s="9">
        <v>34</v>
      </c>
      <c r="C38" s="7">
        <f>EDATE(C7,12)</f>
        <v>46563</v>
      </c>
      <c r="D38" t="s">
        <v>112</v>
      </c>
      <c r="E38" t="s" s="35">
        <v>165</v>
      </c>
    </row>
    <row r="39">
      <c r="B39" t="s" s="9">
        <v>35</v>
      </c>
      <c r="C39" s="28">
        <v>0.5</v>
      </c>
      <c r="D39" t="s">
        <v>113</v>
      </c>
      <c r="E39" t="s" s="35">
        <v>160</v>
      </c>
    </row>
    <row r="40">
      <c r="B40" t="s" s="9">
        <v>36</v>
      </c>
      <c r="C40" s="23">
        <v>7.75</v>
      </c>
      <c r="D40" t="s">
        <v>114</v>
      </c>
      <c r="E40" t="s" s="35">
        <v>168</v>
      </c>
    </row>
    <row r="41">
      <c r="B41" t="s" s="9">
        <v>37</v>
      </c>
      <c r="C41" s="26">
        <v>0.25</v>
      </c>
      <c r="E41" t="s" s="35">
        <v>168</v>
      </c>
    </row>
    <row r="42">
      <c r="B42" t="s" s="9">
        <v>38</v>
      </c>
      <c r="C42" s="23">
        <v>7.5</v>
      </c>
      <c r="D42" t="s">
        <v>115</v>
      </c>
      <c r="E42" t="s" s="35">
        <v>168</v>
      </c>
    </row>
    <row r="43">
      <c r="B43" t="s" s="9">
        <v>39</v>
      </c>
      <c r="C43" s="26">
        <v>0</v>
      </c>
      <c r="E43" t="s" s="35">
        <v>168</v>
      </c>
    </row>
    <row r="44">
      <c r="B44" t="s" s="9">
        <v>40</v>
      </c>
      <c r="C44" s="19">
        <v>105</v>
      </c>
      <c r="D44" t="s">
        <v>116</v>
      </c>
      <c r="E44" t="s" s="35">
        <v>168</v>
      </c>
    </row>
    <row r="45">
      <c r="B45" t="s" s="9">
        <v>41</v>
      </c>
      <c r="C45" s="26">
        <v>0.3</v>
      </c>
      <c r="D45" t="s">
        <v>117</v>
      </c>
      <c r="E45" t="s" s="35">
        <v>168</v>
      </c>
    </row>
    <row r="46">
      <c r="B46" t="s" s="9">
        <v>42</v>
      </c>
      <c r="C46" s="7">
        <f>DATE(YEAR(C7)+1,12,31)</f>
        <v>46752</v>
      </c>
      <c r="D46" t="s">
        <v>118</v>
      </c>
      <c r="E46" t="s" s="35">
        <v>168</v>
      </c>
    </row>
    <row r="47">
      <c r="B47" t="s" s="9">
        <v>43</v>
      </c>
      <c r="C47" s="29">
        <v>1</v>
      </c>
      <c r="D47" t="s">
        <v>119</v>
      </c>
      <c r="E47" t="s" s="35">
        <v>169</v>
      </c>
    </row>
    <row r="48">
      <c r="B48" t="s" s="9">
        <v>44</v>
      </c>
      <c r="C48" s="30">
        <v>46752</v>
      </c>
      <c r="D48" t="s">
        <v>120</v>
      </c>
      <c r="E48" t="s" s="35">
        <v>170</v>
      </c>
    </row>
    <row r="49">
      <c r="B49" t="s" s="9">
        <v>45</v>
      </c>
      <c r="C49" s="28">
        <v>0.02</v>
      </c>
      <c r="D49" t="s">
        <v>121</v>
      </c>
      <c r="E49" t="s" s="35">
        <v>160</v>
      </c>
    </row>
    <row r="50">
      <c r="B50" t="s" s="9">
        <v>46</v>
      </c>
      <c r="C50" s="11">
        <f>C17*C49</f>
        <v>54</v>
      </c>
      <c r="D50" t="s">
        <v>122</v>
      </c>
      <c r="E50" t="s" s="35">
        <v>165</v>
      </c>
    </row>
    <row r="51">
      <c r="B51" t="s" s="9">
        <v>47</v>
      </c>
      <c r="C51" s="16">
        <f>C34</f>
        <v>7</v>
      </c>
      <c r="D51" t="s">
        <v>123</v>
      </c>
      <c r="E51" t="s" s="35">
        <v>165</v>
      </c>
    </row>
    <row r="52">
      <c r="E52" s="35"/>
    </row>
    <row r="53">
      <c r="B53" t="s" s="34">
        <v>48</v>
      </c>
      <c r="C53" s="34"/>
      <c r="D53" s="34"/>
      <c r="E53" s="34"/>
    </row>
    <row r="54">
      <c r="B54" t="s" s="9">
        <v>49</v>
      </c>
      <c r="C54" s="19">
        <v>500</v>
      </c>
      <c r="D54" t="s">
        <v>124</v>
      </c>
      <c r="E54" t="s" s="35">
        <v>171</v>
      </c>
    </row>
    <row r="55">
      <c r="B55" t="s" s="9">
        <v>50</v>
      </c>
      <c r="C55" s="15">
        <v>0</v>
      </c>
      <c r="D55" t="s">
        <v>125</v>
      </c>
      <c r="E55" t="s" s="35">
        <v>172</v>
      </c>
    </row>
    <row r="56">
      <c r="B56" t="s" s="9">
        <v>51</v>
      </c>
      <c r="C56" s="17">
        <v>30</v>
      </c>
      <c r="D56" t="s">
        <v>126</v>
      </c>
      <c r="E56" t="s" s="35">
        <v>173</v>
      </c>
    </row>
    <row r="57">
      <c r="B57" t="s" s="9">
        <v>52</v>
      </c>
      <c r="C57" s="7">
        <f>EDATE(C7,C56)</f>
        <v>47112</v>
      </c>
      <c r="D57" t="s">
        <v>127</v>
      </c>
      <c r="E57" t="s" s="35">
        <v>165</v>
      </c>
    </row>
    <row r="58">
      <c r="B58" t="s" s="9">
        <v>53</v>
      </c>
      <c r="C58" s="19">
        <v>250</v>
      </c>
      <c r="D58" t="s">
        <v>128</v>
      </c>
      <c r="E58" t="s" s="35">
        <v>174</v>
      </c>
    </row>
    <row r="59">
      <c r="B59" t="s" s="9">
        <v>54</v>
      </c>
      <c r="C59" s="23">
        <v>8</v>
      </c>
      <c r="D59" t="s">
        <v>129</v>
      </c>
      <c r="E59" t="s" s="35">
        <v>174</v>
      </c>
    </row>
    <row r="60">
      <c r="B60" t="s" s="9">
        <v>55</v>
      </c>
      <c r="C60" s="13">
        <f>C18</f>
        <v>0.045</v>
      </c>
      <c r="D60" t="s">
        <v>130</v>
      </c>
      <c r="E60" t="s" s="35">
        <v>174</v>
      </c>
    </row>
    <row r="61">
      <c r="B61" t="s" s="9">
        <v>56</v>
      </c>
      <c r="C61" s="17">
        <v>90</v>
      </c>
      <c r="D61" t="s">
        <v>131</v>
      </c>
      <c r="E61" t="s" s="35">
        <v>175</v>
      </c>
    </row>
    <row r="62">
      <c r="B62" t="s" s="9">
        <v>57</v>
      </c>
      <c r="C62" s="20">
        <v>0.005</v>
      </c>
      <c r="D62" t="s">
        <v>132</v>
      </c>
      <c r="E62" t="s" s="35">
        <v>176</v>
      </c>
    </row>
    <row r="63">
      <c r="B63" t="s" s="9">
        <v>58</v>
      </c>
      <c r="C63" s="20">
        <v>0.01</v>
      </c>
      <c r="D63" t="s">
        <v>132</v>
      </c>
      <c r="E63" t="s" s="35">
        <v>176</v>
      </c>
    </row>
    <row r="64">
      <c r="E64" s="35"/>
    </row>
    <row r="65">
      <c r="B65" t="s" s="34">
        <v>59</v>
      </c>
      <c r="C65" s="34"/>
      <c r="D65" s="34"/>
      <c r="E65" s="34"/>
    </row>
    <row r="66">
      <c r="B66" t="s" s="9">
        <v>49</v>
      </c>
      <c r="C66" s="19">
        <v>325</v>
      </c>
      <c r="D66" t="s">
        <v>133</v>
      </c>
      <c r="E66" t="s" s="35">
        <v>177</v>
      </c>
    </row>
    <row r="67">
      <c r="B67" t="s" s="9">
        <v>60</v>
      </c>
      <c r="C67" s="19">
        <v>81.25</v>
      </c>
      <c r="D67" t="s">
        <v>134</v>
      </c>
      <c r="E67" t="s" s="35">
        <v>178</v>
      </c>
    </row>
    <row r="68">
      <c r="B68" t="s" s="9">
        <v>50</v>
      </c>
      <c r="C68" s="15">
        <v>0</v>
      </c>
      <c r="D68" t="s">
        <v>135</v>
      </c>
      <c r="E68" t="s" s="35">
        <v>179</v>
      </c>
    </row>
    <row r="69">
      <c r="B69" t="s" s="9">
        <v>30</v>
      </c>
      <c r="C69" s="17">
        <v>7</v>
      </c>
      <c r="D69" t="s">
        <v>136</v>
      </c>
      <c r="E69" t="s" s="35">
        <v>180</v>
      </c>
    </row>
    <row r="70">
      <c r="B70" t="s" s="9">
        <v>61</v>
      </c>
      <c r="C70" s="13">
        <f>C18</f>
        <v>0.045</v>
      </c>
      <c r="D70" t="s">
        <v>137</v>
      </c>
      <c r="E70" t="s" s="35">
        <v>181</v>
      </c>
    </row>
    <row r="71">
      <c r="B71" t="s" s="9">
        <v>62</v>
      </c>
      <c r="C71" s="20">
        <v>0.005</v>
      </c>
      <c r="D71" t="s">
        <v>138</v>
      </c>
      <c r="E71" t="s" s="35">
        <v>175</v>
      </c>
    </row>
    <row r="72">
      <c r="B72" t="s" s="9">
        <v>63</v>
      </c>
      <c r="C72" s="32">
        <v>0.00125</v>
      </c>
      <c r="D72" t="s">
        <v>139</v>
      </c>
      <c r="E72" t="s" s="35">
        <v>176</v>
      </c>
    </row>
    <row r="73">
      <c r="B73" t="s" s="9">
        <v>64</v>
      </c>
      <c r="C73" s="23">
        <v>7.5</v>
      </c>
      <c r="E73" t="s" s="35">
        <v>176</v>
      </c>
    </row>
    <row r="74">
      <c r="B74" t="s" s="9">
        <v>65</v>
      </c>
      <c r="C74" s="23">
        <v>7</v>
      </c>
      <c r="E74" t="s" s="35">
        <v>176</v>
      </c>
    </row>
    <row r="75">
      <c r="E75" s="35"/>
    </row>
    <row r="76">
      <c r="B76" t="s" s="34">
        <v>66</v>
      </c>
      <c r="C76" s="34"/>
      <c r="D76" s="34"/>
      <c r="E76" s="34"/>
    </row>
    <row r="77">
      <c r="B77" t="s" s="9">
        <v>67</v>
      </c>
      <c r="C77" s="23">
        <v>15</v>
      </c>
      <c r="D77" t="s">
        <v>140</v>
      </c>
      <c r="E77" t="s" s="35">
        <v>182</v>
      </c>
    </row>
    <row r="78">
      <c r="B78" t="s" s="9">
        <v>68</v>
      </c>
      <c r="C78" s="19">
        <v>260</v>
      </c>
      <c r="D78" t="s">
        <v>141</v>
      </c>
      <c r="E78" t="s" s="35">
        <v>183</v>
      </c>
    </row>
    <row r="79">
      <c r="B79" t="s" s="9">
        <v>69</v>
      </c>
      <c r="C79" s="26">
        <v>0.8</v>
      </c>
      <c r="D79" t="s">
        <v>142</v>
      </c>
      <c r="E79" t="s" s="35">
        <v>183</v>
      </c>
    </row>
    <row r="80">
      <c r="B80" t="s" s="9">
        <v>70</v>
      </c>
      <c r="C80" s="11">
        <f>MAX(C78,C79*C66)</f>
        <v>260</v>
      </c>
      <c r="D80" t="s">
        <v>143</v>
      </c>
      <c r="E80" t="s" s="35">
        <v>165</v>
      </c>
    </row>
    <row r="81">
      <c r="B81" t="s" s="9">
        <v>71</v>
      </c>
      <c r="C81" s="7">
        <f>EOMONTH(C7,6)</f>
        <v>46387</v>
      </c>
      <c r="D81" t="s">
        <v>144</v>
      </c>
      <c r="E81" t="s" s="35">
        <v>183</v>
      </c>
    </row>
    <row r="82">
      <c r="B82" t="s" s="9">
        <v>72</v>
      </c>
      <c r="C82" s="11">
        <f>C66-C80</f>
        <v>65</v>
      </c>
      <c r="D82" t="s">
        <v>145</v>
      </c>
      <c r="E82" t="s" s="35">
        <v>165</v>
      </c>
    </row>
    <row r="83">
      <c r="E83" s="35"/>
    </row>
    <row r="84">
      <c r="B84" t="s" s="34">
        <v>73</v>
      </c>
      <c r="C84" s="34"/>
      <c r="D84" s="34"/>
      <c r="E84" s="34"/>
    </row>
    <row r="85">
      <c r="B85" t="s" s="9">
        <v>74</v>
      </c>
      <c r="C85" s="23">
        <v>8</v>
      </c>
      <c r="D85" t="s">
        <v>146</v>
      </c>
      <c r="E85" t="s" s="35">
        <v>184</v>
      </c>
    </row>
    <row r="86">
      <c r="B86" t="s" s="9">
        <v>75</v>
      </c>
      <c r="C86" s="19">
        <v>350</v>
      </c>
      <c r="D86" t="s">
        <v>147</v>
      </c>
      <c r="E86" t="s" s="35">
        <v>185</v>
      </c>
    </row>
    <row r="87">
      <c r="B87" t="s" s="9">
        <v>76</v>
      </c>
      <c r="C87" s="23">
        <v>7.25</v>
      </c>
      <c r="D87" t="s">
        <v>148</v>
      </c>
      <c r="E87" t="s" s="35">
        <v>186</v>
      </c>
    </row>
    <row r="88">
      <c r="B88" t="s" s="9">
        <v>77</v>
      </c>
      <c r="C88" s="23">
        <v>7.5</v>
      </c>
      <c r="E88" t="s" s="35">
        <v>186</v>
      </c>
    </row>
    <row r="89">
      <c r="B89" t="s" s="9">
        <v>78</v>
      </c>
      <c r="C89" s="26">
        <v>0.4</v>
      </c>
      <c r="D89" t="s">
        <v>149</v>
      </c>
      <c r="E89" t="s" s="35">
        <v>187</v>
      </c>
    </row>
    <row r="90">
      <c r="B90" t="s" s="9">
        <v>79</v>
      </c>
      <c r="C90" s="19">
        <v>350</v>
      </c>
      <c r="D90" t="s">
        <v>150</v>
      </c>
      <c r="E90" t="s" s="35">
        <v>188</v>
      </c>
    </row>
    <row r="91">
      <c r="B91" t="s" s="9">
        <v>80</v>
      </c>
      <c r="C91" s="26">
        <v>0.35</v>
      </c>
      <c r="D91" t="s">
        <v>151</v>
      </c>
      <c r="E91" t="s" s="35">
        <v>189</v>
      </c>
    </row>
    <row r="93">
      <c r="B93" t="s">
        <v>422</v>
      </c>
    </row>
    <row r="94">
      <c r="B94" t="s">
        <v>423</v>
      </c>
      <c r="C94">
        <v>0.3</v>
      </c>
      <c r="D94" t="s">
        <v>427</v>
      </c>
      <c r="E94" t="s">
        <v>431</v>
      </c>
    </row>
    <row r="95">
      <c r="B95" t="s">
        <v>424</v>
      </c>
      <c r="C95">
        <v>0.25</v>
      </c>
      <c r="D95" t="s">
        <v>428</v>
      </c>
      <c r="E95" t="s">
        <v>432</v>
      </c>
    </row>
    <row r="96">
      <c r="B96" t="s">
        <v>425</v>
      </c>
      <c r="C96">
        <v>0.8</v>
      </c>
      <c r="D96" t="s">
        <v>429</v>
      </c>
      <c r="E96" t="s">
        <v>433</v>
      </c>
    </row>
    <row r="97">
      <c r="B97" t="s">
        <v>426</v>
      </c>
      <c r="C97">
        <v>702.3</v>
      </c>
      <c r="D97" t="s">
        <v>430</v>
      </c>
      <c r="E97" t="s">
        <v>524</v>
      </c>
    </row>
    <row r="99">
      <c r="B99" t="s">
        <v>515</v>
      </c>
      <c r="C99"/>
      <c r="D99"/>
      <c r="E99"/>
    </row>
    <row r="100">
      <c r="B100" t="s">
        <v>516</v>
      </c>
      <c r="C100" s="96">
        <v>197.8695799799986</v>
      </c>
      <c r="D100" t="s">
        <v>532</v>
      </c>
      <c r="E100" t="s">
        <v>533</v>
      </c>
    </row>
    <row r="101">
      <c r="B101" t="s">
        <v>517</v>
      </c>
      <c r="C101" s="6">
        <f>EDATE(C7,36)</f>
        <v>47294</v>
      </c>
      <c r="D101" t="s">
        <v>519</v>
      </c>
      <c r="E101" t="s">
        <v>434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8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" sqref="A1"/>
    </sheetView>
  </sheetViews>
  <cols>
    <col min="1" max="1" width="2.21875" customWidth="1"/>
    <col min="2" max="2" width="62.7890625" customWidth="1"/>
    <col min="3" max="9" width="12.50390625" customWidth="1"/>
    <col min="10" max="10" width="2.64453125" customWidth="1"/>
    <col min="11" max="17" width="12.50390625" customWidth="1"/>
    <col min="18" max="18" width="2.64453125" customWidth="1"/>
    <col min="19" max="25" width="12.50390625" customWidth="1"/>
  </cols>
  <sheetData>
    <row r="2">
      <c r="B2" t="s" s="2">
        <v>213</v>
      </c>
    </row>
    <row r="3">
      <c r="B3" t="s" s="3">
        <v>214</v>
      </c>
    </row>
    <row r="5">
      <c r="C5" t="s" s="36">
        <v>317</v>
      </c>
      <c r="D5" s="36"/>
      <c r="E5" s="36"/>
      <c r="F5" s="36"/>
      <c r="G5" s="36"/>
      <c r="H5" s="36"/>
      <c r="I5" s="36"/>
      <c r="K5" t="s" s="36">
        <v>318</v>
      </c>
      <c r="L5" s="36"/>
      <c r="M5" s="36"/>
      <c r="N5" s="36"/>
      <c r="O5" s="36"/>
      <c r="P5" s="36"/>
      <c r="Q5" s="36"/>
      <c r="S5" t="s" s="36">
        <v>456</v>
      </c>
      <c r="T5" s="36"/>
      <c r="U5" s="36"/>
      <c r="V5" s="36"/>
      <c r="W5" s="36"/>
      <c r="X5" s="36"/>
      <c r="Y5" s="36"/>
    </row>
    <row r="6">
      <c r="B6" t="s" s="1">
        <v>215</v>
      </c>
      <c r="C6" s="38">
        <f>'Term Sheet'!$C$7</f>
        <v>46198</v>
      </c>
      <c r="D6" s="39">
        <f>DATE(YEAR(C6),12,31)</f>
        <v>46387</v>
      </c>
      <c r="E6" s="39">
        <f>EOMONTH(D6,12)</f>
        <v>46752</v>
      </c>
      <c r="F6" s="39">
        <f>EOMONTH(E6,12)</f>
        <v>47118</v>
      </c>
      <c r="G6" s="39">
        <f>EOMONTH(F6,12)</f>
        <v>47483</v>
      </c>
      <c r="H6" s="39">
        <f>EOMONTH(G6,12)</f>
        <v>47848</v>
      </c>
      <c r="I6" s="39">
        <f>EOMONTH(H6,12)</f>
        <v>48213</v>
      </c>
      <c r="J6" s="39"/>
      <c r="K6" s="38">
        <f>'Term Sheet'!$C$7</f>
        <v>46198</v>
      </c>
      <c r="L6" s="39">
        <f>DATE(YEAR(K6),12,31)</f>
        <v>46387</v>
      </c>
      <c r="M6" s="39">
        <f>EOMONTH(L6,12)</f>
        <v>46752</v>
      </c>
      <c r="N6" s="39">
        <f>EOMONTH(M6,12)</f>
        <v>47118</v>
      </c>
      <c r="O6" s="39">
        <f>EOMONTH(N6,12)</f>
        <v>47483</v>
      </c>
      <c r="P6" s="39">
        <f>EOMONTH(O6,12)</f>
        <v>47848</v>
      </c>
      <c r="Q6" s="39">
        <f>EOMONTH(P6,12)</f>
        <v>48213</v>
      </c>
      <c r="S6" s="38">
        <f>'Term Sheet'!$C$7</f>
        <v>46198</v>
      </c>
      <c r="T6" s="39">
        <f>DATE(YEAR(S6),12,31)</f>
        <v>46387</v>
      </c>
      <c r="U6" s="39">
        <f>EOMONTH(T6,12)</f>
        <v>46752</v>
      </c>
      <c r="V6" s="39">
        <f>EOMONTH(U6,12)</f>
        <v>47118</v>
      </c>
      <c r="W6" s="39">
        <f>EOMONTH(V6,12)</f>
        <v>47483</v>
      </c>
      <c r="X6" s="39">
        <f>EOMONTH(W6,12)</f>
        <v>47848</v>
      </c>
      <c r="Y6" s="39">
        <f>EOMONTH(X6,12)</f>
        <v>48213</v>
      </c>
    </row>
    <row r="7">
      <c r="B7" t="s" s="3">
        <v>216</v>
      </c>
      <c r="C7" s="40"/>
      <c r="D7" s="40">
        <f>MAX(0,(D$6-MAX('Term Sheet'!$C$7,EDATE(D$6,-12))))/(D$6-EDATE(D$6,-12))</f>
        <v>0.5178082191780822</v>
      </c>
      <c r="E7" s="40">
        <f>MAX(0,(E$6-MAX('Term Sheet'!$C$7,EDATE(E$6,-12))))/(E$6-EDATE(E$6,-12))</f>
        <v>1</v>
      </c>
      <c r="F7" s="40">
        <f>MAX(0,(F$6-MAX('Term Sheet'!$C$7,EDATE(F$6,-12))))/(F$6-EDATE(F$6,-12))</f>
        <v>1</v>
      </c>
      <c r="G7" s="40">
        <f>MAX(0,(G$6-MAX('Term Sheet'!$C$7,EDATE(G$6,-12))))/(G$6-EDATE(G$6,-12))</f>
        <v>1</v>
      </c>
      <c r="H7" s="40">
        <f>MAX(0,(H$6-MAX('Term Sheet'!$C$7,EDATE(H$6,-12))))/(H$6-EDATE(H$6,-12))</f>
        <v>1</v>
      </c>
      <c r="I7" s="40">
        <f>MAX(0,(I$6-MAX('Term Sheet'!$C$7,EDATE(I$6,-12))))/(I$6-EDATE(I$6,-12))</f>
        <v>1</v>
      </c>
      <c r="J7" s="40"/>
      <c r="K7" s="40"/>
      <c r="L7" s="40">
        <f>MAX(0,(L$6-MAX('Term Sheet'!$C$7,EDATE(L$6,-12))))/(L$6-EDATE(L$6,-12))</f>
        <v>0.5178082191780822</v>
      </c>
      <c r="M7" s="40">
        <f>MAX(0,(M$6-MAX('Term Sheet'!$C$7,EDATE(M$6,-12))))/(M$6-EDATE(M$6,-12))</f>
        <v>1</v>
      </c>
      <c r="N7" s="40">
        <f>MAX(0,(N$6-MAX('Term Sheet'!$C$7,EDATE(N$6,-12))))/(N$6-EDATE(N$6,-12))</f>
        <v>1</v>
      </c>
      <c r="O7" s="40">
        <f>MAX(0,(O$6-MAX('Term Sheet'!$C$7,EDATE(O$6,-12))))/(O$6-EDATE(O$6,-12))</f>
        <v>1</v>
      </c>
      <c r="P7" s="40">
        <f>MAX(0,(P$6-MAX('Term Sheet'!$C$7,EDATE(P$6,-12))))/(P$6-EDATE(P$6,-12))</f>
        <v>1</v>
      </c>
      <c r="Q7" s="40">
        <f>MAX(0,(Q$6-MAX('Term Sheet'!$C$7,EDATE(Q$6,-12))))/(Q$6-EDATE(Q$6,-12))</f>
        <v>1</v>
      </c>
      <c r="S7" s="40"/>
      <c r="T7" s="40">
        <f>MAX(0,(T$6-MAX('Term Sheet'!$C$7,EDATE(T$6,-12))))/(T$6-EDATE(T$6,-12))</f>
        <v>0.5178082191780822</v>
      </c>
      <c r="U7" s="40">
        <f>MAX(0,(U$6-MAX('Term Sheet'!$C$7,EDATE(U$6,-12))))/(U$6-EDATE(U$6,-12))</f>
        <v>1</v>
      </c>
      <c r="V7" s="40">
        <f>MAX(0,(V$6-MAX('Term Sheet'!$C$7,EDATE(V$6,-12))))/(V$6-EDATE(V$6,-12))</f>
        <v>1</v>
      </c>
      <c r="W7" s="40">
        <f>MAX(0,(W$6-MAX('Term Sheet'!$C$7,EDATE(W$6,-12))))/(W$6-EDATE(W$6,-12))</f>
        <v>1</v>
      </c>
      <c r="X7" s="40">
        <f>MAX(0,(X$6-MAX('Term Sheet'!$C$7,EDATE(X$6,-12))))/(X$6-EDATE(X$6,-12))</f>
        <v>1</v>
      </c>
      <c r="Y7" s="40">
        <f>MAX(0,(Y$6-MAX('Term Sheet'!$C$7,EDATE(Y$6,-12))))/(Y$6-EDATE(Y$6,-12))</f>
        <v>1</v>
      </c>
    </row>
    <row r="8">
      <c r="S8"/>
      <c r="T8"/>
      <c r="U8"/>
      <c r="V8"/>
      <c r="W8"/>
      <c r="X8"/>
      <c r="Y8"/>
    </row>
    <row r="9">
      <c r="B9" t="s" s="34">
        <v>217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>
      <c r="B10" t="s" s="9">
        <v>218</v>
      </c>
      <c r="C10" s="10"/>
      <c r="D10" s="44">
        <v>936.4459959181302</v>
      </c>
      <c r="E10" s="44">
        <v>1063.9840547636156</v>
      </c>
      <c r="F10" s="44">
        <v>1198.2521550674492</v>
      </c>
      <c r="G10" s="44">
        <v>1337.4815241701785</v>
      </c>
      <c r="H10" s="44">
        <v>1479.5136556293476</v>
      </c>
      <c r="I10" s="44">
        <v>1627.4650211922824</v>
      </c>
      <c r="J10" s="10"/>
      <c r="K10" s="10"/>
      <c r="L10" s="44">
        <v>941.7615342465755</v>
      </c>
      <c r="M10" s="44">
        <v>1102.0613698630139</v>
      </c>
      <c r="N10" s="44">
        <v>1300.4324164383563</v>
      </c>
      <c r="O10" s="44">
        <v>1533.8690520547948</v>
      </c>
      <c r="P10" s="44">
        <v>1810.386268493151</v>
      </c>
      <c r="Q10" s="44">
        <v>2100.048071452055</v>
      </c>
      <c r="S10" s="10"/>
      <c r="T10" s="10">
        <f>$S$143*(1+T144)</f>
        <v>914.5049559181305</v>
      </c>
      <c r="U10" s="10">
        <f>T10*(1+U144)</f>
        <v>1011.6196343430256</v>
      </c>
      <c r="V10" s="10">
        <f>U10*(1+V144)</f>
        <v>1108.9310848830398</v>
      </c>
      <c r="W10" s="10">
        <f>V10*(1+W144)</f>
        <v>1204.5139744892365</v>
      </c>
      <c r="X10" s="10">
        <f>W10*(1+X144)</f>
        <v>1296.2903686720983</v>
      </c>
      <c r="Y10" s="10">
        <f>X10*(1+Y144)</f>
        <v>1387.0306944791453</v>
      </c>
    </row>
    <row r="11">
      <c r="B11" t="s" s="9">
        <v>219</v>
      </c>
      <c r="C11" s="10"/>
      <c r="D11" s="44">
        <v>334.71799748251317</v>
      </c>
      <c r="E11" s="44">
        <v>395.47458677782515</v>
      </c>
      <c r="F11" s="44">
        <v>453.016663807723</v>
      </c>
      <c r="G11" s="44">
        <v>514.1772394971034</v>
      </c>
      <c r="H11" s="44">
        <v>573.4936124361247</v>
      </c>
      <c r="I11" s="44">
        <v>636.0283537011794</v>
      </c>
      <c r="J11" s="10"/>
      <c r="K11" s="10"/>
      <c r="L11" s="44">
        <v>338.6334027397261</v>
      </c>
      <c r="M11" s="44">
        <v>418.78332054794527</v>
      </c>
      <c r="N11" s="44">
        <v>518.9707178082192</v>
      </c>
      <c r="O11" s="44">
        <v>635.1880986301371</v>
      </c>
      <c r="P11" s="44">
        <v>764.4298410958905</v>
      </c>
      <c r="Q11" s="44">
        <v>896.7205265100274</v>
      </c>
      <c r="S11" s="10"/>
      <c r="T11" s="10">
        <f>T10*T145</f>
        <v>313.15794103212414</v>
      </c>
      <c r="U11" s="10">
        <f>U10*U145</f>
        <v>360.8368450098976</v>
      </c>
      <c r="V11" s="10">
        <f>V10*V145</f>
        <v>402.61356717944</v>
      </c>
      <c r="W11" s="10">
        <f>W10*W145</f>
        <v>444.9918984193532</v>
      </c>
      <c r="X11" s="10">
        <f>X10*X145</f>
        <v>483.027685513492</v>
      </c>
      <c r="Y11" s="10">
        <f>Y10*Y145</f>
        <v>521.258938912441</v>
      </c>
    </row>
    <row r="12">
      <c r="B12" t="s" s="9">
        <v>220</v>
      </c>
      <c r="C12" s="10"/>
      <c r="D12" s="44">
        <v>127.896</v>
      </c>
      <c r="E12" s="44">
        <v>127.896</v>
      </c>
      <c r="F12" s="44">
        <v>135.96583567073958</v>
      </c>
      <c r="G12" s="44">
        <v>143.8650234334759</v>
      </c>
      <c r="H12" s="44">
        <v>151.50380406386913</v>
      </c>
      <c r="I12" s="44">
        <v>159.0789942670626</v>
      </c>
      <c r="J12" s="10"/>
      <c r="K12" s="10"/>
      <c r="L12" s="44">
        <v>127</v>
      </c>
      <c r="M12" s="44">
        <v>127</v>
      </c>
      <c r="N12" s="44">
        <v>127</v>
      </c>
      <c r="O12" s="44">
        <v>127</v>
      </c>
      <c r="P12" s="44">
        <v>127</v>
      </c>
      <c r="Q12" s="44">
        <v>127</v>
      </c>
      <c r="S12" s="10"/>
      <c r="T12" s="44">
        <v>127.896</v>
      </c>
      <c r="U12" s="44">
        <v>127.896</v>
      </c>
      <c r="V12" s="44">
        <v>135.96583567073958</v>
      </c>
      <c r="W12" s="44">
        <v>143.8650234334759</v>
      </c>
      <c r="X12" s="44">
        <v>151.50380406386913</v>
      </c>
      <c r="Y12" s="44">
        <v>159.0789942670626</v>
      </c>
    </row>
    <row r="13">
      <c r="B13" t="s" s="9">
        <v>221</v>
      </c>
      <c r="C13" s="24"/>
      <c r="D13" s="45">
        <v>0.01671739952828644</v>
      </c>
      <c r="E13" s="45">
        <v>0.01671739952828644</v>
      </c>
      <c r="F13" s="45">
        <v>0.01671739952828644</v>
      </c>
      <c r="G13" s="45">
        <v>0.01671739952828644</v>
      </c>
      <c r="H13" s="45">
        <v>0.01671739952828644</v>
      </c>
      <c r="I13" s="45">
        <v>0.01671739952828644</v>
      </c>
      <c r="J13" s="24"/>
      <c r="K13" s="24"/>
      <c r="L13" s="45">
        <v>0.022</v>
      </c>
      <c r="M13" s="45">
        <v>0.015</v>
      </c>
      <c r="N13" s="45">
        <v>0.015</v>
      </c>
      <c r="O13" s="45">
        <v>0.015</v>
      </c>
      <c r="P13" s="45">
        <v>0.015</v>
      </c>
      <c r="Q13" s="45">
        <v>0.015</v>
      </c>
      <c r="S13" s="24"/>
      <c r="T13" s="45">
        <v>0.01671739952828644</v>
      </c>
      <c r="U13" s="45">
        <v>0.01671739952828644</v>
      </c>
      <c r="V13" s="45">
        <v>0.01671739952828644</v>
      </c>
      <c r="W13" s="45">
        <v>0.01671739952828644</v>
      </c>
      <c r="X13" s="45">
        <v>0.01671739952828644</v>
      </c>
      <c r="Y13" s="45">
        <v>0.01671739952828644</v>
      </c>
    </row>
    <row r="14">
      <c r="B14" t="s" s="9">
        <v>222</v>
      </c>
      <c r="C14" s="24"/>
      <c r="D14" s="45">
        <v>0.027201017959324163</v>
      </c>
      <c r="E14" s="45">
        <v>0.027201017959324163</v>
      </c>
      <c r="F14" s="45">
        <v>0.027201017959324163</v>
      </c>
      <c r="G14" s="45">
        <v>0.027201017959324163</v>
      </c>
      <c r="H14" s="45">
        <v>0.027201017959324163</v>
      </c>
      <c r="I14" s="45">
        <v>0.027201017959324163</v>
      </c>
      <c r="J14" s="24"/>
      <c r="K14" s="24"/>
      <c r="L14" s="45">
        <v>0.02</v>
      </c>
      <c r="M14" s="45">
        <v>0.02</v>
      </c>
      <c r="N14" s="45">
        <v>0.02</v>
      </c>
      <c r="O14" s="45">
        <v>0.02</v>
      </c>
      <c r="P14" s="45">
        <v>0.02</v>
      </c>
      <c r="Q14" s="45">
        <v>0.02</v>
      </c>
      <c r="S14" s="24"/>
      <c r="T14" s="45">
        <v>0.027201017959324163</v>
      </c>
      <c r="U14" s="45">
        <v>0.027201017959324163</v>
      </c>
      <c r="V14" s="45">
        <v>0.027201017959324163</v>
      </c>
      <c r="W14" s="45">
        <v>0.027201017959324163</v>
      </c>
      <c r="X14" s="45">
        <v>0.027201017959324163</v>
      </c>
      <c r="Y14" s="45">
        <v>0.027201017959324163</v>
      </c>
    </row>
    <row r="15">
      <c r="B15" t="s" s="9">
        <v>223</v>
      </c>
      <c r="C15" s="24"/>
      <c r="D15" s="45">
        <v>0.013868664424732441</v>
      </c>
      <c r="E15" s="45">
        <v>0.013868664424732441</v>
      </c>
      <c r="F15" s="45">
        <v>0.013868664424732441</v>
      </c>
      <c r="G15" s="45">
        <v>0.013868664424732441</v>
      </c>
      <c r="H15" s="45">
        <v>0.013868664424732441</v>
      </c>
      <c r="I15" s="45">
        <v>0.013868664424732441</v>
      </c>
      <c r="J15" s="24"/>
      <c r="K15" s="24"/>
      <c r="L15" s="45">
        <v>0.015</v>
      </c>
      <c r="M15" s="45">
        <v>0.015</v>
      </c>
      <c r="N15" s="45">
        <v>0.015</v>
      </c>
      <c r="O15" s="45">
        <v>0.015</v>
      </c>
      <c r="P15" s="45">
        <v>0.015</v>
      </c>
      <c r="Q15" s="45">
        <v>0.015</v>
      </c>
      <c r="S15" s="24"/>
      <c r="T15" s="45">
        <v>0.013868664424732441</v>
      </c>
      <c r="U15" s="45">
        <v>0.013868664424732441</v>
      </c>
      <c r="V15" s="45">
        <v>0.013868664424732441</v>
      </c>
      <c r="W15" s="45">
        <v>0.013868664424732441</v>
      </c>
      <c r="X15" s="45">
        <v>0.013868664424732441</v>
      </c>
      <c r="Y15" s="45">
        <v>0.013868664424732441</v>
      </c>
    </row>
    <row r="16">
      <c r="B16" t="s" s="9">
        <v>224</v>
      </c>
      <c r="C16" s="10"/>
      <c r="D16" s="44">
        <v>89.17061440623087</v>
      </c>
      <c r="E16" s="44">
        <v>227.109547846625</v>
      </c>
      <c r="F16" s="44">
        <v>270.9251581580244</v>
      </c>
      <c r="G16" s="44">
        <v>318.2522605391023</v>
      </c>
      <c r="H16" s="44">
        <v>363.96906609455505</v>
      </c>
      <c r="I16" s="44">
        <v>412.6799229707839</v>
      </c>
      <c r="J16" s="10"/>
      <c r="K16" s="10"/>
      <c r="L16" s="44">
        <v>92.92994746702246</v>
      </c>
      <c r="M16" s="44">
        <v>260.0933813221918</v>
      </c>
      <c r="N16" s="44">
        <v>352.94337721241646</v>
      </c>
      <c r="O16" s="44">
        <v>460.59153708592345</v>
      </c>
      <c r="P16" s="44">
        <v>579.9847251517535</v>
      </c>
      <c r="Q16" s="44">
        <v>702.0236251354706</v>
      </c>
      <c r="S16" s="10"/>
      <c r="T16" s="10">
        <f>(T11-T12)*T7-(T13-T15+T14)*T10*T7-T161</f>
        <v>78.7295061790618</v>
      </c>
      <c r="U16" s="10">
        <f>(U11-U12)*U7-(U13-U15+U14)*U10*U7-U161</f>
        <v>195.2149130000479</v>
      </c>
      <c r="V16" s="10">
        <f>(V11-V12)*V7-(V13-V15+V14)*V10*V7-V161</f>
        <v>224.89732151095015</v>
      </c>
      <c r="W16" s="10">
        <f>(W11-W12)*W7-(W13-W15+W14)*W10*W7-W161</f>
        <v>255.37548958422536</v>
      </c>
      <c r="X16" s="10">
        <f>(X11-X12)*X7-(X13-X15+X14)*X10*X7-X161</f>
        <v>282.0256719456487</v>
      </c>
      <c r="Y16" s="10">
        <f>(Y11-Y12)*Y7-(Y13-Y15+Y14)*Y10*Y7-Y161</f>
        <v>308.95613177382614</v>
      </c>
    </row>
    <row r="17">
      <c r="B17" t="s" s="9">
        <v>225</v>
      </c>
      <c r="C17" s="10"/>
      <c r="D17" s="10">
        <f>-D13*D10*D7</f>
        <v>-8.10625756090628</v>
      </c>
      <c r="E17" s="10">
        <f>-E13*E10*E7</f>
        <v>-17.787046535209562</v>
      </c>
      <c r="F17" s="10">
        <f>-F13*F10*F7</f>
        <v>-20.031660011892786</v>
      </c>
      <c r="G17" s="10">
        <f>-G13*G10*G7</f>
        <v>-22.35921300125437</v>
      </c>
      <c r="H17" s="10">
        <f>-H13*H10*H7</f>
        <v>-24.7336208887114</v>
      </c>
      <c r="I17" s="10">
        <f>-I13*I10*I7</f>
        <v>-27.20698297758254</v>
      </c>
      <c r="J17" s="10"/>
      <c r="K17" s="10"/>
      <c r="L17" s="10">
        <f>-L13*L10*L7</f>
        <v>-10.72834098465003</v>
      </c>
      <c r="M17" s="10">
        <f>-M13*M10*M7</f>
        <v>-16.530920547945207</v>
      </c>
      <c r="N17" s="10">
        <f>-N13*N10*N7</f>
        <v>-19.506486246575346</v>
      </c>
      <c r="O17" s="10">
        <f>-O13*O10*O7</f>
        <v>-23.00803578082192</v>
      </c>
      <c r="P17" s="10">
        <f>-P13*P10*P7</f>
        <v>-27.155794027397263</v>
      </c>
      <c r="Q17" s="10">
        <f>-Q13*Q10*Q7</f>
        <v>-31.500721071780823</v>
      </c>
      <c r="S17" s="10"/>
      <c r="T17" s="10">
        <f>-T13*T10*T7</f>
        <v>-7.9163269913172005</v>
      </c>
      <c r="U17" s="10">
        <f>-U13*U10*U7</f>
        <v>-16.911649597971397</v>
      </c>
      <c r="V17" s="10">
        <f>-V13*V10*V7</f>
        <v>-18.5384439953259</v>
      </c>
      <c r="W17" s="10">
        <f>-W13*W10*W7</f>
        <v>-20.136341348940785</v>
      </c>
      <c r="X17" s="10">
        <f>-X13*X10*X7</f>
        <v>-21.67060399776119</v>
      </c>
      <c r="Y17" s="10">
        <f>-Y13*Y10*Y7</f>
        <v>-23.187546277604476</v>
      </c>
    </row>
    <row r="18">
      <c r="B18" t="s" s="9">
        <v>226</v>
      </c>
      <c r="C18" s="10"/>
      <c r="D18" s="10">
        <f>-((D11-D12)*D7-(D13-D15+D14)*D10*D7-D16)</f>
        <v>-3.3524075599540453</v>
      </c>
      <c r="E18" s="10">
        <f>-((E11-E12)*E7-(E13-E15+E14)*E10*E7-E16)</f>
        <v>-8.496580822713668</v>
      </c>
      <c r="F18" s="10">
        <f>-((F11-F12)*F7-(F13-F15+F14)*F10*F7-F16)</f>
        <v>-10.118488612120586</v>
      </c>
      <c r="G18" s="10">
        <f>-((G11-G12)*G7-(G13-G15+G14)*G10*G7-G16)</f>
        <v>-11.868965997049429</v>
      </c>
      <c r="H18" s="10">
        <f>-((H11-H12)*H7-(H13-H15+H14)*H10*H7-H16)</f>
        <v>-13.561722272882548</v>
      </c>
      <c r="I18" s="10">
        <f>-((I11-I12)*I7-(I13-I15+I14)*I10*I7-I16)</f>
        <v>-15.364514458033057</v>
      </c>
      <c r="J18" s="10"/>
      <c r="K18" s="10"/>
      <c r="L18" s="10">
        <f>-((L11-L12)*L7-(L13-L15+L14)*L10*L7-L16)</f>
        <v>-3.4889676248897388</v>
      </c>
      <c r="M18" s="10">
        <f>-((M11-M12)*M7-(M13-M15+M14)*M10*M7-M16)</f>
        <v>-9.648711828493163</v>
      </c>
      <c r="N18" s="10">
        <f>-((N11-N12)*N7-(N13-N15+N14)*N10*N7-N16)</f>
        <v>-13.01869226703559</v>
      </c>
      <c r="O18" s="10">
        <f>-((O11-O12)*O7-(O13-O15+O14)*O10*O7-O16)</f>
        <v>-16.919180503117786</v>
      </c>
      <c r="P18" s="10">
        <f>-((P11-P12)*P7-(P13-P15+P14)*P10*P7-P16)</f>
        <v>-21.237390574273945</v>
      </c>
      <c r="Q18" s="10">
        <f>-((Q11-Q12)*Q7-(Q13-Q15+Q14)*Q10*Q7-Q16)</f>
        <v>-25.695939945515647</v>
      </c>
      <c r="S18" s="10"/>
      <c r="T18" s="10">
        <f>-((T11-T12)*T7-(T13-T15+T14)*T10*T7-T16)</f>
        <v>-2.970944133675559</v>
      </c>
      <c r="U18" s="10">
        <f>-((U11-U12)*U7-(U13-U15+U14)*U10*U7-U16)</f>
        <v>-7.327011804282705</v>
      </c>
      <c r="V18" s="10">
        <f>-((V11-V12)*V7-(V13-V15+V14)*V10*V7-V16)</f>
        <v>-8.427304733265345</v>
      </c>
      <c r="W18" s="10">
        <f>-((W11-W12)*W7-(W13-W15+W14)*W10*W7-W16)</f>
        <v>-9.556037907464429</v>
      </c>
      <c r="X18" s="10">
        <f>-((X11-X12)*X7-(X13-X15+X14)*X10*X7-X16)</f>
        <v>-10.545004027590323</v>
      </c>
      <c r="Y18" s="10">
        <f>-((Y11-Y12)*Y7-(Y13-Y15+Y14)*Y10*Y7-Y16)</f>
        <v>-11.543883011821492</v>
      </c>
    </row>
    <row r="19">
      <c r="B19" t="s" s="9">
        <v>227</v>
      </c>
      <c r="C19" s="10"/>
      <c r="D19" s="10">
        <f>IF(AND(Scenarios!$C$17=1,D$6&gt;=Scenarios!$C$21),Scenarios!$C$24*(1+Scenarios!$C$26)^(YEAR(D$6)-YEAR(Scenarios!$C$21)),0)</f>
        <v>0</v>
      </c>
      <c r="E19" s="10">
        <f>IF(AND(Scenarios!$C$17=1,E$6&gt;=Scenarios!$C$21),Scenarios!$C$24*(1+Scenarios!$C$26)^(YEAR(E$6)-YEAR(Scenarios!$C$21)),0)</f>
        <v>0</v>
      </c>
      <c r="F19" s="10">
        <f>IF(AND(Scenarios!$C$17=1,F$6&gt;=Scenarios!$C$21),Scenarios!$C$24*(1+Scenarios!$C$26)^(YEAR(F$6)-YEAR(Scenarios!$C$21)),0)</f>
        <v>0</v>
      </c>
      <c r="G19" s="10">
        <f>IF(AND(Scenarios!$C$17=1,G$6&gt;=Scenarios!$C$21),Scenarios!$C$24*(1+Scenarios!$C$26)^(YEAR(G$6)-YEAR(Scenarios!$C$21)),0)</f>
        <v>0</v>
      </c>
      <c r="H19" s="10">
        <f>IF(AND(Scenarios!$C$17=1,H$6&gt;=Scenarios!$C$21),Scenarios!$C$24*(1+Scenarios!$C$26)^(YEAR(H$6)-YEAR(Scenarios!$C$21)),0)</f>
        <v>0</v>
      </c>
      <c r="I19" s="10">
        <f>IF(AND(Scenarios!$C$17=1,I$6&gt;=Scenarios!$C$21),Scenarios!$C$24*(1+Scenarios!$C$26)^(YEAR(I$6)-YEAR(Scenarios!$C$21)),0)</f>
        <v>0</v>
      </c>
      <c r="J19" s="10"/>
      <c r="K19" s="10"/>
      <c r="L19" s="10">
        <f>IF(AND(Scenarios!$C$17=1,L$6&gt;=Scenarios!$C$21),Scenarios!$C$24*(1+Scenarios!$C$26)^(YEAR(L$6)-YEAR(Scenarios!$C$21)),0)</f>
        <v>0</v>
      </c>
      <c r="M19" s="10">
        <f>IF(AND(Scenarios!$C$17=1,M$6&gt;=Scenarios!$C$21),Scenarios!$C$24*(1+Scenarios!$C$26)^(YEAR(M$6)-YEAR(Scenarios!$C$21)),0)</f>
        <v>0</v>
      </c>
      <c r="N19" s="10">
        <f>IF(AND(Scenarios!$C$17=1,N$6&gt;=Scenarios!$C$21),Scenarios!$C$24*(1+Scenarios!$C$26)^(YEAR(N$6)-YEAR(Scenarios!$C$21)),0)</f>
        <v>0</v>
      </c>
      <c r="O19" s="10">
        <f>IF(AND(Scenarios!$C$17=1,O$6&gt;=Scenarios!$C$21),Scenarios!$C$24*(1+Scenarios!$C$26)^(YEAR(O$6)-YEAR(Scenarios!$C$21)),0)</f>
        <v>0</v>
      </c>
      <c r="P19" s="10">
        <f>IF(AND(Scenarios!$C$17=1,P$6&gt;=Scenarios!$C$21),Scenarios!$C$24*(1+Scenarios!$C$26)^(YEAR(P$6)-YEAR(Scenarios!$C$21)),0)</f>
        <v>0</v>
      </c>
      <c r="Q19" s="10">
        <f>IF(AND(Scenarios!$C$17=1,Q$6&gt;=Scenarios!$C$21),Scenarios!$C$24*(1+Scenarios!$C$26)^(YEAR(Q$6)-YEAR(Scenarios!$C$21)),0)</f>
        <v>0</v>
      </c>
      <c r="S19" s="10"/>
      <c r="T19" s="10">
        <f>IF(AND(Scenarios!$C$17=1,T$6&gt;=Scenarios!$C$21),Scenarios!$C$24*(1+Scenarios!$C$26)^(YEAR(T$6)-YEAR(Scenarios!$C$21)),0)</f>
        <v>0</v>
      </c>
      <c r="U19" s="10">
        <f>IF(AND(Scenarios!$C$17=1,U$6&gt;=Scenarios!$C$21),Scenarios!$C$24*(1+Scenarios!$C$26)^(YEAR(U$6)-YEAR(Scenarios!$C$21)),0)</f>
        <v>0</v>
      </c>
      <c r="V19" s="10">
        <f>IF(AND(Scenarios!$C$17=1,V$6&gt;=Scenarios!$C$21),Scenarios!$C$24*(1+Scenarios!$C$26)^(YEAR(V$6)-YEAR(Scenarios!$C$21)),0)</f>
        <v>0</v>
      </c>
      <c r="W19" s="10">
        <f>IF(AND(Scenarios!$C$17=1,W$6&gt;=Scenarios!$C$21),Scenarios!$C$24*(1+Scenarios!$C$26)^(YEAR(W$6)-YEAR(Scenarios!$C$21)),0)</f>
        <v>0</v>
      </c>
      <c r="X19" s="10">
        <f>IF(AND(Scenarios!$C$17=1,X$6&gt;=Scenarios!$C$21),Scenarios!$C$24*(1+Scenarios!$C$26)^(YEAR(X$6)-YEAR(Scenarios!$C$21)),0)</f>
        <v>0</v>
      </c>
      <c r="Y19" s="10">
        <f>IF(AND(Scenarios!$C$17=1,Y$6&gt;=Scenarios!$C$21),Scenarios!$C$24*(1+Scenarios!$C$26)^(YEAR(Y$6)-YEAR(Scenarios!$C$21)),0)</f>
        <v>0</v>
      </c>
    </row>
    <row r="20">
      <c r="B20" t="s" s="9">
        <v>228</v>
      </c>
      <c r="C20" s="10"/>
      <c r="D20" s="10">
        <f>D19*IF(YEAR(D$6)=YEAR(Scenarios!$C$21),Scenarios!$C$25,1)*D7</f>
        <v>0</v>
      </c>
      <c r="E20" s="10">
        <f>E19*IF(YEAR(E$6)=YEAR(Scenarios!$C$21),Scenarios!$C$25,1)*E7</f>
        <v>0</v>
      </c>
      <c r="F20" s="10">
        <f>F19*IF(YEAR(F$6)=YEAR(Scenarios!$C$21),Scenarios!$C$25,1)*F7</f>
        <v>0</v>
      </c>
      <c r="G20" s="10">
        <f>G19*IF(YEAR(G$6)=YEAR(Scenarios!$C$21),Scenarios!$C$25,1)*G7</f>
        <v>0</v>
      </c>
      <c r="H20" s="10">
        <f>H19*IF(YEAR(H$6)=YEAR(Scenarios!$C$21),Scenarios!$C$25,1)*H7</f>
        <v>0</v>
      </c>
      <c r="I20" s="10">
        <f>I19*IF(YEAR(I$6)=YEAR(Scenarios!$C$21),Scenarios!$C$25,1)*I7</f>
        <v>0</v>
      </c>
      <c r="J20" s="10"/>
      <c r="K20" s="10"/>
      <c r="L20" s="10">
        <f>L19*IF(YEAR(L$6)=YEAR(Scenarios!$C$21),Scenarios!$C$25,1)*L7</f>
        <v>0</v>
      </c>
      <c r="M20" s="10">
        <f>M19*IF(YEAR(M$6)=YEAR(Scenarios!$C$21),Scenarios!$C$25,1)*M7</f>
        <v>0</v>
      </c>
      <c r="N20" s="10">
        <f>N19*IF(YEAR(N$6)=YEAR(Scenarios!$C$21),Scenarios!$C$25,1)*N7</f>
        <v>0</v>
      </c>
      <c r="O20" s="10">
        <f>O19*IF(YEAR(O$6)=YEAR(Scenarios!$C$21),Scenarios!$C$25,1)*O7</f>
        <v>0</v>
      </c>
      <c r="P20" s="10">
        <f>P19*IF(YEAR(P$6)=YEAR(Scenarios!$C$21),Scenarios!$C$25,1)*P7</f>
        <v>0</v>
      </c>
      <c r="Q20" s="10">
        <f>Q19*IF(YEAR(Q$6)=YEAR(Scenarios!$C$21),Scenarios!$C$25,1)*Q7</f>
        <v>0</v>
      </c>
      <c r="S20" s="10"/>
      <c r="T20" s="10">
        <f>T19*IF(YEAR(T$6)=YEAR(Scenarios!$C$21),Scenarios!$C$25,1)*T7</f>
        <v>0</v>
      </c>
      <c r="U20" s="10">
        <f>U19*IF(YEAR(U$6)=YEAR(Scenarios!$C$21),Scenarios!$C$25,1)*U7</f>
        <v>0</v>
      </c>
      <c r="V20" s="10">
        <f>V19*IF(YEAR(V$6)=YEAR(Scenarios!$C$21),Scenarios!$C$25,1)*V7</f>
        <v>0</v>
      </c>
      <c r="W20" s="10">
        <f>W19*IF(YEAR(W$6)=YEAR(Scenarios!$C$21),Scenarios!$C$25,1)*W7</f>
        <v>0</v>
      </c>
      <c r="X20" s="10">
        <f>X19*IF(YEAR(X$6)=YEAR(Scenarios!$C$21),Scenarios!$C$25,1)*X7</f>
        <v>0</v>
      </c>
      <c r="Y20" s="10">
        <f>Y19*IF(YEAR(Y$6)=YEAR(Scenarios!$C$21),Scenarios!$C$25,1)*Y7</f>
        <v>0</v>
      </c>
    </row>
    <row r="21">
      <c r="B21" t="s" s="9">
        <v>229</v>
      </c>
      <c r="C21" s="10"/>
      <c r="D21" s="10">
        <f>D20*Scenarios!$C$27</f>
        <v>0</v>
      </c>
      <c r="E21" s="10">
        <f>E20*Scenarios!$C$27</f>
        <v>0</v>
      </c>
      <c r="F21" s="10">
        <f>F20*Scenarios!$C$27</f>
        <v>0</v>
      </c>
      <c r="G21" s="10">
        <f>G20*Scenarios!$C$27</f>
        <v>0</v>
      </c>
      <c r="H21" s="10">
        <f>H20*Scenarios!$C$27</f>
        <v>0</v>
      </c>
      <c r="I21" s="10">
        <f>I20*Scenarios!$C$27</f>
        <v>0</v>
      </c>
      <c r="J21" s="10"/>
      <c r="K21" s="10"/>
      <c r="L21" s="10">
        <f>L20*Scenarios!$C$27</f>
        <v>0</v>
      </c>
      <c r="M21" s="10">
        <f>M20*Scenarios!$C$27</f>
        <v>0</v>
      </c>
      <c r="N21" s="10">
        <f>N20*Scenarios!$C$27</f>
        <v>0</v>
      </c>
      <c r="O21" s="10">
        <f>O20*Scenarios!$C$27</f>
        <v>0</v>
      </c>
      <c r="P21" s="10">
        <f>P20*Scenarios!$C$27</f>
        <v>0</v>
      </c>
      <c r="Q21" s="10">
        <f>Q20*Scenarios!$C$27</f>
        <v>0</v>
      </c>
      <c r="S21" s="10"/>
      <c r="T21" s="10">
        <f>T20*Scenarios!$C$27</f>
        <v>0</v>
      </c>
      <c r="U21" s="10">
        <f>U20*Scenarios!$C$27</f>
        <v>0</v>
      </c>
      <c r="V21" s="10">
        <f>V20*Scenarios!$C$27</f>
        <v>0</v>
      </c>
      <c r="W21" s="10">
        <f>W20*Scenarios!$C$27</f>
        <v>0</v>
      </c>
      <c r="X21" s="10">
        <f>X20*Scenarios!$C$27</f>
        <v>0</v>
      </c>
      <c r="Y21" s="10">
        <f>Y20*Scenarios!$C$27</f>
        <v>0</v>
      </c>
    </row>
    <row r="22">
      <c r="B22" t="s" s="41">
        <v>230</v>
      </c>
      <c r="C22" s="42"/>
      <c r="D22" s="42">
        <f>D11+D19</f>
        <v>334.71799748251317</v>
      </c>
      <c r="E22" s="42">
        <f>E11+E19</f>
        <v>395.47458677782515</v>
      </c>
      <c r="F22" s="42">
        <f>F11+F19</f>
        <v>453.016663807723</v>
      </c>
      <c r="G22" s="42">
        <f>G11+G19</f>
        <v>514.1772394971034</v>
      </c>
      <c r="H22" s="42">
        <f>H11+H19</f>
        <v>573.4936124361247</v>
      </c>
      <c r="I22" s="42">
        <f>I11+I19</f>
        <v>636.0283537011794</v>
      </c>
      <c r="J22" s="10"/>
      <c r="K22" s="42"/>
      <c r="L22" s="42">
        <f>L11+L19</f>
        <v>338.6334027397261</v>
      </c>
      <c r="M22" s="42">
        <f>M11+M19</f>
        <v>418.78332054794527</v>
      </c>
      <c r="N22" s="42">
        <f>N11+N19</f>
        <v>518.9707178082192</v>
      </c>
      <c r="O22" s="42">
        <f>O11+O19</f>
        <v>635.1880986301371</v>
      </c>
      <c r="P22" s="42">
        <f>P11+P19</f>
        <v>764.4298410958905</v>
      </c>
      <c r="Q22" s="42">
        <f>Q11+Q19</f>
        <v>896.7205265100274</v>
      </c>
      <c r="S22" s="42"/>
      <c r="T22" s="42">
        <f>T11+T19</f>
        <v>313.15794103212414</v>
      </c>
      <c r="U22" s="42">
        <f>U11+U19</f>
        <v>360.8368450098976</v>
      </c>
      <c r="V22" s="42">
        <f>V11+V19</f>
        <v>402.61356717944</v>
      </c>
      <c r="W22" s="42">
        <f>W11+W19</f>
        <v>444.9918984193532</v>
      </c>
      <c r="X22" s="42">
        <f>X11+X19</f>
        <v>483.027685513492</v>
      </c>
      <c r="Y22" s="42">
        <f>Y11+Y19</f>
        <v>521.258938912441</v>
      </c>
    </row>
    <row r="23">
      <c r="B23" t="s" s="41">
        <v>231</v>
      </c>
      <c r="C23" s="42"/>
      <c r="D23" s="42">
        <f>D16+D21</f>
        <v>89.17061440623087</v>
      </c>
      <c r="E23" s="42">
        <f>E16+E21</f>
        <v>227.109547846625</v>
      </c>
      <c r="F23" s="42">
        <f>F16+F21</f>
        <v>270.9251581580244</v>
      </c>
      <c r="G23" s="42">
        <f>G16+G21</f>
        <v>318.2522605391023</v>
      </c>
      <c r="H23" s="42">
        <f>H16+H21</f>
        <v>363.96906609455505</v>
      </c>
      <c r="I23" s="42">
        <f>I16+I21</f>
        <v>412.6799229707839</v>
      </c>
      <c r="J23" s="10"/>
      <c r="K23" s="42"/>
      <c r="L23" s="42">
        <f>L16+L21</f>
        <v>92.92994746702246</v>
      </c>
      <c r="M23" s="42">
        <f>M16+M21</f>
        <v>260.0933813221918</v>
      </c>
      <c r="N23" s="42">
        <f>N16+N21</f>
        <v>352.94337721241646</v>
      </c>
      <c r="O23" s="42">
        <f>O16+O21</f>
        <v>460.59153708592345</v>
      </c>
      <c r="P23" s="42">
        <f>P16+P21</f>
        <v>579.9847251517535</v>
      </c>
      <c r="Q23" s="42">
        <f>Q16+Q21</f>
        <v>702.0236251354706</v>
      </c>
      <c r="S23" s="42"/>
      <c r="T23" s="42">
        <f>T16+T21</f>
        <v>78.7295061790618</v>
      </c>
      <c r="U23" s="42">
        <f>U16+U21</f>
        <v>195.2149130000479</v>
      </c>
      <c r="V23" s="42">
        <f>V16+V21</f>
        <v>224.89732151095015</v>
      </c>
      <c r="W23" s="42">
        <f>W16+W21</f>
        <v>255.37548958422536</v>
      </c>
      <c r="X23" s="42">
        <f>X16+X21</f>
        <v>282.0256719456487</v>
      </c>
      <c r="Y23" s="42">
        <f>Y16+Y21</f>
        <v>308.95613177382614</v>
      </c>
    </row>
    <row r="24">
      <c r="S24"/>
      <c r="T24"/>
      <c r="U24"/>
      <c r="V24"/>
      <c r="W24"/>
      <c r="X24"/>
      <c r="Y24"/>
    </row>
    <row r="25">
      <c r="B25" t="s" s="34">
        <v>232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>
      <c r="B26" t="s" s="9">
        <v>233</v>
      </c>
      <c r="C26" s="12"/>
      <c r="D26" s="12">
        <f>'Term Sheet'!$C$9+Scenarios!$C$18</f>
        <v>0.0353</v>
      </c>
      <c r="E26" s="12">
        <f>'Term Sheet'!$C$9+Scenarios!$C$18</f>
        <v>0.0353</v>
      </c>
      <c r="F26" s="12">
        <f>'Term Sheet'!$C$9+Scenarios!$C$18</f>
        <v>0.0353</v>
      </c>
      <c r="G26" s="12">
        <f>'Term Sheet'!$C$9+Scenarios!$C$18</f>
        <v>0.0353</v>
      </c>
      <c r="H26" s="12">
        <f>'Term Sheet'!$C$9+Scenarios!$C$18</f>
        <v>0.0353</v>
      </c>
      <c r="I26" s="12">
        <f>'Term Sheet'!$C$9+Scenarios!$C$18</f>
        <v>0.0353</v>
      </c>
      <c r="J26" s="12"/>
      <c r="K26" s="12"/>
      <c r="L26" s="12">
        <f>'Term Sheet'!$C$9+Scenarios!$C$18</f>
        <v>0.0353</v>
      </c>
      <c r="M26" s="12">
        <f>'Term Sheet'!$C$9+Scenarios!$C$18</f>
        <v>0.0353</v>
      </c>
      <c r="N26" s="12">
        <f>'Term Sheet'!$C$9+Scenarios!$C$18</f>
        <v>0.0353</v>
      </c>
      <c r="O26" s="12">
        <f>'Term Sheet'!$C$9+Scenarios!$C$18</f>
        <v>0.0353</v>
      </c>
      <c r="P26" s="12">
        <f>'Term Sheet'!$C$9+Scenarios!$C$18</f>
        <v>0.0353</v>
      </c>
      <c r="Q26" s="12">
        <f>'Term Sheet'!$C$9+Scenarios!$C$18</f>
        <v>0.0353</v>
      </c>
      <c r="S26" s="12"/>
      <c r="T26" s="12">
        <f>'Term Sheet'!$C$9+Scenarios!$C$18</f>
        <v>0.0353</v>
      </c>
      <c r="U26" s="12">
        <f>'Term Sheet'!$C$9+Scenarios!$C$18</f>
        <v>0.0353</v>
      </c>
      <c r="V26" s="12">
        <f>'Term Sheet'!$C$9+Scenarios!$C$18</f>
        <v>0.0353</v>
      </c>
      <c r="W26" s="12">
        <f>'Term Sheet'!$C$9+Scenarios!$C$18</f>
        <v>0.0353</v>
      </c>
      <c r="X26" s="12">
        <f>'Term Sheet'!$C$9+Scenarios!$C$18</f>
        <v>0.0353</v>
      </c>
      <c r="Y26" s="12">
        <f>'Term Sheet'!$C$9+Scenarios!$C$18</f>
        <v>0.0353</v>
      </c>
    </row>
    <row r="27">
      <c r="B27" t="s" s="9">
        <v>234</v>
      </c>
      <c r="C27" s="12"/>
      <c r="D27" s="12">
        <f>MAX(D26,'Term Sheet'!$C$19)</f>
        <v>0.0353</v>
      </c>
      <c r="E27" s="12">
        <f>MAX(E26,'Term Sheet'!$C$19)</f>
        <v>0.0353</v>
      </c>
      <c r="F27" s="12">
        <f>MAX(F26,'Term Sheet'!$C$19)</f>
        <v>0.0353</v>
      </c>
      <c r="G27" s="12">
        <f>MAX(G26,'Term Sheet'!$C$19)</f>
        <v>0.0353</v>
      </c>
      <c r="H27" s="12">
        <f>MAX(H26,'Term Sheet'!$C$19)</f>
        <v>0.0353</v>
      </c>
      <c r="I27" s="12">
        <f>MAX(I26,'Term Sheet'!$C$19)</f>
        <v>0.0353</v>
      </c>
      <c r="J27" s="12"/>
      <c r="K27" s="12"/>
      <c r="L27" s="12">
        <f>MAX(L26,'Term Sheet'!$C$19)</f>
        <v>0.0353</v>
      </c>
      <c r="M27" s="12">
        <f>MAX(M26,'Term Sheet'!$C$19)</f>
        <v>0.0353</v>
      </c>
      <c r="N27" s="12">
        <f>MAX(N26,'Term Sheet'!$C$19)</f>
        <v>0.0353</v>
      </c>
      <c r="O27" s="12">
        <f>MAX(O26,'Term Sheet'!$C$19)</f>
        <v>0.0353</v>
      </c>
      <c r="P27" s="12">
        <f>MAX(P26,'Term Sheet'!$C$19)</f>
        <v>0.0353</v>
      </c>
      <c r="Q27" s="12">
        <f>MAX(Q26,'Term Sheet'!$C$19)</f>
        <v>0.0353</v>
      </c>
      <c r="S27" s="12"/>
      <c r="T27" s="12">
        <f>MAX(T26,'Term Sheet'!$C$19)</f>
        <v>0.0353</v>
      </c>
      <c r="U27" s="12">
        <f>MAX(U26,'Term Sheet'!$C$19)</f>
        <v>0.0353</v>
      </c>
      <c r="V27" s="12">
        <f>MAX(V26,'Term Sheet'!$C$19)</f>
        <v>0.0353</v>
      </c>
      <c r="W27" s="12">
        <f>MAX(W26,'Term Sheet'!$C$19)</f>
        <v>0.0353</v>
      </c>
      <c r="X27" s="12">
        <f>MAX(X26,'Term Sheet'!$C$19)</f>
        <v>0.0353</v>
      </c>
      <c r="Y27" s="12">
        <f>MAX(Y26,'Term Sheet'!$C$19)</f>
        <v>0.0353</v>
      </c>
    </row>
    <row r="28">
      <c r="B28" t="s" s="9">
        <v>235</v>
      </c>
      <c r="C28" s="12"/>
      <c r="D28" s="12">
        <f>'Term Sheet'!$C$18-IF(AND(C$6&gt;='Term Sheet'!$C$22,C119&lt;='Term Sheet'!$C$21),'Term Sheet'!$C$20,0)</f>
        <v>0.045</v>
      </c>
      <c r="E28" s="12">
        <f>'Term Sheet'!$C$18-IF(AND(D$6&gt;='Term Sheet'!$C$22,D119&lt;='Term Sheet'!$C$21),'Term Sheet'!$C$20,0)</f>
        <v>0.045</v>
      </c>
      <c r="F28" s="12">
        <f>'Term Sheet'!$C$18-IF(AND(E$6&gt;='Term Sheet'!$C$22,E119&lt;='Term Sheet'!$C$21),'Term Sheet'!$C$20,0)</f>
        <v>0.042499999999999996</v>
      </c>
      <c r="G28" s="12">
        <f>'Term Sheet'!$C$18-IF(AND(F$6&gt;='Term Sheet'!$C$22,F119&lt;='Term Sheet'!$C$21),'Term Sheet'!$C$20,0)</f>
        <v>0.042499999999999996</v>
      </c>
      <c r="H28" s="12">
        <f>'Term Sheet'!$C$18-IF(AND(G$6&gt;='Term Sheet'!$C$22,G119&lt;='Term Sheet'!$C$21),'Term Sheet'!$C$20,0)</f>
        <v>0.042499999999999996</v>
      </c>
      <c r="I28" s="12">
        <f>'Term Sheet'!$C$18-IF(AND(H$6&gt;='Term Sheet'!$C$22,H119&lt;='Term Sheet'!$C$21),'Term Sheet'!$C$20,0)</f>
        <v>0.042499999999999996</v>
      </c>
      <c r="J28" s="12"/>
      <c r="K28" s="12"/>
      <c r="L28" s="12">
        <f>'Term Sheet'!$C$18-IF(AND(K$6&gt;='Term Sheet'!$C$22,K119&lt;='Term Sheet'!$C$21),'Term Sheet'!$C$20,0)</f>
        <v>0.045</v>
      </c>
      <c r="M28" s="12">
        <f>'Term Sheet'!$C$18-IF(AND(L$6&gt;='Term Sheet'!$C$22,L119&lt;='Term Sheet'!$C$21),'Term Sheet'!$C$20,0)</f>
        <v>0.045</v>
      </c>
      <c r="N28" s="12">
        <f>'Term Sheet'!$C$18-IF(AND(M$6&gt;='Term Sheet'!$C$22,M119&lt;='Term Sheet'!$C$21),'Term Sheet'!$C$20,0)</f>
        <v>0.042499999999999996</v>
      </c>
      <c r="O28" s="12">
        <f>'Term Sheet'!$C$18-IF(AND(N$6&gt;='Term Sheet'!$C$22,N119&lt;='Term Sheet'!$C$21),'Term Sheet'!$C$20,0)</f>
        <v>0.042499999999999996</v>
      </c>
      <c r="P28" s="12">
        <f>'Term Sheet'!$C$18-IF(AND(O$6&gt;='Term Sheet'!$C$22,O119&lt;='Term Sheet'!$C$21),'Term Sheet'!$C$20,0)</f>
        <v>0.042499999999999996</v>
      </c>
      <c r="Q28" s="12">
        <f>'Term Sheet'!$C$18-IF(AND(P$6&gt;='Term Sheet'!$C$22,P119&lt;='Term Sheet'!$C$21),'Term Sheet'!$C$20,0)</f>
        <v>0.042499999999999996</v>
      </c>
      <c r="S28" s="12"/>
      <c r="T28" s="12">
        <f>'Term Sheet'!$C$18-IF(AND(S$6&gt;='Term Sheet'!$C$22,S119&lt;='Term Sheet'!$C$21),'Term Sheet'!$C$20,0)</f>
        <v>0.045</v>
      </c>
      <c r="U28" s="12">
        <f>'Term Sheet'!$C$18-IF(AND(T$6&gt;='Term Sheet'!$C$22,T119&lt;='Term Sheet'!$C$21),'Term Sheet'!$C$20,0)</f>
        <v>0.045</v>
      </c>
      <c r="V28" s="12">
        <f>'Term Sheet'!$C$18-IF(AND(U$6&gt;='Term Sheet'!$C$22,U119&lt;='Term Sheet'!$C$21),'Term Sheet'!$C$20,0)</f>
        <v>0.042499999999999996</v>
      </c>
      <c r="W28" s="12">
        <f>'Term Sheet'!$C$18-IF(AND(V$6&gt;='Term Sheet'!$C$22,V119&lt;='Term Sheet'!$C$21),'Term Sheet'!$C$20,0)</f>
        <v>0.042499999999999996</v>
      </c>
      <c r="X28" s="12">
        <f>'Term Sheet'!$C$18-IF(AND(W$6&gt;='Term Sheet'!$C$22,W119&lt;='Term Sheet'!$C$21),'Term Sheet'!$C$20,0)</f>
        <v>0.042499999999999996</v>
      </c>
      <c r="Y28" s="12">
        <f>'Term Sheet'!$C$18-IF(AND(X$6&gt;='Term Sheet'!$C$22,X119&lt;='Term Sheet'!$C$21),'Term Sheet'!$C$20,0)</f>
        <v>0.042499999999999996</v>
      </c>
    </row>
    <row r="29">
      <c r="B29" t="s" s="9">
        <v>236</v>
      </c>
      <c r="C29" s="24"/>
      <c r="D29" s="24">
        <f>Scenarios!$C$16*MAX(0,MIN(D$6,'Term Sheet'!$C$27)-MAX('Term Sheet'!$C$7,EDATE(D$6,-12)))/(D$6-MAX('Term Sheet'!$C$7,EDATE(D$6,-12)))</f>
        <v>1</v>
      </c>
      <c r="E29" s="24">
        <f>Scenarios!$C$16*MAX(0,MIN(E$6,'Term Sheet'!$C$27)-MAX('Term Sheet'!$C$7,EDATE(E$6,-12)))/(E$6-MAX('Term Sheet'!$C$7,EDATE(E$6,-12)))</f>
        <v>1</v>
      </c>
      <c r="F29" s="24">
        <f>Scenarios!$C$16*MAX(0,MIN(F$6,'Term Sheet'!$C$27)-MAX('Term Sheet'!$C$7,EDATE(F$6,-12)))/(F$6-MAX('Term Sheet'!$C$7,EDATE(F$6,-12)))</f>
        <v>0.48360655737704916</v>
      </c>
      <c r="G29" s="24">
        <f>Scenarios!$C$16*MAX(0,MIN(G$6,'Term Sheet'!$C$27)-MAX('Term Sheet'!$C$7,EDATE(G$6,-12)))/(G$6-MAX('Term Sheet'!$C$7,EDATE(G$6,-12)))</f>
        <v>0</v>
      </c>
      <c r="H29" s="24">
        <f>Scenarios!$C$16*MAX(0,MIN(H$6,'Term Sheet'!$C$27)-MAX('Term Sheet'!$C$7,EDATE(H$6,-12)))/(H$6-MAX('Term Sheet'!$C$7,EDATE(H$6,-12)))</f>
        <v>0</v>
      </c>
      <c r="I29" s="24">
        <f>Scenarios!$C$16*MAX(0,MIN(I$6,'Term Sheet'!$C$27)-MAX('Term Sheet'!$C$7,EDATE(I$6,-12)))/(I$6-MAX('Term Sheet'!$C$7,EDATE(I$6,-12)))</f>
        <v>0</v>
      </c>
      <c r="J29" s="24"/>
      <c r="K29" s="24"/>
      <c r="L29" s="24">
        <f>Scenarios!$C$16*MAX(0,MIN(L$6,'Term Sheet'!$C$27)-MAX('Term Sheet'!$C$7,EDATE(L$6,-12)))/(L$6-MAX('Term Sheet'!$C$7,EDATE(L$6,-12)))</f>
        <v>1</v>
      </c>
      <c r="M29" s="24">
        <f>Scenarios!$C$16*MAX(0,MIN(M$6,'Term Sheet'!$C$27)-MAX('Term Sheet'!$C$7,EDATE(M$6,-12)))/(M$6-MAX('Term Sheet'!$C$7,EDATE(M$6,-12)))</f>
        <v>1</v>
      </c>
      <c r="N29" s="24">
        <f>Scenarios!$C$16*MAX(0,MIN(N$6,'Term Sheet'!$C$27)-MAX('Term Sheet'!$C$7,EDATE(N$6,-12)))/(N$6-MAX('Term Sheet'!$C$7,EDATE(N$6,-12)))</f>
        <v>0.48360655737704916</v>
      </c>
      <c r="O29" s="24">
        <f>Scenarios!$C$16*MAX(0,MIN(O$6,'Term Sheet'!$C$27)-MAX('Term Sheet'!$C$7,EDATE(O$6,-12)))/(O$6-MAX('Term Sheet'!$C$7,EDATE(O$6,-12)))</f>
        <v>0</v>
      </c>
      <c r="P29" s="24">
        <f>Scenarios!$C$16*MAX(0,MIN(P$6,'Term Sheet'!$C$27)-MAX('Term Sheet'!$C$7,EDATE(P$6,-12)))/(P$6-MAX('Term Sheet'!$C$7,EDATE(P$6,-12)))</f>
        <v>0</v>
      </c>
      <c r="Q29" s="24">
        <f>Scenarios!$C$16*MAX(0,MIN(Q$6,'Term Sheet'!$C$27)-MAX('Term Sheet'!$C$7,EDATE(Q$6,-12)))/(Q$6-MAX('Term Sheet'!$C$7,EDATE(Q$6,-12)))</f>
        <v>0</v>
      </c>
      <c r="S29" s="24"/>
      <c r="T29" s="24">
        <f>Scenarios!$C$16*MAX(0,MIN(T$6,'Term Sheet'!$C$27)-MAX('Term Sheet'!$C$7,EDATE(T$6,-12)))/(T$6-MAX('Term Sheet'!$C$7,EDATE(T$6,-12)))</f>
        <v>1</v>
      </c>
      <c r="U29" s="24">
        <f>Scenarios!$C$16*MAX(0,MIN(U$6,'Term Sheet'!$C$27)-MAX('Term Sheet'!$C$7,EDATE(U$6,-12)))/(U$6-MAX('Term Sheet'!$C$7,EDATE(U$6,-12)))</f>
        <v>1</v>
      </c>
      <c r="V29" s="24">
        <f>Scenarios!$C$16*MAX(0,MIN(V$6,'Term Sheet'!$C$27)-MAX('Term Sheet'!$C$7,EDATE(V$6,-12)))/(V$6-MAX('Term Sheet'!$C$7,EDATE(V$6,-12)))</f>
        <v>0.48360655737704916</v>
      </c>
      <c r="W29" s="24">
        <f>Scenarios!$C$16*MAX(0,MIN(W$6,'Term Sheet'!$C$27)-MAX('Term Sheet'!$C$7,EDATE(W$6,-12)))/(W$6-MAX('Term Sheet'!$C$7,EDATE(W$6,-12)))</f>
        <v>0</v>
      </c>
      <c r="X29" s="24">
        <f>Scenarios!$C$16*MAX(0,MIN(X$6,'Term Sheet'!$C$27)-MAX('Term Sheet'!$C$7,EDATE(X$6,-12)))/(X$6-MAX('Term Sheet'!$C$7,EDATE(X$6,-12)))</f>
        <v>0</v>
      </c>
      <c r="Y29" s="24">
        <f>Scenarios!$C$16*MAX(0,MIN(Y$6,'Term Sheet'!$C$27)-MAX('Term Sheet'!$C$7,EDATE(Y$6,-12)))/(Y$6-MAX('Term Sheet'!$C$7,EDATE(Y$6,-12)))</f>
        <v>0</v>
      </c>
    </row>
    <row r="30">
      <c r="B30" t="s" s="9">
        <v>237</v>
      </c>
      <c r="C30" s="12"/>
      <c r="D30" s="12">
        <f>D27+D28*(1-'Term Sheet'!$C$24*D29)</f>
        <v>0.0578</v>
      </c>
      <c r="E30" s="12">
        <f>E27+E28*(1-'Term Sheet'!$C$24*E29)</f>
        <v>0.0578</v>
      </c>
      <c r="F30" s="12">
        <f>F27+F28*(1-'Term Sheet'!$C$24*F29)</f>
        <v>0.06752336065573769</v>
      </c>
      <c r="G30" s="12">
        <f>G27+G28*(1-'Term Sheet'!$C$24*G29)</f>
        <v>0.0778</v>
      </c>
      <c r="H30" s="12">
        <f>H27+H28*(1-'Term Sheet'!$C$24*H29)</f>
        <v>0.0778</v>
      </c>
      <c r="I30" s="12">
        <f>I27+I28*(1-'Term Sheet'!$C$24*I29)</f>
        <v>0.0778</v>
      </c>
      <c r="J30" s="12"/>
      <c r="K30" s="12"/>
      <c r="L30" s="12">
        <f>L27+L28*(1-'Term Sheet'!$C$24*L29)</f>
        <v>0.0578</v>
      </c>
      <c r="M30" s="12">
        <f>M27+M28*(1-'Term Sheet'!$C$24*M29)</f>
        <v>0.0578</v>
      </c>
      <c r="N30" s="12">
        <f>N27+N28*(1-'Term Sheet'!$C$24*N29)</f>
        <v>0.06752336065573769</v>
      </c>
      <c r="O30" s="12">
        <f>O27+O28*(1-'Term Sheet'!$C$24*O29)</f>
        <v>0.0778</v>
      </c>
      <c r="P30" s="12">
        <f>P27+P28*(1-'Term Sheet'!$C$24*P29)</f>
        <v>0.0778</v>
      </c>
      <c r="Q30" s="12">
        <f>Q27+Q28*(1-'Term Sheet'!$C$24*Q29)</f>
        <v>0.0778</v>
      </c>
      <c r="S30" s="12"/>
      <c r="T30" s="12">
        <f>T27+T28*(1-'Term Sheet'!$C$24*T29)</f>
        <v>0.0578</v>
      </c>
      <c r="U30" s="12">
        <f>U27+U28*(1-'Term Sheet'!$C$24*U29)</f>
        <v>0.0578</v>
      </c>
      <c r="V30" s="12">
        <f>V27+V28*(1-'Term Sheet'!$C$24*V29)</f>
        <v>0.06752336065573769</v>
      </c>
      <c r="W30" s="12">
        <f>W27+W28*(1-'Term Sheet'!$C$24*W29)</f>
        <v>0.0778</v>
      </c>
      <c r="X30" s="12">
        <f>X27+X28*(1-'Term Sheet'!$C$24*X29)</f>
        <v>0.0778</v>
      </c>
      <c r="Y30" s="12">
        <f>Y27+Y28*(1-'Term Sheet'!$C$24*Y29)</f>
        <v>0.0778</v>
      </c>
    </row>
    <row r="31">
      <c r="B31" t="s" s="9">
        <v>238</v>
      </c>
      <c r="C31" s="12"/>
      <c r="D31" s="12">
        <f>('Term Sheet'!$C$24*D28+'Term Sheet'!$C$25)*D29</f>
        <v>0.024999999999999998</v>
      </c>
      <c r="E31" s="12">
        <f>('Term Sheet'!$C$24*E28+'Term Sheet'!$C$25)*E29</f>
        <v>0.024999999999999998</v>
      </c>
      <c r="F31" s="12">
        <f>('Term Sheet'!$C$24*F28+'Term Sheet'!$C$25)*F29</f>
        <v>0.011485655737704915</v>
      </c>
      <c r="G31" s="12">
        <f>('Term Sheet'!$C$24*G28+'Term Sheet'!$C$25)*G29</f>
        <v>0</v>
      </c>
      <c r="H31" s="12">
        <f>('Term Sheet'!$C$24*H28+'Term Sheet'!$C$25)*H29</f>
        <v>0</v>
      </c>
      <c r="I31" s="12">
        <f>('Term Sheet'!$C$24*I28+'Term Sheet'!$C$25)*I29</f>
        <v>0</v>
      </c>
      <c r="J31" s="12"/>
      <c r="K31" s="12"/>
      <c r="L31" s="12">
        <f>('Term Sheet'!$C$24*L28+'Term Sheet'!$C$25)*L29</f>
        <v>0.024999999999999998</v>
      </c>
      <c r="M31" s="12">
        <f>('Term Sheet'!$C$24*M28+'Term Sheet'!$C$25)*M29</f>
        <v>0.024999999999999998</v>
      </c>
      <c r="N31" s="12">
        <f>('Term Sheet'!$C$24*N28+'Term Sheet'!$C$25)*N29</f>
        <v>0.011485655737704915</v>
      </c>
      <c r="O31" s="12">
        <f>('Term Sheet'!$C$24*O28+'Term Sheet'!$C$25)*O29</f>
        <v>0</v>
      </c>
      <c r="P31" s="12">
        <f>('Term Sheet'!$C$24*P28+'Term Sheet'!$C$25)*P29</f>
        <v>0</v>
      </c>
      <c r="Q31" s="12">
        <f>('Term Sheet'!$C$24*Q28+'Term Sheet'!$C$25)*Q29</f>
        <v>0</v>
      </c>
      <c r="S31" s="12"/>
      <c r="T31" s="12">
        <f>('Term Sheet'!$C$24*T28+'Term Sheet'!$C$25)*T29</f>
        <v>0.024999999999999998</v>
      </c>
      <c r="U31" s="12">
        <f>('Term Sheet'!$C$24*U28+'Term Sheet'!$C$25)*U29</f>
        <v>0.024999999999999998</v>
      </c>
      <c r="V31" s="12">
        <f>('Term Sheet'!$C$24*V28+'Term Sheet'!$C$25)*V29</f>
        <v>0.011485655737704915</v>
      </c>
      <c r="W31" s="12">
        <f>('Term Sheet'!$C$24*W28+'Term Sheet'!$C$25)*W29</f>
        <v>0</v>
      </c>
      <c r="X31" s="12">
        <f>('Term Sheet'!$C$24*X28+'Term Sheet'!$C$25)*X29</f>
        <v>0</v>
      </c>
      <c r="Y31" s="12">
        <f>('Term Sheet'!$C$24*Y28+'Term Sheet'!$C$25)*Y29</f>
        <v>0</v>
      </c>
    </row>
    <row r="32">
      <c r="B32" t="s" s="9">
        <v>239</v>
      </c>
      <c r="C32" s="12"/>
      <c r="D32" s="12">
        <f>D27+D28</f>
        <v>0.0803</v>
      </c>
      <c r="E32" s="12">
        <f>E27+E28</f>
        <v>0.0803</v>
      </c>
      <c r="F32" s="12">
        <f>F27+F28</f>
        <v>0.0778</v>
      </c>
      <c r="G32" s="12">
        <f>G27+G28</f>
        <v>0.0778</v>
      </c>
      <c r="H32" s="12">
        <f>H27+H28</f>
        <v>0.0778</v>
      </c>
      <c r="I32" s="12">
        <f>I27+I28</f>
        <v>0.0778</v>
      </c>
      <c r="J32" s="12"/>
      <c r="K32" s="12"/>
      <c r="L32" s="12">
        <f>L27+L28</f>
        <v>0.0803</v>
      </c>
      <c r="M32" s="12">
        <f>M27+M28</f>
        <v>0.0803</v>
      </c>
      <c r="N32" s="12">
        <f>N27+N28</f>
        <v>0.0778</v>
      </c>
      <c r="O32" s="12">
        <f>O27+O28</f>
        <v>0.0778</v>
      </c>
      <c r="P32" s="12">
        <f>P27+P28</f>
        <v>0.0778</v>
      </c>
      <c r="Q32" s="12">
        <f>Q27+Q28</f>
        <v>0.0778</v>
      </c>
      <c r="S32" s="12"/>
      <c r="T32" s="12">
        <f>T27+T28</f>
        <v>0.0803</v>
      </c>
      <c r="U32" s="12">
        <f>U27+U28</f>
        <v>0.0803</v>
      </c>
      <c r="V32" s="12">
        <f>V27+V28</f>
        <v>0.0778</v>
      </c>
      <c r="W32" s="12">
        <f>W27+W28</f>
        <v>0.0778</v>
      </c>
      <c r="X32" s="12">
        <f>X27+X28</f>
        <v>0.0778</v>
      </c>
      <c r="Y32" s="12">
        <f>Y27+Y28</f>
        <v>0.0778</v>
      </c>
    </row>
    <row r="33">
      <c r="B33" t="s" s="9">
        <v>240</v>
      </c>
      <c r="C33" s="31"/>
      <c r="D33" s="31">
        <f>'Term Sheet'!$C$71-'Term Sheet'!$C$72*(C119&lt;='Term Sheet'!$C$73)-'Term Sheet'!$C$72*(C119&lt;='Term Sheet'!$C$74)</f>
        <v>0.005</v>
      </c>
      <c r="E33" s="31">
        <f>'Term Sheet'!$C$71-'Term Sheet'!$C$72*(D119&lt;='Term Sheet'!$C$73)-'Term Sheet'!$C$72*(D119&lt;='Term Sheet'!$C$74)</f>
        <v>0.005</v>
      </c>
      <c r="F33" s="31">
        <f>'Term Sheet'!$C$71-'Term Sheet'!$C$72*(E119&lt;='Term Sheet'!$C$73)-'Term Sheet'!$C$72*(E119&lt;='Term Sheet'!$C$74)</f>
        <v>0.0024999999999999996</v>
      </c>
      <c r="G33" s="31">
        <f>'Term Sheet'!$C$71-'Term Sheet'!$C$72*(F119&lt;='Term Sheet'!$C$73)-'Term Sheet'!$C$72*(F119&lt;='Term Sheet'!$C$74)</f>
        <v>0.0024999999999999996</v>
      </c>
      <c r="H33" s="31">
        <f>'Term Sheet'!$C$71-'Term Sheet'!$C$72*(G119&lt;='Term Sheet'!$C$73)-'Term Sheet'!$C$72*(G119&lt;='Term Sheet'!$C$74)</f>
        <v>0.0024999999999999996</v>
      </c>
      <c r="I33" s="31">
        <f>'Term Sheet'!$C$71-'Term Sheet'!$C$72*(H119&lt;='Term Sheet'!$C$73)-'Term Sheet'!$C$72*(H119&lt;='Term Sheet'!$C$74)</f>
        <v>0.0024999999999999996</v>
      </c>
      <c r="J33" s="31"/>
      <c r="K33" s="31"/>
      <c r="L33" s="31">
        <f>'Term Sheet'!$C$71-'Term Sheet'!$C$72*(K119&lt;='Term Sheet'!$C$73)-'Term Sheet'!$C$72*(K119&lt;='Term Sheet'!$C$74)</f>
        <v>0.005</v>
      </c>
      <c r="M33" s="31">
        <f>'Term Sheet'!$C$71-'Term Sheet'!$C$72*(L119&lt;='Term Sheet'!$C$73)-'Term Sheet'!$C$72*(L119&lt;='Term Sheet'!$C$74)</f>
        <v>0.005</v>
      </c>
      <c r="N33" s="31">
        <f>'Term Sheet'!$C$71-'Term Sheet'!$C$72*(M119&lt;='Term Sheet'!$C$73)-'Term Sheet'!$C$72*(M119&lt;='Term Sheet'!$C$74)</f>
        <v>0.0024999999999999996</v>
      </c>
      <c r="O33" s="31">
        <f>'Term Sheet'!$C$71-'Term Sheet'!$C$72*(N119&lt;='Term Sheet'!$C$73)-'Term Sheet'!$C$72*(N119&lt;='Term Sheet'!$C$74)</f>
        <v>0.0024999999999999996</v>
      </c>
      <c r="P33" s="31">
        <f>'Term Sheet'!$C$71-'Term Sheet'!$C$72*(O119&lt;='Term Sheet'!$C$73)-'Term Sheet'!$C$72*(O119&lt;='Term Sheet'!$C$74)</f>
        <v>0.0024999999999999996</v>
      </c>
      <c r="Q33" s="31">
        <f>'Term Sheet'!$C$71-'Term Sheet'!$C$72*(P119&lt;='Term Sheet'!$C$73)-'Term Sheet'!$C$72*(P119&lt;='Term Sheet'!$C$74)</f>
        <v>0.0024999999999999996</v>
      </c>
      <c r="S33" s="31"/>
      <c r="T33" s="31">
        <f>'Term Sheet'!$C$71-'Term Sheet'!$C$72*(S119&lt;='Term Sheet'!$C$73)-'Term Sheet'!$C$72*(S119&lt;='Term Sheet'!$C$74)</f>
        <v>0.005</v>
      </c>
      <c r="U33" s="31">
        <f>'Term Sheet'!$C$71-'Term Sheet'!$C$72*(T119&lt;='Term Sheet'!$C$73)-'Term Sheet'!$C$72*(T119&lt;='Term Sheet'!$C$74)</f>
        <v>0.005</v>
      </c>
      <c r="V33" s="31">
        <f>'Term Sheet'!$C$71-'Term Sheet'!$C$72*(U119&lt;='Term Sheet'!$C$73)-'Term Sheet'!$C$72*(U119&lt;='Term Sheet'!$C$74)</f>
        <v>0.00375</v>
      </c>
      <c r="W33" s="31">
        <f>'Term Sheet'!$C$71-'Term Sheet'!$C$72*(V119&lt;='Term Sheet'!$C$73)-'Term Sheet'!$C$72*(V119&lt;='Term Sheet'!$C$74)</f>
        <v>0.0024999999999999996</v>
      </c>
      <c r="X33" s="31">
        <f>'Term Sheet'!$C$71-'Term Sheet'!$C$72*(W119&lt;='Term Sheet'!$C$73)-'Term Sheet'!$C$72*(W119&lt;='Term Sheet'!$C$74)</f>
        <v>0.0024999999999999996</v>
      </c>
      <c r="Y33" s="31">
        <f>'Term Sheet'!$C$71-'Term Sheet'!$C$72*(X119&lt;='Term Sheet'!$C$73)-'Term Sheet'!$C$72*(X119&lt;='Term Sheet'!$C$74)</f>
        <v>0.0024999999999999996</v>
      </c>
    </row>
    <row r="34">
      <c r="B34" t="s" s="9">
        <v>241</v>
      </c>
      <c r="C34" s="31"/>
      <c r="D34" s="31">
        <f>('Term Sheet'!$C$62*MAX(0,MIN(EDATE('Term Sheet'!$C$7,12),D$6)-MAX('Term Sheet'!$C$7+'Term Sheet'!$C$61,MAX('Term Sheet'!$C$7,EDATE(D$6,-12))))+'Term Sheet'!$C$63*MAX(0,MIN('Term Sheet'!$C$57,D$6)-MAX(EDATE('Term Sheet'!$C$7,12),MAX('Term Sheet'!$C$7,EDATE(D$6,-12)))))/(D$6-MAX('Term Sheet'!$C$7,EDATE(D$6,-12)))</f>
        <v>0.002619047619047619</v>
      </c>
      <c r="E34" s="31">
        <f>('Term Sheet'!$C$62*MAX(0,MIN(EDATE('Term Sheet'!$C$7,12),E$6)-MAX('Term Sheet'!$C$7+'Term Sheet'!$C$61,MAX('Term Sheet'!$C$7,EDATE(E$6,-12))))+'Term Sheet'!$C$63*MAX(0,MIN('Term Sheet'!$C$57,E$6)-MAX(EDATE('Term Sheet'!$C$7,12),MAX('Term Sheet'!$C$7,EDATE(E$6,-12)))))/(E$6-MAX('Term Sheet'!$C$7,EDATE(E$6,-12)))</f>
        <v>0.007589041095890411</v>
      </c>
      <c r="F34" s="31">
        <f>('Term Sheet'!$C$62*MAX(0,MIN(EDATE('Term Sheet'!$C$7,12),F$6)-MAX('Term Sheet'!$C$7+'Term Sheet'!$C$61,MAX('Term Sheet'!$C$7,EDATE(F$6,-12))))+'Term Sheet'!$C$63*MAX(0,MIN('Term Sheet'!$C$57,F$6)-MAX(EDATE('Term Sheet'!$C$7,12),MAX('Term Sheet'!$C$7,EDATE(F$6,-12)))))/(F$6-MAX('Term Sheet'!$C$7,EDATE(F$6,-12)))</f>
        <v>0.009836065573770493</v>
      </c>
      <c r="G34" s="31">
        <f>('Term Sheet'!$C$62*MAX(0,MIN(EDATE('Term Sheet'!$C$7,12),G$6)-MAX('Term Sheet'!$C$7+'Term Sheet'!$C$61,MAX('Term Sheet'!$C$7,EDATE(G$6,-12))))+'Term Sheet'!$C$63*MAX(0,MIN('Term Sheet'!$C$57,G$6)-MAX(EDATE('Term Sheet'!$C$7,12),MAX('Term Sheet'!$C$7,EDATE(G$6,-12)))))/(G$6-MAX('Term Sheet'!$C$7,EDATE(G$6,-12)))</f>
        <v>0</v>
      </c>
      <c r="H34" s="31">
        <f>('Term Sheet'!$C$62*MAX(0,MIN(EDATE('Term Sheet'!$C$7,12),H$6)-MAX('Term Sheet'!$C$7+'Term Sheet'!$C$61,MAX('Term Sheet'!$C$7,EDATE(H$6,-12))))+'Term Sheet'!$C$63*MAX(0,MIN('Term Sheet'!$C$57,H$6)-MAX(EDATE('Term Sheet'!$C$7,12),MAX('Term Sheet'!$C$7,EDATE(H$6,-12)))))/(H$6-MAX('Term Sheet'!$C$7,EDATE(H$6,-12)))</f>
        <v>0</v>
      </c>
      <c r="I34" s="31">
        <f>('Term Sheet'!$C$62*MAX(0,MIN(EDATE('Term Sheet'!$C$7,12),I$6)-MAX('Term Sheet'!$C$7+'Term Sheet'!$C$61,MAX('Term Sheet'!$C$7,EDATE(I$6,-12))))+'Term Sheet'!$C$63*MAX(0,MIN('Term Sheet'!$C$57,I$6)-MAX(EDATE('Term Sheet'!$C$7,12),MAX('Term Sheet'!$C$7,EDATE(I$6,-12)))))/(I$6-MAX('Term Sheet'!$C$7,EDATE(I$6,-12)))</f>
        <v>0</v>
      </c>
      <c r="J34" s="31"/>
      <c r="K34" s="31"/>
      <c r="L34" s="31">
        <f>('Term Sheet'!$C$62*MAX(0,MIN(EDATE('Term Sheet'!$C$7,12),L$6)-MAX('Term Sheet'!$C$7+'Term Sheet'!$C$61,MAX('Term Sheet'!$C$7,EDATE(L$6,-12))))+'Term Sheet'!$C$63*MAX(0,MIN('Term Sheet'!$C$57,L$6)-MAX(EDATE('Term Sheet'!$C$7,12),MAX('Term Sheet'!$C$7,EDATE(L$6,-12)))))/(L$6-MAX('Term Sheet'!$C$7,EDATE(L$6,-12)))</f>
        <v>0.002619047619047619</v>
      </c>
      <c r="M34" s="31">
        <f>('Term Sheet'!$C$62*MAX(0,MIN(EDATE('Term Sheet'!$C$7,12),M$6)-MAX('Term Sheet'!$C$7+'Term Sheet'!$C$61,MAX('Term Sheet'!$C$7,EDATE(M$6,-12))))+'Term Sheet'!$C$63*MAX(0,MIN('Term Sheet'!$C$57,M$6)-MAX(EDATE('Term Sheet'!$C$7,12),MAX('Term Sheet'!$C$7,EDATE(M$6,-12)))))/(M$6-MAX('Term Sheet'!$C$7,EDATE(M$6,-12)))</f>
        <v>0.007589041095890411</v>
      </c>
      <c r="N34" s="31">
        <f>('Term Sheet'!$C$62*MAX(0,MIN(EDATE('Term Sheet'!$C$7,12),N$6)-MAX('Term Sheet'!$C$7+'Term Sheet'!$C$61,MAX('Term Sheet'!$C$7,EDATE(N$6,-12))))+'Term Sheet'!$C$63*MAX(0,MIN('Term Sheet'!$C$57,N$6)-MAX(EDATE('Term Sheet'!$C$7,12),MAX('Term Sheet'!$C$7,EDATE(N$6,-12)))))/(N$6-MAX('Term Sheet'!$C$7,EDATE(N$6,-12)))</f>
        <v>0.009836065573770493</v>
      </c>
      <c r="O34" s="31">
        <f>('Term Sheet'!$C$62*MAX(0,MIN(EDATE('Term Sheet'!$C$7,12),O$6)-MAX('Term Sheet'!$C$7+'Term Sheet'!$C$61,MAX('Term Sheet'!$C$7,EDATE(O$6,-12))))+'Term Sheet'!$C$63*MAX(0,MIN('Term Sheet'!$C$57,O$6)-MAX(EDATE('Term Sheet'!$C$7,12),MAX('Term Sheet'!$C$7,EDATE(O$6,-12)))))/(O$6-MAX('Term Sheet'!$C$7,EDATE(O$6,-12)))</f>
        <v>0</v>
      </c>
      <c r="P34" s="31">
        <f>('Term Sheet'!$C$62*MAX(0,MIN(EDATE('Term Sheet'!$C$7,12),P$6)-MAX('Term Sheet'!$C$7+'Term Sheet'!$C$61,MAX('Term Sheet'!$C$7,EDATE(P$6,-12))))+'Term Sheet'!$C$63*MAX(0,MIN('Term Sheet'!$C$57,P$6)-MAX(EDATE('Term Sheet'!$C$7,12),MAX('Term Sheet'!$C$7,EDATE(P$6,-12)))))/(P$6-MAX('Term Sheet'!$C$7,EDATE(P$6,-12)))</f>
        <v>0</v>
      </c>
      <c r="Q34" s="31">
        <f>('Term Sheet'!$C$62*MAX(0,MIN(EDATE('Term Sheet'!$C$7,12),Q$6)-MAX('Term Sheet'!$C$7+'Term Sheet'!$C$61,MAX('Term Sheet'!$C$7,EDATE(Q$6,-12))))+'Term Sheet'!$C$63*MAX(0,MIN('Term Sheet'!$C$57,Q$6)-MAX(EDATE('Term Sheet'!$C$7,12),MAX('Term Sheet'!$C$7,EDATE(Q$6,-12)))))/(Q$6-MAX('Term Sheet'!$C$7,EDATE(Q$6,-12)))</f>
        <v>0</v>
      </c>
      <c r="S34" s="31"/>
      <c r="T34" s="31">
        <f>('Term Sheet'!$C$62*MAX(0,MIN(EDATE('Term Sheet'!$C$7,12),T$6)-MAX('Term Sheet'!$C$7+'Term Sheet'!$C$61,MAX('Term Sheet'!$C$7,EDATE(T$6,-12))))+'Term Sheet'!$C$63*MAX(0,MIN('Term Sheet'!$C$57,T$6)-MAX(EDATE('Term Sheet'!$C$7,12),MAX('Term Sheet'!$C$7,EDATE(T$6,-12)))))/(T$6-MAX('Term Sheet'!$C$7,EDATE(T$6,-12)))</f>
        <v>0.002619047619047619</v>
      </c>
      <c r="U34" s="31">
        <f>('Term Sheet'!$C$62*MAX(0,MIN(EDATE('Term Sheet'!$C$7,12),U$6)-MAX('Term Sheet'!$C$7+'Term Sheet'!$C$61,MAX('Term Sheet'!$C$7,EDATE(U$6,-12))))+'Term Sheet'!$C$63*MAX(0,MIN('Term Sheet'!$C$57,U$6)-MAX(EDATE('Term Sheet'!$C$7,12),MAX('Term Sheet'!$C$7,EDATE(U$6,-12)))))/(U$6-MAX('Term Sheet'!$C$7,EDATE(U$6,-12)))</f>
        <v>0.007589041095890411</v>
      </c>
      <c r="V34" s="31">
        <f>('Term Sheet'!$C$62*MAX(0,MIN(EDATE('Term Sheet'!$C$7,12),V$6)-MAX('Term Sheet'!$C$7+'Term Sheet'!$C$61,MAX('Term Sheet'!$C$7,EDATE(V$6,-12))))+'Term Sheet'!$C$63*MAX(0,MIN('Term Sheet'!$C$57,V$6)-MAX(EDATE('Term Sheet'!$C$7,12),MAX('Term Sheet'!$C$7,EDATE(V$6,-12)))))/(V$6-MAX('Term Sheet'!$C$7,EDATE(V$6,-12)))</f>
        <v>0.009836065573770493</v>
      </c>
      <c r="W34" s="31">
        <f>('Term Sheet'!$C$62*MAX(0,MIN(EDATE('Term Sheet'!$C$7,12),W$6)-MAX('Term Sheet'!$C$7+'Term Sheet'!$C$61,MAX('Term Sheet'!$C$7,EDATE(W$6,-12))))+'Term Sheet'!$C$63*MAX(0,MIN('Term Sheet'!$C$57,W$6)-MAX(EDATE('Term Sheet'!$C$7,12),MAX('Term Sheet'!$C$7,EDATE(W$6,-12)))))/(W$6-MAX('Term Sheet'!$C$7,EDATE(W$6,-12)))</f>
        <v>0</v>
      </c>
      <c r="X34" s="31">
        <f>('Term Sheet'!$C$62*MAX(0,MIN(EDATE('Term Sheet'!$C$7,12),X$6)-MAX('Term Sheet'!$C$7+'Term Sheet'!$C$61,MAX('Term Sheet'!$C$7,EDATE(X$6,-12))))+'Term Sheet'!$C$63*MAX(0,MIN('Term Sheet'!$C$57,X$6)-MAX(EDATE('Term Sheet'!$C$7,12),MAX('Term Sheet'!$C$7,EDATE(X$6,-12)))))/(X$6-MAX('Term Sheet'!$C$7,EDATE(X$6,-12)))</f>
        <v>0</v>
      </c>
      <c r="Y34" s="31">
        <f>('Term Sheet'!$C$62*MAX(0,MIN(EDATE('Term Sheet'!$C$7,12),Y$6)-MAX('Term Sheet'!$C$7+'Term Sheet'!$C$61,MAX('Term Sheet'!$C$7,EDATE(Y$6,-12))))+'Term Sheet'!$C$63*MAX(0,MIN('Term Sheet'!$C$57,Y$6)-MAX(EDATE('Term Sheet'!$C$7,12),MAX('Term Sheet'!$C$7,EDATE(Y$6,-12)))))/(Y$6-MAX('Term Sheet'!$C$7,EDATE(Y$6,-12)))</f>
        <v>0</v>
      </c>
    </row>
    <row r="35">
      <c r="B35" t="s" s="9">
        <v>242</v>
      </c>
      <c r="C35" s="12"/>
      <c r="D35" s="12">
        <f>D26</f>
        <v>0.0353</v>
      </c>
      <c r="E35" s="12">
        <f>E26</f>
        <v>0.0353</v>
      </c>
      <c r="F35" s="12">
        <f>F26</f>
        <v>0.0353</v>
      </c>
      <c r="G35" s="12">
        <f>G26</f>
        <v>0.0353</v>
      </c>
      <c r="H35" s="12">
        <f>H26</f>
        <v>0.0353</v>
      </c>
      <c r="I35" s="12">
        <f>I26</f>
        <v>0.0353</v>
      </c>
      <c r="J35" s="12"/>
      <c r="K35" s="12"/>
      <c r="L35" s="12">
        <f>L26</f>
        <v>0.0353</v>
      </c>
      <c r="M35" s="12">
        <f>M26</f>
        <v>0.0353</v>
      </c>
      <c r="N35" s="12">
        <f>N26</f>
        <v>0.0353</v>
      </c>
      <c r="O35" s="12">
        <f>O26</f>
        <v>0.0353</v>
      </c>
      <c r="P35" s="12">
        <f>P26</f>
        <v>0.0353</v>
      </c>
      <c r="Q35" s="12">
        <f>Q26</f>
        <v>0.0353</v>
      </c>
      <c r="S35" s="12"/>
      <c r="T35" s="12">
        <f>T26</f>
        <v>0.0353</v>
      </c>
      <c r="U35" s="12">
        <f>U26</f>
        <v>0.0353</v>
      </c>
      <c r="V35" s="12">
        <f>V26</f>
        <v>0.0353</v>
      </c>
      <c r="W35" s="12">
        <f>W26</f>
        <v>0.0353</v>
      </c>
      <c r="X35" s="12">
        <f>X26</f>
        <v>0.0353</v>
      </c>
      <c r="Y35" s="12">
        <f>Y26</f>
        <v>0.0353</v>
      </c>
    </row>
    <row r="36">
      <c r="S36"/>
      <c r="T36"/>
      <c r="U36"/>
      <c r="V36"/>
      <c r="W36"/>
      <c r="X36"/>
      <c r="Y36"/>
    </row>
    <row r="37">
      <c r="B37" t="s" s="34">
        <v>243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>
      <c r="B38" t="s" s="9">
        <v>244</v>
      </c>
      <c r="C38" s="10"/>
      <c r="D38" s="10">
        <f>D23</f>
        <v>89.17061440623087</v>
      </c>
      <c r="E38" s="10">
        <f>E23</f>
        <v>227.109547846625</v>
      </c>
      <c r="F38" s="10">
        <f>F23</f>
        <v>270.9251581580244</v>
      </c>
      <c r="G38" s="10">
        <f>G23</f>
        <v>318.2522605391023</v>
      </c>
      <c r="H38" s="10">
        <f>H23</f>
        <v>363.96906609455505</v>
      </c>
      <c r="I38" s="10">
        <f>I23</f>
        <v>412.6799229707839</v>
      </c>
      <c r="J38" s="10"/>
      <c r="K38" s="10"/>
      <c r="L38" s="10">
        <f>L23</f>
        <v>92.92994746702246</v>
      </c>
      <c r="M38" s="10">
        <f>M23</f>
        <v>260.0933813221918</v>
      </c>
      <c r="N38" s="10">
        <f>N23</f>
        <v>352.94337721241646</v>
      </c>
      <c r="O38" s="10">
        <f>O23</f>
        <v>460.59153708592345</v>
      </c>
      <c r="P38" s="10">
        <f>P23</f>
        <v>579.9847251517535</v>
      </c>
      <c r="Q38" s="10">
        <f>Q23</f>
        <v>702.0236251354706</v>
      </c>
      <c r="S38" s="10"/>
      <c r="T38" s="10">
        <f>T23</f>
        <v>78.7295061790618</v>
      </c>
      <c r="U38" s="10">
        <f>U23</f>
        <v>195.2149130000479</v>
      </c>
      <c r="V38" s="10">
        <f>V23</f>
        <v>224.89732151095015</v>
      </c>
      <c r="W38" s="10">
        <f>W23</f>
        <v>255.37548958422536</v>
      </c>
      <c r="X38" s="10">
        <f>X23</f>
        <v>282.0256719456487</v>
      </c>
      <c r="Y38" s="10">
        <f>Y23</f>
        <v>308.95613177382614</v>
      </c>
    </row>
    <row r="39">
      <c r="B39" t="s" s="9">
        <v>245</v>
      </c>
      <c r="C39" s="10"/>
      <c r="D39" s="10">
        <f>-D100</f>
        <v>-82.85512428445894</v>
      </c>
      <c r="E39" s="10">
        <f>-E100</f>
        <v>-163.33929228091063</v>
      </c>
      <c r="F39" s="10">
        <f>-F100</f>
        <v>-188.17811352082558</v>
      </c>
      <c r="G39" s="10">
        <f>-G100</f>
        <v>-204.38024977381028</v>
      </c>
      <c r="H39" s="10">
        <f>-H100</f>
        <v>-193.09775921752387</v>
      </c>
      <c r="I39" s="10">
        <f>-I100</f>
        <v>-177.08005501658883</v>
      </c>
      <c r="J39" s="10"/>
      <c r="K39" s="10"/>
      <c r="L39" s="10">
        <f>-L100</f>
        <v>-82.85512428445894</v>
      </c>
      <c r="M39" s="10">
        <f>-M100</f>
        <v>-162.22849019853012</v>
      </c>
      <c r="N39" s="10">
        <f>-N100</f>
        <v>-182.5930745909048</v>
      </c>
      <c r="O39" s="10">
        <f>-O100</f>
        <v>-188.33949709731874</v>
      </c>
      <c r="P39" s="10">
        <f>-P100</f>
        <v>-161.2543038532502</v>
      </c>
      <c r="Q39" s="10">
        <f>-Q100</f>
        <v>-122.20476115593415</v>
      </c>
      <c r="S39" s="10"/>
      <c r="T39" s="10">
        <f>-T100</f>
        <v>-82.90989670264447</v>
      </c>
      <c r="U39" s="10">
        <f>-U100</f>
        <v>-164.73251873327487</v>
      </c>
      <c r="V39" s="10">
        <f>-V100</f>
        <v>-193.3483120680028</v>
      </c>
      <c r="W39" s="10">
        <f>-W100</f>
        <v>-214.74131985139556</v>
      </c>
      <c r="X39" s="10">
        <f>-X100</f>
        <v>-210.15906410193233</v>
      </c>
      <c r="Y39" s="10">
        <f>-Y100</f>
        <v>-203.0372323746091</v>
      </c>
    </row>
    <row r="40">
      <c r="B40" t="s" s="9">
        <v>246</v>
      </c>
      <c r="C40" s="10"/>
      <c r="D40" s="10">
        <f>D104</f>
        <v>1.44179351954766</v>
      </c>
      <c r="E40" s="10">
        <f>E104</f>
        <v>2.784416056269291</v>
      </c>
      <c r="F40" s="10">
        <f>F104</f>
        <v>2.6475</v>
      </c>
      <c r="G40" s="10">
        <f>G104</f>
        <v>2.6475</v>
      </c>
      <c r="H40" s="10">
        <f>H104</f>
        <v>2.6475</v>
      </c>
      <c r="I40" s="10">
        <f>I104</f>
        <v>2.6475</v>
      </c>
      <c r="J40" s="10"/>
      <c r="K40" s="10"/>
      <c r="L40" s="10">
        <f>L104</f>
        <v>1.4764681512213869</v>
      </c>
      <c r="M40" s="10">
        <f>M104</f>
        <v>2.851380292041303</v>
      </c>
      <c r="N40" s="10">
        <f>N104</f>
        <v>2.6475</v>
      </c>
      <c r="O40" s="10">
        <f>O104</f>
        <v>2.6475</v>
      </c>
      <c r="P40" s="10">
        <f>P104</f>
        <v>2.6475</v>
      </c>
      <c r="Q40" s="10">
        <f>Q104</f>
        <v>2.6475</v>
      </c>
      <c r="S40" s="10"/>
      <c r="T40" s="10">
        <f>T104</f>
        <v>1.3708972602737204</v>
      </c>
      <c r="U40" s="10">
        <f>U104</f>
        <v>2.647499999998486</v>
      </c>
      <c r="V40" s="10">
        <f>V104</f>
        <v>2.6475</v>
      </c>
      <c r="W40" s="10">
        <f>W104</f>
        <v>2.6475</v>
      </c>
      <c r="X40" s="10">
        <f>X104</f>
        <v>2.6475</v>
      </c>
      <c r="Y40" s="10">
        <f>Y104</f>
        <v>2.6475</v>
      </c>
    </row>
    <row r="41">
      <c r="B41" t="s" s="9">
        <v>247</v>
      </c>
      <c r="C41" s="10"/>
      <c r="D41" s="10">
        <f>D68+D79</f>
        <v>0</v>
      </c>
      <c r="E41" s="10">
        <f>E68+E79</f>
        <v>0</v>
      </c>
      <c r="F41" s="10">
        <f>F68+F79</f>
        <v>0</v>
      </c>
      <c r="G41" s="10">
        <f>G68+G79</f>
        <v>0</v>
      </c>
      <c r="H41" s="10">
        <f>H68+H79</f>
        <v>0</v>
      </c>
      <c r="I41" s="10">
        <f>I68+I79</f>
        <v>0</v>
      </c>
      <c r="J41" s="10"/>
      <c r="K41" s="10"/>
      <c r="L41" s="10">
        <f>L68+L79</f>
        <v>0</v>
      </c>
      <c r="M41" s="10">
        <f>M68+M79</f>
        <v>0</v>
      </c>
      <c r="N41" s="10">
        <f>N68+N79</f>
        <v>0</v>
      </c>
      <c r="O41" s="10">
        <f>O68+O79</f>
        <v>0</v>
      </c>
      <c r="P41" s="10">
        <f>P68+P79</f>
        <v>0</v>
      </c>
      <c r="Q41" s="10">
        <f>Q68+Q79</f>
        <v>0</v>
      </c>
      <c r="S41" s="10"/>
      <c r="T41" s="10">
        <f>T68+T79</f>
        <v>0</v>
      </c>
      <c r="U41" s="10">
        <f>U68+U79</f>
        <v>0</v>
      </c>
      <c r="V41" s="10">
        <f>V68+V79</f>
        <v>0</v>
      </c>
      <c r="W41" s="10">
        <f>W68+W79</f>
        <v>0</v>
      </c>
      <c r="X41" s="10">
        <f>X68+X79</f>
        <v>0</v>
      </c>
      <c r="Y41" s="10">
        <f>Y68+Y79</f>
        <v>0</v>
      </c>
    </row>
    <row r="42">
      <c r="B42" t="s" s="9">
        <v>248</v>
      </c>
      <c r="C42" s="10"/>
      <c r="D42" s="10">
        <f>-D77</f>
        <v>0</v>
      </c>
      <c r="E42" s="10">
        <f>-E77</f>
        <v>0</v>
      </c>
      <c r="F42" s="10">
        <f>-F77</f>
        <v>0</v>
      </c>
      <c r="G42" s="10">
        <f>-G77</f>
        <v>0</v>
      </c>
      <c r="H42" s="10">
        <f>-H77</f>
        <v>0</v>
      </c>
      <c r="I42" s="10">
        <f>-I77</f>
        <v>0</v>
      </c>
      <c r="J42" s="10"/>
      <c r="K42" s="10"/>
      <c r="L42" s="10">
        <f>-L77</f>
        <v>0</v>
      </c>
      <c r="M42" s="10">
        <f>-M77</f>
        <v>0</v>
      </c>
      <c r="N42" s="10">
        <f>-N77</f>
        <v>0</v>
      </c>
      <c r="O42" s="10">
        <f>-O77</f>
        <v>0</v>
      </c>
      <c r="P42" s="10">
        <f>-P77</f>
        <v>0</v>
      </c>
      <c r="Q42" s="10">
        <f>-Q77</f>
        <v>0</v>
      </c>
      <c r="S42" s="10"/>
      <c r="T42" s="10">
        <f>-T77</f>
        <v>0</v>
      </c>
      <c r="U42" s="10">
        <f>-U77</f>
        <v>0</v>
      </c>
      <c r="V42" s="10">
        <f>-V77</f>
        <v>0</v>
      </c>
      <c r="W42" s="10">
        <f>-W77</f>
        <v>0</v>
      </c>
      <c r="X42" s="10">
        <f>-X77</f>
        <v>0</v>
      </c>
      <c r="Y42" s="10">
        <f>-Y77</f>
        <v>0</v>
      </c>
    </row>
    <row r="43">
      <c r="B43" t="s" s="9">
        <v>249</v>
      </c>
      <c r="C43" s="10"/>
      <c r="D43" s="10">
        <f>D77</f>
        <v>0</v>
      </c>
      <c r="E43" s="10">
        <f>E77</f>
        <v>0</v>
      </c>
      <c r="F43" s="10">
        <f>F77</f>
        <v>0</v>
      </c>
      <c r="G43" s="10">
        <f>G77</f>
        <v>0</v>
      </c>
      <c r="H43" s="10">
        <f>H77</f>
        <v>0</v>
      </c>
      <c r="I43" s="10">
        <f>I77</f>
        <v>0</v>
      </c>
      <c r="J43" s="10"/>
      <c r="K43" s="10"/>
      <c r="L43" s="10">
        <f>L77</f>
        <v>0</v>
      </c>
      <c r="M43" s="10">
        <f>M77</f>
        <v>0</v>
      </c>
      <c r="N43" s="10">
        <f>N77</f>
        <v>0</v>
      </c>
      <c r="O43" s="10">
        <f>O77</f>
        <v>0</v>
      </c>
      <c r="P43" s="10">
        <f>P77</f>
        <v>0</v>
      </c>
      <c r="Q43" s="10">
        <f>Q77</f>
        <v>0</v>
      </c>
      <c r="S43" s="10"/>
      <c r="T43" s="10">
        <f>T77</f>
        <v>0</v>
      </c>
      <c r="U43" s="10">
        <f>U77</f>
        <v>0</v>
      </c>
      <c r="V43" s="10">
        <f>V77</f>
        <v>0</v>
      </c>
      <c r="W43" s="10">
        <f>W77</f>
        <v>0</v>
      </c>
      <c r="X43" s="10">
        <f>X77</f>
        <v>0</v>
      </c>
      <c r="Y43" s="10">
        <f>Y77</f>
        <v>0</v>
      </c>
    </row>
    <row r="44">
      <c r="A44"/>
      <c r="B44" t="s" s="9">
        <v>531</v>
      </c>
      <c r="C44" s="10"/>
      <c r="D44" s="10">
        <f>-MAX(0,'Term Sheet'!$C$100*MAX(0,MIN(D$6,'Term Sheet'!$C$101)-MAX('Term Sheet'!$C$7,EDATE(D$6,-12)))/('Term Sheet'!$C$101-'Term Sheet'!$C$7)-D12*D7)</f>
        <v>0</v>
      </c>
      <c r="E44" s="10">
        <f>-MAX(0,'Term Sheet'!$C$100*MAX(0,MIN(E$6,'Term Sheet'!$C$101)-MAX('Term Sheet'!$C$7,EDATE(E$6,-12)))/('Term Sheet'!$C$101-'Term Sheet'!$C$7)-E12*E7)</f>
        <v>0</v>
      </c>
      <c r="F44" s="10">
        <f>-MAX(0,'Term Sheet'!$C$100*MAX(0,MIN(F$6,'Term Sheet'!$C$101)-MAX('Term Sheet'!$C$7,EDATE(F$6,-12)))/('Term Sheet'!$C$101-'Term Sheet'!$C$7)-F12*F7)</f>
        <v>0</v>
      </c>
      <c r="G44" s="10">
        <f>-MAX(0,'Term Sheet'!$C$100*MAX(0,MIN(G$6,'Term Sheet'!$C$101)-MAX('Term Sheet'!$C$7,EDATE(G$6,-12)))/('Term Sheet'!$C$101-'Term Sheet'!$C$7)-G12*G7)</f>
        <v>0</v>
      </c>
      <c r="H44" s="10">
        <f>-MAX(0,'Term Sheet'!$C$100*MAX(0,MIN(H$6,'Term Sheet'!$C$101)-MAX('Term Sheet'!$C$7,EDATE(H$6,-12)))/('Term Sheet'!$C$101-'Term Sheet'!$C$7)-H12*H7)</f>
        <v>0</v>
      </c>
      <c r="I44" s="10">
        <f>-MAX(0,'Term Sheet'!$C$100*MAX(0,MIN(I$6,'Term Sheet'!$C$101)-MAX('Term Sheet'!$C$7,EDATE(I$6,-12)))/('Term Sheet'!$C$101-'Term Sheet'!$C$7)-I12*I7)</f>
        <v>0</v>
      </c>
      <c r="J44" s="10"/>
      <c r="K44" s="10"/>
      <c r="L44" s="10">
        <f>-MAX(0,'Term Sheet'!$C$100*MAX(0,MIN(L$6,'Term Sheet'!$C$101)-MAX('Term Sheet'!$C$7,EDATE(L$6,-12)))/('Term Sheet'!$C$101-'Term Sheet'!$C$7)-L12*L7)</f>
        <v>0</v>
      </c>
      <c r="M44" s="10">
        <f>-MAX(0,'Term Sheet'!$C$100*MAX(0,MIN(M$6,'Term Sheet'!$C$101)-MAX('Term Sheet'!$C$7,EDATE(M$6,-12)))/('Term Sheet'!$C$101-'Term Sheet'!$C$7)-M12*M7)</f>
        <v>0</v>
      </c>
      <c r="N44" s="10">
        <f>-MAX(0,'Term Sheet'!$C$100*MAX(0,MIN(N$6,'Term Sheet'!$C$101)-MAX('Term Sheet'!$C$7,EDATE(N$6,-12)))/('Term Sheet'!$C$101-'Term Sheet'!$C$7)-N12*N7)</f>
        <v>0</v>
      </c>
      <c r="O44" s="10">
        <f>-MAX(0,'Term Sheet'!$C$100*MAX(0,MIN(O$6,'Term Sheet'!$C$101)-MAX('Term Sheet'!$C$7,EDATE(O$6,-12)))/('Term Sheet'!$C$101-'Term Sheet'!$C$7)-O12*O7)</f>
        <v>0</v>
      </c>
      <c r="P44" s="10">
        <f>-MAX(0,'Term Sheet'!$C$100*MAX(0,MIN(P$6,'Term Sheet'!$C$101)-MAX('Term Sheet'!$C$7,EDATE(P$6,-12)))/('Term Sheet'!$C$101-'Term Sheet'!$C$7)-P12*P7)</f>
        <v>0</v>
      </c>
      <c r="Q44" s="10">
        <f>-MAX(0,'Term Sheet'!$C$100*MAX(0,MIN(Q$6,'Term Sheet'!$C$101)-MAX('Term Sheet'!$C$7,EDATE(Q$6,-12)))/('Term Sheet'!$C$101-'Term Sheet'!$C$7)-Q12*Q7)</f>
        <v>0</v>
      </c>
      <c r="R44"/>
      <c r="S44" s="10"/>
      <c r="T44" s="10">
        <f>-MAX(0,'Term Sheet'!$C$100*MAX(0,MIN(T$6,'Term Sheet'!$C$101)-MAX('Term Sheet'!$C$7,EDATE(T$6,-12)))/('Term Sheet'!$C$101-'Term Sheet'!$C$7)-T12*T7)</f>
        <v>0</v>
      </c>
      <c r="U44" s="10">
        <f>-MAX(0,'Term Sheet'!$C$100*MAX(0,MIN(U$6,'Term Sheet'!$C$101)-MAX('Term Sheet'!$C$7,EDATE(U$6,-12)))/('Term Sheet'!$C$101-'Term Sheet'!$C$7)-U12*U7)</f>
        <v>0</v>
      </c>
      <c r="V44" s="10">
        <f>-MAX(0,'Term Sheet'!$C$100*MAX(0,MIN(V$6,'Term Sheet'!$C$101)-MAX('Term Sheet'!$C$7,EDATE(V$6,-12)))/('Term Sheet'!$C$101-'Term Sheet'!$C$7)-V12*V7)</f>
        <v>0</v>
      </c>
      <c r="W44" s="10">
        <f>-MAX(0,'Term Sheet'!$C$100*MAX(0,MIN(W$6,'Term Sheet'!$C$101)-MAX('Term Sheet'!$C$7,EDATE(W$6,-12)))/('Term Sheet'!$C$101-'Term Sheet'!$C$7)-W12*W7)</f>
        <v>0</v>
      </c>
      <c r="X44" s="10">
        <f>-MAX(0,'Term Sheet'!$C$100*MAX(0,MIN(X$6,'Term Sheet'!$C$101)-MAX('Term Sheet'!$C$7,EDATE(X$6,-12)))/('Term Sheet'!$C$101-'Term Sheet'!$C$7)-X12*X7)</f>
        <v>0</v>
      </c>
      <c r="Y44" s="10">
        <f>-MAX(0,'Term Sheet'!$C$100*MAX(0,MIN(Y$6,'Term Sheet'!$C$101)-MAX('Term Sheet'!$C$7,EDATE(Y$6,-12)))/('Term Sheet'!$C$101-'Term Sheet'!$C$7)-Y12*Y7)</f>
        <v>0</v>
      </c>
    </row>
    <row r="45">
      <c r="B45" t="s" s="9">
        <v>250</v>
      </c>
      <c r="C45" s="10"/>
      <c r="D45" s="10">
        <f>D107-'Term Sheet'!$C$10</f>
        <v>0</v>
      </c>
      <c r="E45" s="10">
        <f>E107-'Term Sheet'!$C$10</f>
        <v>7.757283641319589</v>
      </c>
      <c r="F45" s="10">
        <f>F107-'Term Sheet'!$C$10</f>
        <v>0</v>
      </c>
      <c r="G45" s="10">
        <f>G107-'Term Sheet'!$C$10</f>
        <v>0</v>
      </c>
      <c r="H45" s="10">
        <f>H107-'Term Sheet'!$C$10</f>
        <v>0</v>
      </c>
      <c r="I45" s="10">
        <f>I107-'Term Sheet'!$C$10</f>
        <v>0</v>
      </c>
      <c r="J45" s="10"/>
      <c r="K45" s="10"/>
      <c r="L45" s="10">
        <f>L107-'Term Sheet'!$C$10</f>
        <v>0</v>
      </c>
      <c r="M45" s="10">
        <f>M107-'Term Sheet'!$C$10</f>
        <v>11.551291333784903</v>
      </c>
      <c r="N45" s="10">
        <f>N107-'Term Sheet'!$C$10</f>
        <v>0</v>
      </c>
      <c r="O45" s="10">
        <f>O107-'Term Sheet'!$C$10</f>
        <v>0</v>
      </c>
      <c r="P45" s="10">
        <f>P107-'Term Sheet'!$C$10</f>
        <v>0</v>
      </c>
      <c r="Q45" s="10">
        <f>Q107-'Term Sheet'!$C$10</f>
        <v>0</v>
      </c>
      <c r="S45" s="10"/>
      <c r="T45" s="10">
        <f>T107-'Term Sheet'!$C$10</f>
        <v>0</v>
      </c>
      <c r="U45" s="10">
        <f>U107-'Term Sheet'!$C$10</f>
        <v>-0.00000000002759747985692229</v>
      </c>
      <c r="V45" s="10">
        <f>V107-'Term Sheet'!$C$10</f>
        <v>0</v>
      </c>
      <c r="W45" s="10">
        <f>W107-'Term Sheet'!$C$10</f>
        <v>0</v>
      </c>
      <c r="X45" s="10">
        <f>X107-'Term Sheet'!$C$10</f>
        <v>0</v>
      </c>
      <c r="Y45" s="10">
        <f>Y107-'Term Sheet'!$C$10</f>
        <v>0</v>
      </c>
    </row>
    <row r="46">
      <c r="B46" t="s" s="41">
        <v>251</v>
      </c>
      <c r="C46" s="42"/>
      <c r="D46" s="42">
        <f>SUM(D38:D45)</f>
        <v>7.7572836413195905</v>
      </c>
      <c r="E46" s="42">
        <f>SUM(E38:E45)</f>
        <v>74.31195526330325</v>
      </c>
      <c r="F46" s="42">
        <f>SUM(F38:F45)</f>
        <v>85.39454463719879</v>
      </c>
      <c r="G46" s="42">
        <f>SUM(G38:G45)</f>
        <v>116.519510765292</v>
      </c>
      <c r="H46" s="42">
        <f>SUM(H38:H45)</f>
        <v>173.51880687703118</v>
      </c>
      <c r="I46" s="42">
        <f>SUM(I38:I45)</f>
        <v>238.24736795419506</v>
      </c>
      <c r="J46" s="10"/>
      <c r="K46" s="42"/>
      <c r="L46" s="42">
        <f>SUM(L38:L45)</f>
        <v>11.551291333784906</v>
      </c>
      <c r="M46" s="42">
        <f>SUM(M38:M45)</f>
        <v>112.2675627494879</v>
      </c>
      <c r="N46" s="42">
        <f>SUM(N38:N45)</f>
        <v>172.99780262151168</v>
      </c>
      <c r="O46" s="42">
        <f>SUM(O38:O45)</f>
        <v>274.89953998860466</v>
      </c>
      <c r="P46" s="42">
        <f>SUM(P38:P45)</f>
        <v>421.3779212985033</v>
      </c>
      <c r="Q46" s="42">
        <f>SUM(Q38:Q45)</f>
        <v>582.4663639795365</v>
      </c>
      <c r="S46" s="42"/>
      <c r="T46" s="42">
        <f>SUM(T38:T45)</f>
        <v>-2.809493263308953</v>
      </c>
      <c r="U46" s="42">
        <f>SUM(U38:U45)</f>
        <v>33.129894266743904</v>
      </c>
      <c r="V46" s="42">
        <f>SUM(V38:V45)</f>
        <v>34.19650944294735</v>
      </c>
      <c r="W46" s="42">
        <f>SUM(W38:W45)</f>
        <v>43.281669732829805</v>
      </c>
      <c r="X46" s="42">
        <f>SUM(X38:X45)</f>
        <v>74.51410784371636</v>
      </c>
      <c r="Y46" s="42">
        <f>SUM(Y38:Y45)</f>
        <v>108.56639939921705</v>
      </c>
    </row>
    <row r="47">
      <c r="B47" t="s" s="9">
        <v>252</v>
      </c>
      <c r="C47" s="10"/>
      <c r="D47" s="10">
        <f>D59</f>
        <v>0</v>
      </c>
      <c r="E47" s="10">
        <f>E59</f>
        <v>0</v>
      </c>
      <c r="F47" s="10">
        <f>F59</f>
        <v>0</v>
      </c>
      <c r="G47" s="10">
        <f>G59</f>
        <v>0</v>
      </c>
      <c r="H47" s="10">
        <f>H59</f>
        <v>0</v>
      </c>
      <c r="I47" s="10">
        <f>I59</f>
        <v>0</v>
      </c>
      <c r="J47" s="10"/>
      <c r="K47" s="10"/>
      <c r="L47" s="10">
        <f>L59</f>
        <v>0</v>
      </c>
      <c r="M47" s="10">
        <f>M59</f>
        <v>0</v>
      </c>
      <c r="N47" s="10">
        <f>N59</f>
        <v>0</v>
      </c>
      <c r="O47" s="10">
        <f>O59</f>
        <v>0</v>
      </c>
      <c r="P47" s="10">
        <f>P59</f>
        <v>0</v>
      </c>
      <c r="Q47" s="10">
        <f>Q59</f>
        <v>0</v>
      </c>
      <c r="S47" s="10"/>
      <c r="T47" s="10">
        <f>T59</f>
        <v>2.809493263309655</v>
      </c>
      <c r="U47" s="10">
        <f>U59</f>
        <v>-2.8094932633189496</v>
      </c>
      <c r="V47" s="10">
        <f>V59</f>
        <v>0</v>
      </c>
      <c r="W47" s="10">
        <f>W59</f>
        <v>0</v>
      </c>
      <c r="X47" s="10">
        <f>X59</f>
        <v>0</v>
      </c>
      <c r="Y47" s="10">
        <f>Y59</f>
        <v>0</v>
      </c>
    </row>
    <row r="48">
      <c r="B48" t="s" s="41">
        <v>253</v>
      </c>
      <c r="C48" s="42"/>
      <c r="D48" s="42">
        <f>D46+D47</f>
        <v>7.7572836413195905</v>
      </c>
      <c r="E48" s="42">
        <f>E46+E47</f>
        <v>74.31195526330325</v>
      </c>
      <c r="F48" s="42">
        <f>F46+F47</f>
        <v>85.39454463719879</v>
      </c>
      <c r="G48" s="42">
        <f>G46+G47</f>
        <v>116.519510765292</v>
      </c>
      <c r="H48" s="42">
        <f>H46+H47</f>
        <v>173.51880687703118</v>
      </c>
      <c r="I48" s="42">
        <f>I46+I47</f>
        <v>238.24736795419506</v>
      </c>
      <c r="J48" s="10"/>
      <c r="K48" s="42"/>
      <c r="L48" s="42">
        <f>L46+L47</f>
        <v>11.551291333784906</v>
      </c>
      <c r="M48" s="42">
        <f>M46+M47</f>
        <v>112.2675627494879</v>
      </c>
      <c r="N48" s="42">
        <f>N46+N47</f>
        <v>172.99780262151168</v>
      </c>
      <c r="O48" s="42">
        <f>O46+O47</f>
        <v>274.89953998860466</v>
      </c>
      <c r="P48" s="42">
        <f>P46+P47</f>
        <v>421.3779212985033</v>
      </c>
      <c r="Q48" s="42">
        <f>Q46+Q47</f>
        <v>582.4663639795365</v>
      </c>
      <c r="S48" s="42"/>
      <c r="T48" s="42">
        <f>T46+T47</f>
        <v>0.000000000000702105040772949</v>
      </c>
      <c r="U48" s="42">
        <f>U46+U47</f>
        <v>30.320401003424955</v>
      </c>
      <c r="V48" s="42">
        <f>V46+V47</f>
        <v>34.19650944294735</v>
      </c>
      <c r="W48" s="42">
        <f>W46+W47</f>
        <v>43.281669732829805</v>
      </c>
      <c r="X48" s="42">
        <f>X46+X47</f>
        <v>74.51410784371636</v>
      </c>
      <c r="Y48" s="42">
        <f>Y46+Y47</f>
        <v>108.56639939921705</v>
      </c>
    </row>
    <row r="49">
      <c r="B49" t="s" s="9">
        <v>254</v>
      </c>
      <c r="C49" s="24"/>
      <c r="D49" s="24">
        <f>IF(D$6&lt;'Term Sheet'!$C$46,0,IF(C119&lt;='Term Sheet'!$C$42,'Term Sheet'!$C$43,IF(C119&lt;='Term Sheet'!$C$40,'Term Sheet'!$C$41,'Term Sheet'!$C$39)))</f>
        <v>0</v>
      </c>
      <c r="E49" s="24">
        <f>IF(E$6&lt;'Term Sheet'!$C$46,0,IF(D119&lt;='Term Sheet'!$C$42,'Term Sheet'!$C$43,IF(D119&lt;='Term Sheet'!$C$40,'Term Sheet'!$C$41,'Term Sheet'!$C$39)))</f>
        <v>0.5</v>
      </c>
      <c r="F49" s="24">
        <f>IF(F$6&lt;'Term Sheet'!$C$46,0,IF(E119&lt;='Term Sheet'!$C$42,'Term Sheet'!$C$43,IF(E119&lt;='Term Sheet'!$C$40,'Term Sheet'!$C$41,'Term Sheet'!$C$39)))</f>
        <v>0</v>
      </c>
      <c r="G49" s="24">
        <f>IF(G$6&lt;'Term Sheet'!$C$46,0,IF(F119&lt;='Term Sheet'!$C$42,'Term Sheet'!$C$43,IF(F119&lt;='Term Sheet'!$C$40,'Term Sheet'!$C$41,'Term Sheet'!$C$39)))</f>
        <v>0</v>
      </c>
      <c r="H49" s="24">
        <f>IF(H$6&lt;'Term Sheet'!$C$46,0,IF(G119&lt;='Term Sheet'!$C$42,'Term Sheet'!$C$43,IF(G119&lt;='Term Sheet'!$C$40,'Term Sheet'!$C$41,'Term Sheet'!$C$39)))</f>
        <v>0</v>
      </c>
      <c r="I49" s="24">
        <f>IF(I$6&lt;'Term Sheet'!$C$46,0,IF(H119&lt;='Term Sheet'!$C$42,'Term Sheet'!$C$43,IF(H119&lt;='Term Sheet'!$C$40,'Term Sheet'!$C$41,'Term Sheet'!$C$39)))</f>
        <v>0</v>
      </c>
      <c r="J49" s="24"/>
      <c r="K49" s="24"/>
      <c r="L49" s="24">
        <f>IF(L$6&lt;'Term Sheet'!$C$46,0,IF(K119&lt;='Term Sheet'!$C$42,'Term Sheet'!$C$43,IF(K119&lt;='Term Sheet'!$C$40,'Term Sheet'!$C$41,'Term Sheet'!$C$39)))</f>
        <v>0</v>
      </c>
      <c r="M49" s="24">
        <f>IF(M$6&lt;'Term Sheet'!$C$46,0,IF(L119&lt;='Term Sheet'!$C$42,'Term Sheet'!$C$43,IF(L119&lt;='Term Sheet'!$C$40,'Term Sheet'!$C$41,'Term Sheet'!$C$39)))</f>
        <v>0.5</v>
      </c>
      <c r="N49" s="24">
        <f>IF(N$6&lt;'Term Sheet'!$C$46,0,IF(M119&lt;='Term Sheet'!$C$42,'Term Sheet'!$C$43,IF(M119&lt;='Term Sheet'!$C$40,'Term Sheet'!$C$41,'Term Sheet'!$C$39)))</f>
        <v>0</v>
      </c>
      <c r="O49" s="24">
        <f>IF(O$6&lt;'Term Sheet'!$C$46,0,IF(N119&lt;='Term Sheet'!$C$42,'Term Sheet'!$C$43,IF(N119&lt;='Term Sheet'!$C$40,'Term Sheet'!$C$41,'Term Sheet'!$C$39)))</f>
        <v>0</v>
      </c>
      <c r="P49" s="24">
        <f>IF(P$6&lt;'Term Sheet'!$C$46,0,IF(O119&lt;='Term Sheet'!$C$42,'Term Sheet'!$C$43,IF(O119&lt;='Term Sheet'!$C$40,'Term Sheet'!$C$41,'Term Sheet'!$C$39)))</f>
        <v>0</v>
      </c>
      <c r="Q49" s="24">
        <f>IF(Q$6&lt;'Term Sheet'!$C$46,0,IF(P119&lt;='Term Sheet'!$C$42,'Term Sheet'!$C$43,IF(P119&lt;='Term Sheet'!$C$40,'Term Sheet'!$C$41,'Term Sheet'!$C$39)))</f>
        <v>0</v>
      </c>
      <c r="S49" s="24"/>
      <c r="T49" s="24">
        <f>IF(T$6&lt;'Term Sheet'!$C$46,0,IF(S119&lt;='Term Sheet'!$C$42,'Term Sheet'!$C$43,IF(S119&lt;='Term Sheet'!$C$40,'Term Sheet'!$C$41,'Term Sheet'!$C$39)))</f>
        <v>0</v>
      </c>
      <c r="U49" s="24">
        <f>IF(U$6&lt;'Term Sheet'!$C$46,0,IF(T119&lt;='Term Sheet'!$C$42,'Term Sheet'!$C$43,IF(T119&lt;='Term Sheet'!$C$40,'Term Sheet'!$C$41,'Term Sheet'!$C$39)))</f>
        <v>0.5</v>
      </c>
      <c r="V49" s="24">
        <f>IF(V$6&lt;'Term Sheet'!$C$46,0,IF(U119&lt;='Term Sheet'!$C$42,'Term Sheet'!$C$43,IF(U119&lt;='Term Sheet'!$C$40,'Term Sheet'!$C$41,'Term Sheet'!$C$39)))</f>
        <v>0</v>
      </c>
      <c r="W49" s="24">
        <f>IF(W$6&lt;'Term Sheet'!$C$46,0,IF(V119&lt;='Term Sheet'!$C$42,'Term Sheet'!$C$43,IF(V119&lt;='Term Sheet'!$C$40,'Term Sheet'!$C$41,'Term Sheet'!$C$39)))</f>
        <v>0</v>
      </c>
      <c r="X49" s="24">
        <f>IF(X$6&lt;'Term Sheet'!$C$46,0,IF(W119&lt;='Term Sheet'!$C$42,'Term Sheet'!$C$43,IF(W119&lt;='Term Sheet'!$C$40,'Term Sheet'!$C$41,'Term Sheet'!$C$39)))</f>
        <v>0</v>
      </c>
      <c r="Y49" s="24">
        <f>IF(Y$6&lt;'Term Sheet'!$C$46,0,IF(X119&lt;='Term Sheet'!$C$42,'Term Sheet'!$C$43,IF(X119&lt;='Term Sheet'!$C$40,'Term Sheet'!$C$41,'Term Sheet'!$C$39)))</f>
        <v>0</v>
      </c>
    </row>
    <row r="50">
      <c r="B50" t="s" s="9">
        <v>255</v>
      </c>
      <c r="C50" s="10"/>
      <c r="D50" s="10">
        <f>MAX('Term Sheet'!$C$44,'Term Sheet'!$C$45*D22)</f>
        <v>105</v>
      </c>
      <c r="E50" s="10">
        <f>MAX('Term Sheet'!$C$44,'Term Sheet'!$C$45*E22)</f>
        <v>118.64237603334755</v>
      </c>
      <c r="F50" s="10">
        <f>MAX('Term Sheet'!$C$44,'Term Sheet'!$C$45*F22)</f>
        <v>135.90499914231688</v>
      </c>
      <c r="G50" s="10">
        <f>MAX('Term Sheet'!$C$44,'Term Sheet'!$C$45*G22)</f>
        <v>154.253171849131</v>
      </c>
      <c r="H50" s="10">
        <f>MAX('Term Sheet'!$C$44,'Term Sheet'!$C$45*H22)</f>
        <v>172.04808373083742</v>
      </c>
      <c r="I50" s="10">
        <f>MAX('Term Sheet'!$C$44,'Term Sheet'!$C$45*I22)</f>
        <v>190.80850611035382</v>
      </c>
      <c r="J50" s="10"/>
      <c r="K50" s="10"/>
      <c r="L50" s="10">
        <f>MAX('Term Sheet'!$C$44,'Term Sheet'!$C$45*L22)</f>
        <v>105</v>
      </c>
      <c r="M50" s="10">
        <f>MAX('Term Sheet'!$C$44,'Term Sheet'!$C$45*M22)</f>
        <v>125.63499616438358</v>
      </c>
      <c r="N50" s="10">
        <f>MAX('Term Sheet'!$C$44,'Term Sheet'!$C$45*N22)</f>
        <v>155.69121534246577</v>
      </c>
      <c r="O50" s="10">
        <f>MAX('Term Sheet'!$C$44,'Term Sheet'!$C$45*O22)</f>
        <v>190.55642958904113</v>
      </c>
      <c r="P50" s="10">
        <f>MAX('Term Sheet'!$C$44,'Term Sheet'!$C$45*P22)</f>
        <v>229.32895232876714</v>
      </c>
      <c r="Q50" s="10">
        <f>MAX('Term Sheet'!$C$44,'Term Sheet'!$C$45*Q22)</f>
        <v>269.0161579530082</v>
      </c>
      <c r="S50" s="10"/>
      <c r="T50" s="10">
        <f>MAX('Term Sheet'!$C$44,'Term Sheet'!$C$45*T22)</f>
        <v>105</v>
      </c>
      <c r="U50" s="10">
        <f>MAX('Term Sheet'!$C$44,'Term Sheet'!$C$45*U22)</f>
        <v>108.25105350296928</v>
      </c>
      <c r="V50" s="10">
        <f>MAX('Term Sheet'!$C$44,'Term Sheet'!$C$45*V22)</f>
        <v>120.78407015383199</v>
      </c>
      <c r="W50" s="10">
        <f>MAX('Term Sheet'!$C$44,'Term Sheet'!$C$45*W22)</f>
        <v>133.49756952580597</v>
      </c>
      <c r="X50" s="10">
        <f>MAX('Term Sheet'!$C$44,'Term Sheet'!$C$45*X22)</f>
        <v>144.90830565404758</v>
      </c>
      <c r="Y50" s="10">
        <f>MAX('Term Sheet'!$C$44,'Term Sheet'!$C$45*Y22)</f>
        <v>156.37768167373227</v>
      </c>
    </row>
    <row r="51">
      <c r="B51" t="s" s="9">
        <v>256</v>
      </c>
      <c r="C51" s="10"/>
      <c r="D51" s="10">
        <f>D66+D67+D68+D76+D77+D78+D79</f>
        <v>2735.179759401606</v>
      </c>
      <c r="E51" s="10">
        <f>E66+E67+E68+E76+E77+E78+E79</f>
        <v>2803.4841589400858</v>
      </c>
      <c r="F51" s="10">
        <f>F66+F67+F68+F76+F77+F78+F79</f>
        <v>2760.2063536677915</v>
      </c>
      <c r="G51" s="10">
        <f>G66+G67+G68+G76+G77+G78+G79</f>
        <v>2674.811809030593</v>
      </c>
      <c r="H51" s="10">
        <f>H66+H67+H68+H76+H77+H78+H79</f>
        <v>2558.292298265301</v>
      </c>
      <c r="I51" s="10">
        <f>I66+I67+I68+I76+I77+I78+I79</f>
        <v>2384.7734913882673</v>
      </c>
      <c r="J51" s="10"/>
      <c r="K51" s="10"/>
      <c r="L51" s="10">
        <f>L66+L67+L68+L76+L77+L78+L79</f>
        <v>2735.179759401606</v>
      </c>
      <c r="M51" s="10">
        <f>M66+M67+M68+M76+M77+M78+M79</f>
        <v>2803.0037082124127</v>
      </c>
      <c r="N51" s="10">
        <f>N66+N67+N68+N76+N77+N78+N79</f>
        <v>2720.8202859489597</v>
      </c>
      <c r="O51" s="10">
        <f>O66+O67+O68+O76+O77+O78+O79</f>
        <v>2547.822483327448</v>
      </c>
      <c r="P51" s="10">
        <f>P66+P67+P68+P76+P77+P78+P79</f>
        <v>2272.922943338843</v>
      </c>
      <c r="Q51" s="10">
        <f>Q66+Q67+Q68+Q76+Q77+Q78+Q79</f>
        <v>1851.5450220403375</v>
      </c>
      <c r="S51" s="10"/>
      <c r="T51" s="10">
        <f>T66+T67+T68+T76+T77+T78+T79</f>
        <v>2735.179759401606</v>
      </c>
      <c r="U51" s="10">
        <f>U66+U67+U68+U76+U77+U78+U79</f>
        <v>2804.04101405731</v>
      </c>
      <c r="V51" s="10">
        <f>V66+V67+V68+V76+V77+V78+V79</f>
        <v>2805.565105902333</v>
      </c>
      <c r="W51" s="10">
        <f>W66+W67+W68+W76+W77+W78+W79</f>
        <v>2771.3685964532497</v>
      </c>
      <c r="X51" s="10">
        <f>X66+X67+X68+X76+X77+X78+X79</f>
        <v>2728.08692669716</v>
      </c>
      <c r="Y51" s="10">
        <f>Y66+Y67+Y68+Y76+Y77+Y78+Y79</f>
        <v>2653.57281888659</v>
      </c>
    </row>
    <row r="52">
      <c r="B52" t="s" s="9">
        <v>257</v>
      </c>
      <c r="C52" s="10"/>
      <c r="D52" s="10">
        <f>-MIN(MAX(0,D48-D50)*D49,MAX(0,D51))</f>
        <v>0</v>
      </c>
      <c r="E52" s="10">
        <f>-MIN(MAX(0,E48-E50)*E49,MAX(0,E51))</f>
        <v>0</v>
      </c>
      <c r="F52" s="10">
        <f>-MIN(MAX(0,F48-F50)*F49,MAX(0,F51))</f>
        <v>0</v>
      </c>
      <c r="G52" s="10">
        <f>-MIN(MAX(0,G48-G50)*G49,MAX(0,G51))</f>
        <v>0</v>
      </c>
      <c r="H52" s="10">
        <f>-MIN(MAX(0,H48-H50)*H49,MAX(0,H51))</f>
        <v>0</v>
      </c>
      <c r="I52" s="10">
        <f>-MIN(MAX(0,I48-I50)*I49,MAX(0,I51))</f>
        <v>0</v>
      </c>
      <c r="J52" s="10"/>
      <c r="K52" s="10"/>
      <c r="L52" s="10">
        <f>-MIN(MAX(0,L48-L50)*L49,MAX(0,L51))</f>
        <v>0</v>
      </c>
      <c r="M52" s="10">
        <f>-MIN(MAX(0,M48-M50)*M49,MAX(0,M51))</f>
        <v>0</v>
      </c>
      <c r="N52" s="10">
        <f>-MIN(MAX(0,N48-N50)*N49,MAX(0,N51))</f>
        <v>0</v>
      </c>
      <c r="O52" s="10">
        <f>-MIN(MAX(0,O48-O50)*O49,MAX(0,O51))</f>
        <v>0</v>
      </c>
      <c r="P52" s="10">
        <f>-MIN(MAX(0,P48-P50)*P49,MAX(0,P51))</f>
        <v>0</v>
      </c>
      <c r="Q52" s="10">
        <f>-MIN(MAX(0,Q48-Q50)*Q49,MAX(0,Q51))</f>
        <v>0</v>
      </c>
      <c r="S52" s="10"/>
      <c r="T52" s="10">
        <f>-MIN(MAX(0,T48-T50)*T49,MAX(0,T51))</f>
        <v>0</v>
      </c>
      <c r="U52" s="10">
        <f>-MIN(MAX(0,U48-U50)*U49,MAX(0,U51))</f>
        <v>0</v>
      </c>
      <c r="V52" s="10">
        <f>-MIN(MAX(0,V48-V50)*V49,MAX(0,V51))</f>
        <v>0</v>
      </c>
      <c r="W52" s="10">
        <f>-MIN(MAX(0,W48-W50)*W49,MAX(0,W51))</f>
        <v>0</v>
      </c>
      <c r="X52" s="10">
        <f>-MIN(MAX(0,X48-X50)*X49,MAX(0,X51))</f>
        <v>0</v>
      </c>
      <c r="Y52" s="10">
        <f>-MIN(MAX(0,Y48-Y50)*Y49,MAX(0,Y51))</f>
        <v>0</v>
      </c>
    </row>
    <row r="53">
      <c r="B53" t="s" s="9">
        <v>258</v>
      </c>
      <c r="C53" s="10"/>
      <c r="D53" s="10">
        <f>-(MAX(-D52,IF(D$6&gt;='Term Sheet'!$C$48,MAX(0,MIN(D48*'Term Sheet'!$C$47,D51)),0))+D52)</f>
        <v>0</v>
      </c>
      <c r="E53" s="10">
        <f>-(MAX(-E52,IF(E$6&gt;='Term Sheet'!$C$48,MAX(0,MIN(E48*'Term Sheet'!$C$47,E51)),0))+E52)</f>
        <v>-74.31195526330325</v>
      </c>
      <c r="F53" s="10">
        <f>-(MAX(-F52,IF(F$6&gt;='Term Sheet'!$C$48,MAX(0,MIN(F48*'Term Sheet'!$C$47,F51)),0))+F52)</f>
        <v>-85.39454463719879</v>
      </c>
      <c r="G53" s="10">
        <f>-(MAX(-G52,IF(G$6&gt;='Term Sheet'!$C$48,MAX(0,MIN(G48*'Term Sheet'!$C$47,G51)),0))+G52)</f>
        <v>-116.519510765292</v>
      </c>
      <c r="H53" s="10">
        <f>-(MAX(-H52,IF(H$6&gt;='Term Sheet'!$C$48,MAX(0,MIN(H48*'Term Sheet'!$C$47,H51)),0))+H52)</f>
        <v>-173.51880687703118</v>
      </c>
      <c r="I53" s="10">
        <f>-(MAX(-I52,IF(I$6&gt;='Term Sheet'!$C$48,MAX(0,MIN(I48*'Term Sheet'!$C$47,I51)),0))+I52)</f>
        <v>-238.24736795419506</v>
      </c>
      <c r="J53" s="10"/>
      <c r="K53" s="10"/>
      <c r="L53" s="10">
        <f>-(MAX(-L52,IF(L$6&gt;='Term Sheet'!$C$48,MAX(0,MIN(L48*'Term Sheet'!$C$47,L51)),0))+L52)</f>
        <v>0</v>
      </c>
      <c r="M53" s="10">
        <f>-(MAX(-M52,IF(M$6&gt;='Term Sheet'!$C$48,MAX(0,MIN(M48*'Term Sheet'!$C$47,M51)),0))+M52)</f>
        <v>-112.2675627494879</v>
      </c>
      <c r="N53" s="10">
        <f>-(MAX(-N52,IF(N$6&gt;='Term Sheet'!$C$48,MAX(0,MIN(N48*'Term Sheet'!$C$47,N51)),0))+N52)</f>
        <v>-172.99780262151168</v>
      </c>
      <c r="O53" s="10">
        <f>-(MAX(-O52,IF(O$6&gt;='Term Sheet'!$C$48,MAX(0,MIN(O48*'Term Sheet'!$C$47,O51)),0))+O52)</f>
        <v>-274.89953998860466</v>
      </c>
      <c r="P53" s="10">
        <f>-(MAX(-P52,IF(P$6&gt;='Term Sheet'!$C$48,MAX(0,MIN(P48*'Term Sheet'!$C$47,P51)),0))+P52)</f>
        <v>-421.3779212985033</v>
      </c>
      <c r="Q53" s="10">
        <f>-(MAX(-Q52,IF(Q$6&gt;='Term Sheet'!$C$48,MAX(0,MIN(Q48*'Term Sheet'!$C$47,Q51)),0))+Q52)</f>
        <v>-582.4663639795365</v>
      </c>
      <c r="S53" s="10"/>
      <c r="T53" s="10">
        <f>-(MAX(-T52,IF(T$6&gt;='Term Sheet'!$C$48,MAX(0,MIN(T48*'Term Sheet'!$C$47,T51)),0))+T52)</f>
        <v>0</v>
      </c>
      <c r="U53" s="10">
        <f>-(MAX(-U52,IF(U$6&gt;='Term Sheet'!$C$48,MAX(0,MIN(U48*'Term Sheet'!$C$47,U51)),0))+U52)</f>
        <v>-30.320401003424955</v>
      </c>
      <c r="V53" s="10">
        <f>-(MAX(-V52,IF(V$6&gt;='Term Sheet'!$C$48,MAX(0,MIN(V48*'Term Sheet'!$C$47,V51)),0))+V52)</f>
        <v>-34.19650944294735</v>
      </c>
      <c r="W53" s="10">
        <f>-(MAX(-W52,IF(W$6&gt;='Term Sheet'!$C$48,MAX(0,MIN(W48*'Term Sheet'!$C$47,W51)),0))+W52)</f>
        <v>-43.281669732829805</v>
      </c>
      <c r="X53" s="10">
        <f>-(MAX(-X52,IF(X$6&gt;='Term Sheet'!$C$48,MAX(0,MIN(X48*'Term Sheet'!$C$47,X51)),0))+X52)</f>
        <v>-74.51410784371636</v>
      </c>
      <c r="Y53" s="10">
        <f>-(MAX(-Y52,IF(Y$6&gt;='Term Sheet'!$C$48,MAX(0,MIN(Y48*'Term Sheet'!$C$47,Y51)),0))+Y52)</f>
        <v>-108.56639939921705</v>
      </c>
    </row>
    <row r="54">
      <c r="B54" t="s" s="41">
        <v>259</v>
      </c>
      <c r="C54" s="42"/>
      <c r="D54" s="42">
        <f>D48+D52+D53</f>
        <v>7.7572836413195905</v>
      </c>
      <c r="E54" s="42">
        <f>E48+E52+E53</f>
        <v>0</v>
      </c>
      <c r="F54" s="42">
        <f>F48+F52+F53</f>
        <v>0</v>
      </c>
      <c r="G54" s="42">
        <f>G48+G52+G53</f>
        <v>0</v>
      </c>
      <c r="H54" s="42">
        <f>H48+H52+H53</f>
        <v>0</v>
      </c>
      <c r="I54" s="42">
        <f>I48+I52+I53</f>
        <v>0</v>
      </c>
      <c r="J54" s="10"/>
      <c r="K54" s="42"/>
      <c r="L54" s="42">
        <f>L48+L52+L53</f>
        <v>11.551291333784906</v>
      </c>
      <c r="M54" s="42">
        <f>M48+M52+M53</f>
        <v>0</v>
      </c>
      <c r="N54" s="42">
        <f>N48+N52+N53</f>
        <v>0</v>
      </c>
      <c r="O54" s="42">
        <f>O48+O52+O53</f>
        <v>0</v>
      </c>
      <c r="P54" s="42">
        <f>P48+P52+P53</f>
        <v>0</v>
      </c>
      <c r="Q54" s="42">
        <f>Q48+Q52+Q53</f>
        <v>0</v>
      </c>
      <c r="S54" s="42"/>
      <c r="T54" s="42">
        <f>T48+T52+T53</f>
        <v>0.000000000000702105040772949</v>
      </c>
      <c r="U54" s="42">
        <f>U48+U52+U53</f>
        <v>0</v>
      </c>
      <c r="V54" s="42">
        <f>V48+V52+V53</f>
        <v>0</v>
      </c>
      <c r="W54" s="42">
        <f>W48+W52+W53</f>
        <v>0</v>
      </c>
      <c r="X54" s="42">
        <f>X48+X52+X53</f>
        <v>0</v>
      </c>
      <c r="Y54" s="42">
        <f>Y48+Y52+Y53</f>
        <v>0</v>
      </c>
    </row>
    <row r="55">
      <c r="S55"/>
      <c r="T55"/>
      <c r="U55"/>
      <c r="V55"/>
      <c r="W55"/>
      <c r="X55"/>
      <c r="Y55"/>
    </row>
    <row r="56">
      <c r="B56" t="s" s="34">
        <v>260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>
      <c r="B57" t="s" s="9">
        <v>49</v>
      </c>
      <c r="C57" s="44">
        <f>'Term Sheet'!$C$66</f>
        <v>325</v>
      </c>
      <c r="D57" s="44">
        <f>'Term Sheet'!$C$66</f>
        <v>325</v>
      </c>
      <c r="E57" s="44">
        <f>'Term Sheet'!$C$66</f>
        <v>325</v>
      </c>
      <c r="F57" s="44">
        <f>'Term Sheet'!$C$66</f>
        <v>325</v>
      </c>
      <c r="G57" s="44">
        <f>'Term Sheet'!$C$66</f>
        <v>325</v>
      </c>
      <c r="H57" s="44">
        <f>'Term Sheet'!$C$66</f>
        <v>325</v>
      </c>
      <c r="I57" s="44">
        <f>'Term Sheet'!$C$66</f>
        <v>325</v>
      </c>
      <c r="J57" s="10"/>
      <c r="K57" s="44">
        <f>'Term Sheet'!$C$66</f>
        <v>325</v>
      </c>
      <c r="L57" s="44">
        <f>'Term Sheet'!$C$66</f>
        <v>325</v>
      </c>
      <c r="M57" s="44">
        <f>'Term Sheet'!$C$66</f>
        <v>325</v>
      </c>
      <c r="N57" s="44">
        <f>'Term Sheet'!$C$66</f>
        <v>325</v>
      </c>
      <c r="O57" s="44">
        <f>'Term Sheet'!$C$66</f>
        <v>325</v>
      </c>
      <c r="P57" s="44">
        <f>'Term Sheet'!$C$66</f>
        <v>325</v>
      </c>
      <c r="Q57" s="44">
        <f>'Term Sheet'!$C$66</f>
        <v>325</v>
      </c>
      <c r="S57" s="44">
        <f>'Term Sheet'!$C$66</f>
        <v>325</v>
      </c>
      <c r="T57" s="44">
        <f>'Term Sheet'!$C$66</f>
        <v>325</v>
      </c>
      <c r="U57" s="44">
        <f>'Term Sheet'!$C$66</f>
        <v>325</v>
      </c>
      <c r="V57" s="44">
        <f>'Term Sheet'!$C$66</f>
        <v>325</v>
      </c>
      <c r="W57" s="44">
        <f>'Term Sheet'!$C$66</f>
        <v>325</v>
      </c>
      <c r="X57" s="44">
        <f>'Term Sheet'!$C$66</f>
        <v>325</v>
      </c>
      <c r="Y57" s="44">
        <f>'Term Sheet'!$C$66</f>
        <v>325</v>
      </c>
    </row>
    <row r="58">
      <c r="B58" t="s" s="9">
        <v>261</v>
      </c>
      <c r="C58" s="10"/>
      <c r="D58" s="10">
        <f>C60</f>
        <v>0</v>
      </c>
      <c r="E58" s="10">
        <f>D60</f>
        <v>0</v>
      </c>
      <c r="F58" s="10">
        <f>E60</f>
        <v>0</v>
      </c>
      <c r="G58" s="10">
        <f>F60</f>
        <v>0</v>
      </c>
      <c r="H58" s="10">
        <f>G60</f>
        <v>0</v>
      </c>
      <c r="I58" s="10">
        <f>H60</f>
        <v>0</v>
      </c>
      <c r="J58" s="10"/>
      <c r="K58" s="10"/>
      <c r="L58" s="10">
        <f>K60</f>
        <v>0</v>
      </c>
      <c r="M58" s="10">
        <f>L60</f>
        <v>0</v>
      </c>
      <c r="N58" s="10">
        <f>M60</f>
        <v>0</v>
      </c>
      <c r="O58" s="10">
        <f>N60</f>
        <v>0</v>
      </c>
      <c r="P58" s="10">
        <f>O60</f>
        <v>0</v>
      </c>
      <c r="Q58" s="10">
        <f>P60</f>
        <v>0</v>
      </c>
      <c r="S58" s="10"/>
      <c r="T58" s="10">
        <f>S60</f>
        <v>0</v>
      </c>
      <c r="U58" s="10">
        <f>T60</f>
        <v>2.809493263309655</v>
      </c>
      <c r="V58" s="10">
        <f>U60</f>
        <v>0</v>
      </c>
      <c r="W58" s="10">
        <f>V60</f>
        <v>0</v>
      </c>
      <c r="X58" s="10">
        <f>W60</f>
        <v>0</v>
      </c>
      <c r="Y58" s="10">
        <f>X60</f>
        <v>0</v>
      </c>
    </row>
    <row r="59">
      <c r="B59" t="s" s="9">
        <v>262</v>
      </c>
      <c r="C59" s="10"/>
      <c r="D59" s="10">
        <f>MAX(-D58,MIN(D57-D58,-D46))</f>
        <v>0</v>
      </c>
      <c r="E59" s="10">
        <f>MAX(-E58,MIN(E57-E58,-E46))</f>
        <v>0</v>
      </c>
      <c r="F59" s="10">
        <f>MAX(-F58,MIN(F57-F58,-F46))</f>
        <v>0</v>
      </c>
      <c r="G59" s="10">
        <f>MAX(-G58,MIN(G57-G58,-G46))</f>
        <v>0</v>
      </c>
      <c r="H59" s="10">
        <f>MAX(-H58,MIN(H57-H58,-H46))</f>
        <v>0</v>
      </c>
      <c r="I59" s="10">
        <f>MAX(-I58,MIN(I57-I58,-I46))</f>
        <v>0</v>
      </c>
      <c r="J59" s="10"/>
      <c r="K59" s="10"/>
      <c r="L59" s="10">
        <f>MAX(-L58,MIN(L57-L58,-L46))</f>
        <v>0</v>
      </c>
      <c r="M59" s="10">
        <f>MAX(-M58,MIN(M57-M58,-M46))</f>
        <v>0</v>
      </c>
      <c r="N59" s="10">
        <f>MAX(-N58,MIN(N57-N58,-N46))</f>
        <v>0</v>
      </c>
      <c r="O59" s="10">
        <f>MAX(-O58,MIN(O57-O58,-O46))</f>
        <v>0</v>
      </c>
      <c r="P59" s="10">
        <f>MAX(-P58,MIN(P57-P58,-P46))</f>
        <v>0</v>
      </c>
      <c r="Q59" s="10">
        <f>MAX(-Q58,MIN(Q57-Q58,-Q46))</f>
        <v>0</v>
      </c>
      <c r="S59" s="10"/>
      <c r="T59" s="10">
        <f>MAX(-T58,MIN(T57-T58,-T46))</f>
        <v>2.809493263308953</v>
      </c>
      <c r="U59" s="10">
        <f>MAX(-U58,MIN(U57-U58,-U46))</f>
        <v>-2.809493263309655</v>
      </c>
      <c r="V59" s="10">
        <f>MAX(-V58,MIN(V57-V58,-V46))</f>
        <v>0</v>
      </c>
      <c r="W59" s="10">
        <f>MAX(-W58,MIN(W57-W58,-W46))</f>
        <v>0</v>
      </c>
      <c r="X59" s="10">
        <f>MAX(-X58,MIN(X57-X58,-X46))</f>
        <v>0</v>
      </c>
      <c r="Y59" s="10">
        <f>MAX(-Y58,MIN(Y57-Y58,-Y46))</f>
        <v>0</v>
      </c>
    </row>
    <row r="60">
      <c r="B60" t="s" s="41">
        <v>263</v>
      </c>
      <c r="C60" s="46">
        <f>'Term Sheet'!$C$68</f>
        <v>0</v>
      </c>
      <c r="D60" s="42">
        <f>D58+D59</f>
        <v>0</v>
      </c>
      <c r="E60" s="42">
        <f>E58+E59</f>
        <v>0</v>
      </c>
      <c r="F60" s="42">
        <f>F58+F59</f>
        <v>0</v>
      </c>
      <c r="G60" s="42">
        <f>G58+G59</f>
        <v>0</v>
      </c>
      <c r="H60" s="42">
        <f>H58+H59</f>
        <v>0</v>
      </c>
      <c r="I60" s="42">
        <f>I58+I59</f>
        <v>0</v>
      </c>
      <c r="J60" s="10"/>
      <c r="K60" s="46">
        <f>'Term Sheet'!$C$68</f>
        <v>0</v>
      </c>
      <c r="L60" s="42">
        <f>L58+L59</f>
        <v>0</v>
      </c>
      <c r="M60" s="42">
        <f>M58+M59</f>
        <v>0</v>
      </c>
      <c r="N60" s="42">
        <f>N58+N59</f>
        <v>0</v>
      </c>
      <c r="O60" s="42">
        <f>O58+O59</f>
        <v>0</v>
      </c>
      <c r="P60" s="42">
        <f>P58+P59</f>
        <v>0</v>
      </c>
      <c r="Q60" s="42">
        <f>Q58+Q59</f>
        <v>0</v>
      </c>
      <c r="S60" s="46">
        <f>'Term Sheet'!$C$68</f>
        <v>0</v>
      </c>
      <c r="T60" s="42">
        <f>T58+T59</f>
        <v>2.809493263308953</v>
      </c>
      <c r="U60" s="42">
        <f>U58+U59</f>
        <v>0</v>
      </c>
      <c r="V60" s="42">
        <f>V58+V59</f>
        <v>0</v>
      </c>
      <c r="W60" s="42">
        <f>W58+W59</f>
        <v>0</v>
      </c>
      <c r="X60" s="42">
        <f>X58+X59</f>
        <v>0</v>
      </c>
      <c r="Y60" s="42">
        <f>Y58+Y59</f>
        <v>0</v>
      </c>
    </row>
    <row r="61">
      <c r="B61" t="s" s="9">
        <v>264</v>
      </c>
      <c r="C61" s="10">
        <f>C57-C60</f>
        <v>325</v>
      </c>
      <c r="D61" s="10">
        <f>D57-D60</f>
        <v>325</v>
      </c>
      <c r="E61" s="10">
        <f>E57-E60</f>
        <v>325</v>
      </c>
      <c r="F61" s="10">
        <f>F57-F60</f>
        <v>325</v>
      </c>
      <c r="G61" s="10">
        <f>G57-G60</f>
        <v>325</v>
      </c>
      <c r="H61" s="10">
        <f>H57-H60</f>
        <v>325</v>
      </c>
      <c r="I61" s="10">
        <f>I57-I60</f>
        <v>325</v>
      </c>
      <c r="J61" s="10"/>
      <c r="K61" s="10">
        <f>K57-K60</f>
        <v>325</v>
      </c>
      <c r="L61" s="10">
        <f>L57-L60</f>
        <v>325</v>
      </c>
      <c r="M61" s="10">
        <f>M57-M60</f>
        <v>325</v>
      </c>
      <c r="N61" s="10">
        <f>N57-N60</f>
        <v>325</v>
      </c>
      <c r="O61" s="10">
        <f>O57-O60</f>
        <v>325</v>
      </c>
      <c r="P61" s="10">
        <f>P57-P60</f>
        <v>325</v>
      </c>
      <c r="Q61" s="10">
        <f>Q57-Q60</f>
        <v>325</v>
      </c>
      <c r="S61" s="10">
        <f>S57-S60</f>
        <v>325</v>
      </c>
      <c r="T61" s="10">
        <f>T57-T60</f>
        <v>322.190506736691</v>
      </c>
      <c r="U61" s="10">
        <f>U57-U60</f>
        <v>325</v>
      </c>
      <c r="V61" s="10">
        <f>V57-V60</f>
        <v>325</v>
      </c>
      <c r="W61" s="10">
        <f>W57-W60</f>
        <v>325</v>
      </c>
      <c r="X61" s="10">
        <f>X57-X60</f>
        <v>325</v>
      </c>
      <c r="Y61" s="10">
        <f>Y57-Y60</f>
        <v>325</v>
      </c>
    </row>
    <row r="62">
      <c r="B62" t="s" s="9">
        <v>265</v>
      </c>
      <c r="C62" s="10"/>
      <c r="D62" s="10">
        <f>'Term Sheet'!$C$14*AVERAGE(D58,D60)*D32*D7</f>
        <v>0</v>
      </c>
      <c r="E62" s="10">
        <f>'Term Sheet'!$C$14*AVERAGE(E58,E60)*E32*E7</f>
        <v>0</v>
      </c>
      <c r="F62" s="10">
        <f>'Term Sheet'!$C$14*AVERAGE(F58,F60)*F32*F7</f>
        <v>0</v>
      </c>
      <c r="G62" s="10">
        <f>'Term Sheet'!$C$14*AVERAGE(G58,G60)*G32*G7</f>
        <v>0</v>
      </c>
      <c r="H62" s="10">
        <f>'Term Sheet'!$C$14*AVERAGE(H58,H60)*H32*H7</f>
        <v>0</v>
      </c>
      <c r="I62" s="10">
        <f>'Term Sheet'!$C$14*AVERAGE(I58,I60)*I32*I7</f>
        <v>0</v>
      </c>
      <c r="J62" s="10"/>
      <c r="K62" s="10"/>
      <c r="L62" s="10">
        <f>'Term Sheet'!$C$14*AVERAGE(L58,L60)*L32*L7</f>
        <v>0</v>
      </c>
      <c r="M62" s="10">
        <f>'Term Sheet'!$C$14*AVERAGE(M58,M60)*M32*M7</f>
        <v>0</v>
      </c>
      <c r="N62" s="10">
        <f>'Term Sheet'!$C$14*AVERAGE(N58,N60)*N32*N7</f>
        <v>0</v>
      </c>
      <c r="O62" s="10">
        <f>'Term Sheet'!$C$14*AVERAGE(O58,O60)*O32*O7</f>
        <v>0</v>
      </c>
      <c r="P62" s="10">
        <f>'Term Sheet'!$C$14*AVERAGE(P58,P60)*P32*P7</f>
        <v>0</v>
      </c>
      <c r="Q62" s="10">
        <f>'Term Sheet'!$C$14*AVERAGE(Q58,Q60)*Q32*Q7</f>
        <v>0</v>
      </c>
      <c r="S62" s="10"/>
      <c r="T62" s="10">
        <f>'Term Sheet'!$C$14*AVERAGE(T58,T60)*T32*T7</f>
        <v>0.05840936494419313</v>
      </c>
      <c r="U62" s="10">
        <f>'Term Sheet'!$C$14*AVERAGE(U58,U60)*U32*U7</f>
        <v>0.11280115452188265</v>
      </c>
      <c r="V62" s="10">
        <f>'Term Sheet'!$C$14*AVERAGE(V58,V60)*V32*V7</f>
        <v>0</v>
      </c>
      <c r="W62" s="10">
        <f>'Term Sheet'!$C$14*AVERAGE(W58,W60)*W32*W7</f>
        <v>0</v>
      </c>
      <c r="X62" s="10">
        <f>'Term Sheet'!$C$14*AVERAGE(X58,X60)*X32*X7</f>
        <v>0</v>
      </c>
      <c r="Y62" s="10">
        <f>'Term Sheet'!$C$14*AVERAGE(Y58,Y60)*Y32*Y7</f>
        <v>0</v>
      </c>
    </row>
    <row r="63">
      <c r="B63" t="s" s="9">
        <v>266</v>
      </c>
      <c r="C63" s="10"/>
      <c r="D63" s="10">
        <f>'Term Sheet'!$C$14*(D57-AVERAGE(D58,D60))*D33*D7</f>
        <v>0.8414383561643836</v>
      </c>
      <c r="E63" s="10">
        <f>'Term Sheet'!$C$14*(E57-AVERAGE(E58,E60))*E33*E7</f>
        <v>1.625</v>
      </c>
      <c r="F63" s="10">
        <f>'Term Sheet'!$C$14*(F57-AVERAGE(F58,F60))*F33*F7</f>
        <v>0.8124999999999999</v>
      </c>
      <c r="G63" s="10">
        <f>'Term Sheet'!$C$14*(G57-AVERAGE(G58,G60))*G33*G7</f>
        <v>0.8124999999999999</v>
      </c>
      <c r="H63" s="10">
        <f>'Term Sheet'!$C$14*(H57-AVERAGE(H58,H60))*H33*H7</f>
        <v>0.8124999999999999</v>
      </c>
      <c r="I63" s="10">
        <f>'Term Sheet'!$C$14*(I57-AVERAGE(I58,I60))*I33*I7</f>
        <v>0.8124999999999999</v>
      </c>
      <c r="J63" s="10"/>
      <c r="K63" s="10"/>
      <c r="L63" s="10">
        <f>'Term Sheet'!$C$14*(L57-AVERAGE(L58,L60))*L33*L7</f>
        <v>0.8414383561643836</v>
      </c>
      <c r="M63" s="10">
        <f>'Term Sheet'!$C$14*(M57-AVERAGE(M58,M60))*M33*M7</f>
        <v>1.625</v>
      </c>
      <c r="N63" s="10">
        <f>'Term Sheet'!$C$14*(N57-AVERAGE(N58,N60))*N33*N7</f>
        <v>0.8124999999999999</v>
      </c>
      <c r="O63" s="10">
        <f>'Term Sheet'!$C$14*(O57-AVERAGE(O58,O60))*O33*O7</f>
        <v>0.8124999999999999</v>
      </c>
      <c r="P63" s="10">
        <f>'Term Sheet'!$C$14*(P57-AVERAGE(P58,P60))*P33*P7</f>
        <v>0.8124999999999999</v>
      </c>
      <c r="Q63" s="10">
        <f>'Term Sheet'!$C$14*(Q57-AVERAGE(Q58,Q60))*Q33*Q7</f>
        <v>0.8124999999999999</v>
      </c>
      <c r="S63" s="10"/>
      <c r="T63" s="10">
        <f>'Term Sheet'!$C$14*(T57-AVERAGE(T58,T60))*T33*T7</f>
        <v>0.8378014094057165</v>
      </c>
      <c r="U63" s="10">
        <f>'Term Sheet'!$C$14*(U57-AVERAGE(U58,U60))*U33*U7</f>
        <v>1.6179762668417261</v>
      </c>
      <c r="V63" s="10">
        <f>'Term Sheet'!$C$14*(V57-AVERAGE(V58,V60))*V33*V7</f>
        <v>1.21875</v>
      </c>
      <c r="W63" s="10">
        <f>'Term Sheet'!$C$14*(W57-AVERAGE(W58,W60))*W33*W7</f>
        <v>0.8124999999999999</v>
      </c>
      <c r="X63" s="10">
        <f>'Term Sheet'!$C$14*(X57-AVERAGE(X58,X60))*X33*X7</f>
        <v>0.8124999999999999</v>
      </c>
      <c r="Y63" s="10">
        <f>'Term Sheet'!$C$14*(Y57-AVERAGE(Y58,Y60))*Y33*Y7</f>
        <v>0.8124999999999999</v>
      </c>
    </row>
    <row r="64">
      <c r="S64"/>
      <c r="T64"/>
      <c r="U64"/>
      <c r="V64"/>
      <c r="W64"/>
      <c r="X64"/>
      <c r="Y64"/>
    </row>
    <row r="65">
      <c r="B65" t="s" s="34">
        <v>267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>
      <c r="B66" t="s" s="9">
        <v>261</v>
      </c>
      <c r="C66" s="10"/>
      <c r="D66" s="10">
        <f>C71</f>
        <v>2700</v>
      </c>
      <c r="E66" s="10">
        <f>D71</f>
        <v>2735.179759401606</v>
      </c>
      <c r="F66" s="10">
        <f>E71</f>
        <v>2729.1722036767824</v>
      </c>
      <c r="G66" s="10">
        <f>F71</f>
        <v>2674.811809030593</v>
      </c>
      <c r="H66" s="10">
        <f>G71</f>
        <v>2558.292298265301</v>
      </c>
      <c r="I66" s="10">
        <f>H71</f>
        <v>2384.7734913882696</v>
      </c>
      <c r="J66" s="10"/>
      <c r="K66" s="10"/>
      <c r="L66" s="10">
        <f>K71</f>
        <v>2700</v>
      </c>
      <c r="M66" s="10">
        <f>L71</f>
        <v>2735.179759401606</v>
      </c>
      <c r="N66" s="10">
        <f>M71</f>
        <v>2690.736145462925</v>
      </c>
      <c r="O66" s="10">
        <f>N71</f>
        <v>2547.822483327448</v>
      </c>
      <c r="P66" s="10">
        <f>O71</f>
        <v>2272.922943338843</v>
      </c>
      <c r="Q66" s="10">
        <f>P71</f>
        <v>1851.5450220403397</v>
      </c>
      <c r="S66" s="10"/>
      <c r="T66" s="10">
        <f>S71</f>
        <v>2700</v>
      </c>
      <c r="U66" s="10">
        <f>T71</f>
        <v>2735.179759401606</v>
      </c>
      <c r="V66" s="10">
        <f>U71</f>
        <v>2773.720613053955</v>
      </c>
      <c r="W66" s="10">
        <f>V71</f>
        <v>2771.3685964590336</v>
      </c>
      <c r="X66" s="10">
        <f>W71</f>
        <v>2728.0869267188727</v>
      </c>
      <c r="Y66" s="10">
        <f>X71</f>
        <v>2653.5728188537996</v>
      </c>
    </row>
    <row r="67">
      <c r="B67" t="s" s="9">
        <v>268</v>
      </c>
      <c r="C67" s="10"/>
      <c r="D67" s="10">
        <f>'Term Sheet'!$C$14*AVERAGE(D66,D71)*D31*D7</f>
        <v>35.17975940160628</v>
      </c>
      <c r="E67" s="10">
        <f>'Term Sheet'!$C$14*AVERAGE(E66,E71)*E31*E7</f>
        <v>68.30439953847986</v>
      </c>
      <c r="F67" s="10">
        <f>'Term Sheet'!$C$14*AVERAGE(F66,F71)*F31*F7</f>
        <v>31.034149991009045</v>
      </c>
      <c r="G67" s="10">
        <f>'Term Sheet'!$C$14*AVERAGE(G66,G71)*G31*G7</f>
        <v>0</v>
      </c>
      <c r="H67" s="10">
        <f>'Term Sheet'!$C$14*AVERAGE(H66,H71)*H31*H7</f>
        <v>0</v>
      </c>
      <c r="I67" s="10">
        <f>'Term Sheet'!$C$14*AVERAGE(I66,I71)*I31*I7</f>
        <v>0</v>
      </c>
      <c r="J67" s="10"/>
      <c r="K67" s="10"/>
      <c r="L67" s="10">
        <f>'Term Sheet'!$C$14*AVERAGE(L66,L71)*L31*L7</f>
        <v>35.17975940160628</v>
      </c>
      <c r="M67" s="10">
        <f>'Term Sheet'!$C$14*AVERAGE(M66,M71)*M31*M7</f>
        <v>67.82394881080663</v>
      </c>
      <c r="N67" s="10">
        <f>'Term Sheet'!$C$14*AVERAGE(N66,N71)*N31*N7</f>
        <v>30.084140486034872</v>
      </c>
      <c r="O67" s="10">
        <f>'Term Sheet'!$C$14*AVERAGE(O66,O71)*O31*O7</f>
        <v>0</v>
      </c>
      <c r="P67" s="10">
        <f>'Term Sheet'!$C$14*AVERAGE(P66,P71)*P31*P7</f>
        <v>0</v>
      </c>
      <c r="Q67" s="10">
        <f>'Term Sheet'!$C$14*AVERAGE(Q66,Q71)*Q31*Q7</f>
        <v>0</v>
      </c>
      <c r="S67" s="10"/>
      <c r="T67" s="10">
        <f>'Term Sheet'!$C$14*AVERAGE(T66,T71)*T31*T7</f>
        <v>35.17975940160628</v>
      </c>
      <c r="U67" s="10">
        <f>'Term Sheet'!$C$14*AVERAGE(U66,U71)*U31*U7</f>
        <v>68.8612546556945</v>
      </c>
      <c r="V67" s="10">
        <f>'Term Sheet'!$C$14*AVERAGE(V66,V71)*V31*V7</f>
        <v>31.844492847664235</v>
      </c>
      <c r="W67" s="10">
        <f>'Term Sheet'!$C$14*AVERAGE(W66,W71)*W31*W7</f>
        <v>0</v>
      </c>
      <c r="X67" s="10">
        <f>'Term Sheet'!$C$14*AVERAGE(X66,X71)*X31*X7</f>
        <v>0</v>
      </c>
      <c r="Y67" s="10">
        <f>'Term Sheet'!$C$14*AVERAGE(Y66,Y71)*Y31*Y7</f>
        <v>0</v>
      </c>
    </row>
    <row r="68">
      <c r="B68" t="s" s="9">
        <v>247</v>
      </c>
      <c r="C68" s="10"/>
      <c r="D68" s="10">
        <f>-MIN('Term Sheet'!$C$36*'Term Sheet'!$C$17*D7,D66)</f>
        <v>0</v>
      </c>
      <c r="E68" s="10">
        <f>-MIN('Term Sheet'!$C$36*'Term Sheet'!$C$17*E7,E66)</f>
        <v>0</v>
      </c>
      <c r="F68" s="10">
        <f>-MIN('Term Sheet'!$C$36*'Term Sheet'!$C$17*F7,F66)</f>
        <v>0</v>
      </c>
      <c r="G68" s="10">
        <f>-MIN('Term Sheet'!$C$36*'Term Sheet'!$C$17*G7,G66)</f>
        <v>0</v>
      </c>
      <c r="H68" s="10">
        <f>-MIN('Term Sheet'!$C$36*'Term Sheet'!$C$17*H7,H66)</f>
        <v>0</v>
      </c>
      <c r="I68" s="10">
        <f>-MIN('Term Sheet'!$C$36*'Term Sheet'!$C$17*I7,I66)</f>
        <v>0</v>
      </c>
      <c r="J68" s="10"/>
      <c r="K68" s="10"/>
      <c r="L68" s="10">
        <f>-MIN('Term Sheet'!$C$36*'Term Sheet'!$C$17*L7,L66)</f>
        <v>0</v>
      </c>
      <c r="M68" s="10">
        <f>-MIN('Term Sheet'!$C$36*'Term Sheet'!$C$17*M7,M66)</f>
        <v>0</v>
      </c>
      <c r="N68" s="10">
        <f>-MIN('Term Sheet'!$C$36*'Term Sheet'!$C$17*N7,N66)</f>
        <v>0</v>
      </c>
      <c r="O68" s="10">
        <f>-MIN('Term Sheet'!$C$36*'Term Sheet'!$C$17*O7,O66)</f>
        <v>0</v>
      </c>
      <c r="P68" s="10">
        <f>-MIN('Term Sheet'!$C$36*'Term Sheet'!$C$17*P7,P66)</f>
        <v>0</v>
      </c>
      <c r="Q68" s="10">
        <f>-MIN('Term Sheet'!$C$36*'Term Sheet'!$C$17*Q7,Q66)</f>
        <v>0</v>
      </c>
      <c r="S68" s="10"/>
      <c r="T68" s="10">
        <f>-MIN('Term Sheet'!$C$36*'Term Sheet'!$C$17*T7,T66)</f>
        <v>0</v>
      </c>
      <c r="U68" s="10">
        <f>-MIN('Term Sheet'!$C$36*'Term Sheet'!$C$17*U7,U66)</f>
        <v>0</v>
      </c>
      <c r="V68" s="10">
        <f>-MIN('Term Sheet'!$C$36*'Term Sheet'!$C$17*V7,V66)</f>
        <v>0</v>
      </c>
      <c r="W68" s="10">
        <f>-MIN('Term Sheet'!$C$36*'Term Sheet'!$C$17*W7,W66)</f>
        <v>0</v>
      </c>
      <c r="X68" s="10">
        <f>-MIN('Term Sheet'!$C$36*'Term Sheet'!$C$17*X7,X66)</f>
        <v>0</v>
      </c>
      <c r="Y68" s="10">
        <f>-MIN('Term Sheet'!$C$36*'Term Sheet'!$C$17*Y7,Y66)</f>
        <v>0</v>
      </c>
    </row>
    <row r="69">
      <c r="B69" t="s" s="9">
        <v>257</v>
      </c>
      <c r="C69" s="10"/>
      <c r="D69" s="10">
        <f>-MIN(-D52,D66+D67+D68)</f>
        <v>0</v>
      </c>
      <c r="E69" s="10">
        <f>-MIN(-E52,E66+E67+E68)</f>
        <v>0</v>
      </c>
      <c r="F69" s="10">
        <f>-MIN(-F52,F66+F67+F68)</f>
        <v>0</v>
      </c>
      <c r="G69" s="10">
        <f>-MIN(-G52,G66+G67+G68)</f>
        <v>0</v>
      </c>
      <c r="H69" s="10">
        <f>-MIN(-H52,H66+H67+H68)</f>
        <v>0</v>
      </c>
      <c r="I69" s="10">
        <f>-MIN(-I52,I66+I67+I68)</f>
        <v>0</v>
      </c>
      <c r="J69" s="10"/>
      <c r="K69" s="10"/>
      <c r="L69" s="10">
        <f>-MIN(-L52,L66+L67+L68)</f>
        <v>0</v>
      </c>
      <c r="M69" s="10">
        <f>-MIN(-M52,M66+M67+M68)</f>
        <v>0</v>
      </c>
      <c r="N69" s="10">
        <f>-MIN(-N52,N66+N67+N68)</f>
        <v>0</v>
      </c>
      <c r="O69" s="10">
        <f>-MIN(-O52,O66+O67+O68)</f>
        <v>0</v>
      </c>
      <c r="P69" s="10">
        <f>-MIN(-P52,P66+P67+P68)</f>
        <v>0</v>
      </c>
      <c r="Q69" s="10">
        <f>-MIN(-Q52,Q66+Q67+Q68)</f>
        <v>0</v>
      </c>
      <c r="S69" s="10"/>
      <c r="T69" s="10">
        <f>-MIN(-T52,T66+T67+T68)</f>
        <v>0</v>
      </c>
      <c r="U69" s="10">
        <f>-MIN(-U52,U66+U67+U68)</f>
        <v>0</v>
      </c>
      <c r="V69" s="10">
        <f>-MIN(-V52,V66+V67+V68)</f>
        <v>0</v>
      </c>
      <c r="W69" s="10">
        <f>-MIN(-W52,W66+W67+W68)</f>
        <v>0</v>
      </c>
      <c r="X69" s="10">
        <f>-MIN(-X52,X66+X67+X68)</f>
        <v>0</v>
      </c>
      <c r="Y69" s="10">
        <f>-MIN(-Y52,Y66+Y67+Y68)</f>
        <v>0</v>
      </c>
    </row>
    <row r="70">
      <c r="B70" t="s" s="9">
        <v>269</v>
      </c>
      <c r="C70" s="10"/>
      <c r="D70" s="10">
        <f>-MIN(-D53,D66+D67+D68+D69)</f>
        <v>0</v>
      </c>
      <c r="E70" s="10">
        <f>-MIN(-E53,E66+E67+E68+E69)</f>
        <v>-74.31195526330325</v>
      </c>
      <c r="F70" s="10">
        <f>-MIN(-F53,F66+F67+F68+F69)</f>
        <v>-85.39454463719879</v>
      </c>
      <c r="G70" s="10">
        <f>-MIN(-G53,G66+G67+G68+G69)</f>
        <v>-116.519510765292</v>
      </c>
      <c r="H70" s="10">
        <f>-MIN(-H53,H66+H67+H68+H69)</f>
        <v>-173.51880687703118</v>
      </c>
      <c r="I70" s="10">
        <f>-MIN(-I53,I66+I67+I68+I69)</f>
        <v>-238.24736795419506</v>
      </c>
      <c r="J70" s="10"/>
      <c r="K70" s="10"/>
      <c r="L70" s="10">
        <f>-MIN(-L53,L66+L67+L68+L69)</f>
        <v>0</v>
      </c>
      <c r="M70" s="10">
        <f>-MIN(-M53,M66+M67+M68+M69)</f>
        <v>-112.2675627494879</v>
      </c>
      <c r="N70" s="10">
        <f>-MIN(-N53,N66+N67+N68+N69)</f>
        <v>-172.99780262151168</v>
      </c>
      <c r="O70" s="10">
        <f>-MIN(-O53,O66+O67+O68+O69)</f>
        <v>-274.89953998860466</v>
      </c>
      <c r="P70" s="10">
        <f>-MIN(-P53,P66+P67+P68+P69)</f>
        <v>-421.3779212985033</v>
      </c>
      <c r="Q70" s="10">
        <f>-MIN(-Q53,Q66+Q67+Q68+Q69)</f>
        <v>-582.4663639795365</v>
      </c>
      <c r="S70" s="10"/>
      <c r="T70" s="10">
        <f>-MIN(-T53,T66+T67+T68+T69)</f>
        <v>0</v>
      </c>
      <c r="U70" s="10">
        <f>-MIN(-U53,U66+U67+U68+U69)</f>
        <v>-30.320401003424955</v>
      </c>
      <c r="V70" s="10">
        <f>-MIN(-V53,V66+V67+V68+V69)</f>
        <v>-34.19650944294735</v>
      </c>
      <c r="W70" s="10">
        <f>-MIN(-W53,W66+W67+W68+W69)</f>
        <v>-43.281669732829805</v>
      </c>
      <c r="X70" s="10">
        <f>-MIN(-X53,X66+X67+X68+X69)</f>
        <v>-74.51410784371636</v>
      </c>
      <c r="Y70" s="10">
        <f>-MIN(-Y53,Y66+Y67+Y68+Y69)</f>
        <v>-108.56639939921705</v>
      </c>
    </row>
    <row r="71">
      <c r="B71" t="s" s="41">
        <v>263</v>
      </c>
      <c r="C71" s="46">
        <f>'Term Sheet'!$C$17</f>
        <v>2700</v>
      </c>
      <c r="D71" s="42">
        <f>SUM(D66:D70)</f>
        <v>2735.179759401606</v>
      </c>
      <c r="E71" s="42">
        <f>SUM(E66:E70)</f>
        <v>2729.1722036767824</v>
      </c>
      <c r="F71" s="42">
        <f>SUM(F66:F70)</f>
        <v>2674.811809030593</v>
      </c>
      <c r="G71" s="42">
        <f>SUM(G66:G70)</f>
        <v>2558.292298265301</v>
      </c>
      <c r="H71" s="42">
        <f>SUM(H66:H70)</f>
        <v>2384.7734913882696</v>
      </c>
      <c r="I71" s="42">
        <f>SUM(I66:I70)</f>
        <v>2146.5261234340746</v>
      </c>
      <c r="J71" s="10"/>
      <c r="K71" s="46">
        <f>'Term Sheet'!$C$17</f>
        <v>2700</v>
      </c>
      <c r="L71" s="42">
        <f>SUM(L66:L70)</f>
        <v>2735.179759401606</v>
      </c>
      <c r="M71" s="42">
        <f>SUM(M66:M70)</f>
        <v>2690.736145462925</v>
      </c>
      <c r="N71" s="42">
        <f>SUM(N66:N70)</f>
        <v>2547.822483327448</v>
      </c>
      <c r="O71" s="42">
        <f>SUM(O66:O70)</f>
        <v>2272.922943338843</v>
      </c>
      <c r="P71" s="42">
        <f>SUM(P66:P70)</f>
        <v>1851.54502204034</v>
      </c>
      <c r="Q71" s="42">
        <f>SUM(Q66:Q70)</f>
        <v>1269.0786580608033</v>
      </c>
      <c r="S71" s="46">
        <f>'Term Sheet'!$C$17</f>
        <v>2700</v>
      </c>
      <c r="T71" s="42">
        <f>SUM(T66:T70)</f>
        <v>2735.179759401606</v>
      </c>
      <c r="U71" s="42">
        <f>SUM(U66:U70)</f>
        <v>2773.7206130538757</v>
      </c>
      <c r="V71" s="42">
        <f>SUM(V66:V70)</f>
        <v>2771.3685964586716</v>
      </c>
      <c r="W71" s="42">
        <f>SUM(W66:W70)</f>
        <v>2728.0869267262037</v>
      </c>
      <c r="X71" s="42">
        <f>SUM(X66:X70)</f>
        <v>2653.5728188751564</v>
      </c>
      <c r="Y71" s="42">
        <f>SUM(Y66:Y70)</f>
        <v>2545.0064194545826</v>
      </c>
    </row>
    <row r="72">
      <c r="B72" t="s" s="9">
        <v>270</v>
      </c>
      <c r="C72" s="10"/>
      <c r="D72" s="10">
        <f>AVERAGE(D66,D71)</f>
        <v>2717.589879700803</v>
      </c>
      <c r="E72" s="10">
        <f>AVERAGE(E66,E71)</f>
        <v>2732.1759815391943</v>
      </c>
      <c r="F72" s="10">
        <f>AVERAGE(F66,F71)</f>
        <v>2701.9920063536874</v>
      </c>
      <c r="G72" s="10">
        <f>AVERAGE(G66,G71)</f>
        <v>2616.552053647947</v>
      </c>
      <c r="H72" s="10">
        <f>AVERAGE(H66,H71)</f>
        <v>2471.532894826785</v>
      </c>
      <c r="I72" s="10">
        <f>AVERAGE(I66,I71)</f>
        <v>2265.6498074111723</v>
      </c>
      <c r="J72" s="10"/>
      <c r="K72" s="10"/>
      <c r="L72" s="10">
        <f>AVERAGE(L66,L71)</f>
        <v>2717.589879700803</v>
      </c>
      <c r="M72" s="10">
        <f>AVERAGE(M66,M71)</f>
        <v>2712.9579524322653</v>
      </c>
      <c r="N72" s="10">
        <f>AVERAGE(N66,N71)</f>
        <v>2619.2793143951867</v>
      </c>
      <c r="O72" s="10">
        <f>AVERAGE(O66,O71)</f>
        <v>2410.372713333146</v>
      </c>
      <c r="P72" s="10">
        <f>AVERAGE(P66,P71)</f>
        <v>2062.2339826895914</v>
      </c>
      <c r="Q72" s="10">
        <f>AVERAGE(Q66,Q71)</f>
        <v>1560.3118400505714</v>
      </c>
      <c r="S72" s="10"/>
      <c r="T72" s="10">
        <f>AVERAGE(T66,T71)</f>
        <v>2717.589879700803</v>
      </c>
      <c r="U72" s="10">
        <f>AVERAGE(U66,U71)</f>
        <v>2754.450186227741</v>
      </c>
      <c r="V72" s="10">
        <f>AVERAGE(V66,V71)</f>
        <v>2772.544604756313</v>
      </c>
      <c r="W72" s="10">
        <f>AVERAGE(W66,W71)</f>
        <v>2749.7277615926187</v>
      </c>
      <c r="X72" s="10">
        <f>AVERAGE(X66,X71)</f>
        <v>2690.8298727970146</v>
      </c>
      <c r="Y72" s="10">
        <f>AVERAGE(Y66,Y71)</f>
        <v>2599.2896191541913</v>
      </c>
    </row>
    <row r="73">
      <c r="B73" t="s" s="9">
        <v>271</v>
      </c>
      <c r="C73" s="10"/>
      <c r="D73" s="10">
        <f>'Term Sheet'!$C$14*D72*D30*D7</f>
        <v>81.33560373651373</v>
      </c>
      <c r="E73" s="10">
        <f>'Term Sheet'!$C$14*E72*E30*E7</f>
        <v>157.91977173296542</v>
      </c>
      <c r="F73" s="10">
        <f>'Term Sheet'!$C$14*F72*F30*F7</f>
        <v>182.44758073394033</v>
      </c>
      <c r="G73" s="10">
        <f>'Term Sheet'!$C$14*G72*G30*G7</f>
        <v>203.56774977381028</v>
      </c>
      <c r="H73" s="10">
        <f>'Term Sheet'!$C$14*H72*H30*H7</f>
        <v>192.28525921752387</v>
      </c>
      <c r="I73" s="10">
        <f>'Term Sheet'!$C$14*I72*I30*I7</f>
        <v>176.2675550165892</v>
      </c>
      <c r="J73" s="10"/>
      <c r="K73" s="10"/>
      <c r="L73" s="10">
        <f>'Term Sheet'!$C$14*L72*L30*L7</f>
        <v>81.33560373651373</v>
      </c>
      <c r="M73" s="10">
        <f>'Term Sheet'!$C$14*M72*M30*M7</f>
        <v>156.8089696505849</v>
      </c>
      <c r="N73" s="10">
        <f>'Term Sheet'!$C$14*N72*N30*N7</f>
        <v>176.86254180401954</v>
      </c>
      <c r="O73" s="10">
        <f>'Term Sheet'!$C$14*O72*O30*O7</f>
        <v>187.52699709731874</v>
      </c>
      <c r="P73" s="10">
        <f>'Term Sheet'!$C$14*P72*P30*P7</f>
        <v>160.4418038532502</v>
      </c>
      <c r="Q73" s="10">
        <f>'Term Sheet'!$C$14*Q72*Q30*Q7</f>
        <v>121.39226115593445</v>
      </c>
      <c r="S73" s="10"/>
      <c r="T73" s="10">
        <f>'Term Sheet'!$C$14*T72*T30*T7</f>
        <v>81.33560373651373</v>
      </c>
      <c r="U73" s="10">
        <f>'Term Sheet'!$C$14*U72*U30*U7</f>
        <v>159.20722076396342</v>
      </c>
      <c r="V73" s="10">
        <f>'Term Sheet'!$C$14*V72*V30*V7</f>
        <v>187.21152928108026</v>
      </c>
      <c r="W73" s="10">
        <f>'Term Sheet'!$C$14*W72*W30*W7</f>
        <v>213.92881985190573</v>
      </c>
      <c r="X73" s="10">
        <f>'Term Sheet'!$C$14*X72*X30*X7</f>
        <v>209.3465641036077</v>
      </c>
      <c r="Y73" s="10">
        <f>'Term Sheet'!$C$14*Y72*Y30*Y7</f>
        <v>202.22473237019608</v>
      </c>
    </row>
    <row r="74">
      <c r="S74"/>
      <c r="T74"/>
      <c r="U74"/>
      <c r="V74"/>
      <c r="W74"/>
      <c r="X74"/>
      <c r="Y74"/>
    </row>
    <row r="75">
      <c r="B75" t="s" s="34">
        <v>272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>
      <c r="B76" t="s" s="9">
        <v>261</v>
      </c>
      <c r="C76" s="10"/>
      <c r="D76" s="10">
        <f>IF(C83=0,0,C82)</f>
        <v>0</v>
      </c>
      <c r="E76" s="10">
        <f>IF(D83=0,0,D82)</f>
        <v>0</v>
      </c>
      <c r="F76" s="10">
        <f>IF(E83=0,0,E82)</f>
        <v>0</v>
      </c>
      <c r="G76" s="10">
        <f>IF(F83=0,0,F82)</f>
        <v>0</v>
      </c>
      <c r="H76" s="10">
        <f>IF(G83=0,0,G82)</f>
        <v>0</v>
      </c>
      <c r="I76" s="10">
        <f>IF(H83=0,0,H82)</f>
        <v>0</v>
      </c>
      <c r="J76" s="10"/>
      <c r="K76" s="10"/>
      <c r="L76" s="10">
        <f>IF(K83=0,0,K82)</f>
        <v>0</v>
      </c>
      <c r="M76" s="10">
        <f>IF(L83=0,0,L82)</f>
        <v>0</v>
      </c>
      <c r="N76" s="10">
        <f>IF(M83=0,0,M82)</f>
        <v>0</v>
      </c>
      <c r="O76" s="10">
        <f>IF(N83=0,0,N82)</f>
        <v>0</v>
      </c>
      <c r="P76" s="10">
        <f>IF(O83=0,0,O82)</f>
        <v>0</v>
      </c>
      <c r="Q76" s="10">
        <f>IF(P83=0,0,P82)</f>
        <v>0</v>
      </c>
      <c r="S76" s="10"/>
      <c r="T76" s="10">
        <f>IF(S83=0,0,S82)</f>
        <v>0</v>
      </c>
      <c r="U76" s="10">
        <f>IF(T83=0,0,T82)</f>
        <v>0</v>
      </c>
      <c r="V76" s="10">
        <f>IF(U83=0,0,U82)</f>
        <v>0</v>
      </c>
      <c r="W76" s="10">
        <f>IF(V83=0,0,V82)</f>
        <v>0</v>
      </c>
      <c r="X76" s="10">
        <f>IF(W83=0,0,W82)</f>
        <v>0</v>
      </c>
      <c r="Y76" s="10">
        <f>IF(X83=0,0,X82)</f>
        <v>0</v>
      </c>
    </row>
    <row r="77">
      <c r="B77" t="s" s="9">
        <v>273</v>
      </c>
      <c r="C77" s="10"/>
      <c r="D77" s="10">
        <f>IF(YEAR(D$6)=YEAR(Scenarios!$C$21),Scenarios!$C$17*MIN(Scenarios!$C$22,'Term Sheet'!$C$54-C83),0)</f>
        <v>0</v>
      </c>
      <c r="E77" s="10">
        <f>IF(YEAR(E$6)=YEAR(Scenarios!$C$21),Scenarios!$C$17*MIN(Scenarios!$C$22,'Term Sheet'!$C$54-D83),0)</f>
        <v>0</v>
      </c>
      <c r="F77" s="10">
        <f>IF(YEAR(F$6)=YEAR(Scenarios!$C$21),Scenarios!$C$17*MIN(Scenarios!$C$22,'Term Sheet'!$C$54-E83),0)</f>
        <v>0</v>
      </c>
      <c r="G77" s="10">
        <f>IF(YEAR(G$6)=YEAR(Scenarios!$C$21),Scenarios!$C$17*MIN(Scenarios!$C$22,'Term Sheet'!$C$54-F83),0)</f>
        <v>0</v>
      </c>
      <c r="H77" s="10">
        <f>IF(YEAR(H$6)=YEAR(Scenarios!$C$21),Scenarios!$C$17*MIN(Scenarios!$C$22,'Term Sheet'!$C$54-G83),0)</f>
        <v>0</v>
      </c>
      <c r="I77" s="10">
        <f>IF(YEAR(I$6)=YEAR(Scenarios!$C$21),Scenarios!$C$17*MIN(Scenarios!$C$22,'Term Sheet'!$C$54-H83),0)</f>
        <v>0</v>
      </c>
      <c r="J77" s="10"/>
      <c r="K77" s="10"/>
      <c r="L77" s="10">
        <f>IF(YEAR(L$6)=YEAR(Scenarios!$C$21),Scenarios!$C$17*MIN(Scenarios!$C$22,'Term Sheet'!$C$54-K83),0)</f>
        <v>0</v>
      </c>
      <c r="M77" s="10">
        <f>IF(YEAR(M$6)=YEAR(Scenarios!$C$21),Scenarios!$C$17*MIN(Scenarios!$C$22,'Term Sheet'!$C$54-L83),0)</f>
        <v>0</v>
      </c>
      <c r="N77" s="10">
        <f>IF(YEAR(N$6)=YEAR(Scenarios!$C$21),Scenarios!$C$17*MIN(Scenarios!$C$22,'Term Sheet'!$C$54-M83),0)</f>
        <v>0</v>
      </c>
      <c r="O77" s="10">
        <f>IF(YEAR(O$6)=YEAR(Scenarios!$C$21),Scenarios!$C$17*MIN(Scenarios!$C$22,'Term Sheet'!$C$54-N83),0)</f>
        <v>0</v>
      </c>
      <c r="P77" s="10">
        <f>IF(YEAR(P$6)=YEAR(Scenarios!$C$21),Scenarios!$C$17*MIN(Scenarios!$C$22,'Term Sheet'!$C$54-O83),0)</f>
        <v>0</v>
      </c>
      <c r="Q77" s="10">
        <f>IF(YEAR(Q$6)=YEAR(Scenarios!$C$21),Scenarios!$C$17*MIN(Scenarios!$C$22,'Term Sheet'!$C$54-P83),0)</f>
        <v>0</v>
      </c>
      <c r="S77" s="10"/>
      <c r="T77" s="10">
        <f>IF(YEAR(T$6)=YEAR(Scenarios!$C$21),Scenarios!$C$17*MIN(Scenarios!$C$22,'Term Sheet'!$C$54-S83),0)</f>
        <v>0</v>
      </c>
      <c r="U77" s="10">
        <f>IF(YEAR(U$6)=YEAR(Scenarios!$C$21),Scenarios!$C$17*MIN(Scenarios!$C$22,'Term Sheet'!$C$54-T83),0)</f>
        <v>0</v>
      </c>
      <c r="V77" s="10">
        <f>IF(YEAR(V$6)=YEAR(Scenarios!$C$21),Scenarios!$C$17*MIN(Scenarios!$C$22,'Term Sheet'!$C$54-U83),0)</f>
        <v>0</v>
      </c>
      <c r="W77" s="10">
        <f>IF(YEAR(W$6)=YEAR(Scenarios!$C$21),Scenarios!$C$17*MIN(Scenarios!$C$22,'Term Sheet'!$C$54-V83),0)</f>
        <v>0</v>
      </c>
      <c r="X77" s="10">
        <f>IF(YEAR(X$6)=YEAR(Scenarios!$C$21),Scenarios!$C$17*MIN(Scenarios!$C$22,'Term Sheet'!$C$54-W83),0)</f>
        <v>0</v>
      </c>
      <c r="Y77" s="10">
        <f>IF(YEAR(Y$6)=YEAR(Scenarios!$C$21),Scenarios!$C$17*MIN(Scenarios!$C$22,'Term Sheet'!$C$54-X83),0)</f>
        <v>0</v>
      </c>
    </row>
    <row r="78">
      <c r="B78" t="s" s="9">
        <v>268</v>
      </c>
      <c r="C78" s="10"/>
      <c r="D78" s="10">
        <f>IF(C83+D77=0,0,'Term Sheet'!$C$14*AVERAGE(D76,D82)*D31*D7)</f>
        <v>0</v>
      </c>
      <c r="E78" s="10">
        <f>IF(D83+E77=0,0,'Term Sheet'!$C$14*AVERAGE(E76,E82)*E31*E7)</f>
        <v>0</v>
      </c>
      <c r="F78" s="10">
        <f>IF(E83+F77=0,0,'Term Sheet'!$C$14*AVERAGE(F76,F82)*F31*F7)</f>
        <v>0</v>
      </c>
      <c r="G78" s="10">
        <f>IF(F83+G77=0,0,'Term Sheet'!$C$14*AVERAGE(G76,G82)*G31*G7)</f>
        <v>0</v>
      </c>
      <c r="H78" s="10">
        <f>IF(G83+H77=0,0,'Term Sheet'!$C$14*AVERAGE(H76,H82)*H31*H7)</f>
        <v>0</v>
      </c>
      <c r="I78" s="10">
        <f>IF(H83+I77=0,0,'Term Sheet'!$C$14*AVERAGE(I76,I82)*I31*I7)</f>
        <v>0</v>
      </c>
      <c r="J78" s="10"/>
      <c r="K78" s="10"/>
      <c r="L78" s="10">
        <f>IF(K83+L77=0,0,'Term Sheet'!$C$14*AVERAGE(L76,L82)*L31*L7)</f>
        <v>0</v>
      </c>
      <c r="M78" s="10">
        <f>IF(L83+M77=0,0,'Term Sheet'!$C$14*AVERAGE(M76,M82)*M31*M7)</f>
        <v>0</v>
      </c>
      <c r="N78" s="10">
        <f>IF(M83+N77=0,0,'Term Sheet'!$C$14*AVERAGE(N76,N82)*N31*N7)</f>
        <v>0</v>
      </c>
      <c r="O78" s="10">
        <f>IF(N83+O77=0,0,'Term Sheet'!$C$14*AVERAGE(O76,O82)*O31*O7)</f>
        <v>0</v>
      </c>
      <c r="P78" s="10">
        <f>IF(O83+P77=0,0,'Term Sheet'!$C$14*AVERAGE(P76,P82)*P31*P7)</f>
        <v>0</v>
      </c>
      <c r="Q78" s="10">
        <f>IF(P83+Q77=0,0,'Term Sheet'!$C$14*AVERAGE(Q76,Q82)*Q31*Q7)</f>
        <v>0</v>
      </c>
      <c r="S78" s="10"/>
      <c r="T78" s="10">
        <f>IF(S83+T77=0,0,'Term Sheet'!$C$14*AVERAGE(T76,T82)*T31*T7)</f>
        <v>0</v>
      </c>
      <c r="U78" s="10">
        <f>IF(T83+U77=0,0,'Term Sheet'!$C$14*AVERAGE(U76,U82)*U31*U7)</f>
        <v>0</v>
      </c>
      <c r="V78" s="10">
        <f>IF(U83+V77=0,0,'Term Sheet'!$C$14*AVERAGE(V76,V82)*V31*V7)</f>
        <v>0</v>
      </c>
      <c r="W78" s="10">
        <f>IF(V83+W77=0,0,'Term Sheet'!$C$14*AVERAGE(W76,W82)*W31*W7)</f>
        <v>0</v>
      </c>
      <c r="X78" s="10">
        <f>IF(W83+X77=0,0,'Term Sheet'!$C$14*AVERAGE(X76,X82)*X31*X7)</f>
        <v>0</v>
      </c>
      <c r="Y78" s="10">
        <f>IF(X83+Y77=0,0,'Term Sheet'!$C$14*AVERAGE(Y76,Y82)*Y31*Y7)</f>
        <v>0</v>
      </c>
    </row>
    <row r="79">
      <c r="B79" t="s" s="9">
        <v>247</v>
      </c>
      <c r="C79" s="10"/>
      <c r="D79" s="10">
        <f>-MIN('Term Sheet'!$C$36*C83*D7,D76)</f>
        <v>0</v>
      </c>
      <c r="E79" s="10">
        <f>-MIN('Term Sheet'!$C$36*D83*E7,E76)</f>
        <v>0</v>
      </c>
      <c r="F79" s="10">
        <f>-MIN('Term Sheet'!$C$36*E83*F7,F76)</f>
        <v>0</v>
      </c>
      <c r="G79" s="10">
        <f>-MIN('Term Sheet'!$C$36*F83*G7,G76)</f>
        <v>0</v>
      </c>
      <c r="H79" s="10">
        <f>-MIN('Term Sheet'!$C$36*G83*H7,H76)</f>
        <v>0</v>
      </c>
      <c r="I79" s="10">
        <f>-MIN('Term Sheet'!$C$36*H83*I7,I76)</f>
        <v>0</v>
      </c>
      <c r="J79" s="10"/>
      <c r="K79" s="10"/>
      <c r="L79" s="10">
        <f>-MIN('Term Sheet'!$C$36*K83*L7,L76)</f>
        <v>0</v>
      </c>
      <c r="M79" s="10">
        <f>-MIN('Term Sheet'!$C$36*L83*M7,M76)</f>
        <v>0</v>
      </c>
      <c r="N79" s="10">
        <f>-MIN('Term Sheet'!$C$36*M83*N7,N76)</f>
        <v>0</v>
      </c>
      <c r="O79" s="10">
        <f>-MIN('Term Sheet'!$C$36*N83*O7,O76)</f>
        <v>0</v>
      </c>
      <c r="P79" s="10">
        <f>-MIN('Term Sheet'!$C$36*O83*P7,P76)</f>
        <v>0</v>
      </c>
      <c r="Q79" s="10">
        <f>-MIN('Term Sheet'!$C$36*P83*Q7,Q76)</f>
        <v>0</v>
      </c>
      <c r="S79" s="10"/>
      <c r="T79" s="10">
        <f>-MIN('Term Sheet'!$C$36*S83*T7,T76)</f>
        <v>0</v>
      </c>
      <c r="U79" s="10">
        <f>-MIN('Term Sheet'!$C$36*T83*U7,U76)</f>
        <v>0</v>
      </c>
      <c r="V79" s="10">
        <f>-MIN('Term Sheet'!$C$36*U83*V7,V76)</f>
        <v>0</v>
      </c>
      <c r="W79" s="10">
        <f>-MIN('Term Sheet'!$C$36*V83*W7,W76)</f>
        <v>0</v>
      </c>
      <c r="X79" s="10">
        <f>-MIN('Term Sheet'!$C$36*W83*X7,X76)</f>
        <v>0</v>
      </c>
      <c r="Y79" s="10">
        <f>-MIN('Term Sheet'!$C$36*X83*Y7,Y76)</f>
        <v>0</v>
      </c>
    </row>
    <row r="80">
      <c r="B80" t="s" s="9">
        <v>257</v>
      </c>
      <c r="C80" s="10"/>
      <c r="D80" s="10">
        <f>-MIN(-(D52-D69),D76+D77+D78+D79)</f>
        <v>0</v>
      </c>
      <c r="E80" s="10">
        <f>-MIN(-(E52-E69),E76+E77+E78+E79)</f>
        <v>0</v>
      </c>
      <c r="F80" s="10">
        <f>-MIN(-(F52-F69),F76+F77+F78+F79)</f>
        <v>0</v>
      </c>
      <c r="G80" s="10">
        <f>-MIN(-(G52-G69),G76+G77+G78+G79)</f>
        <v>0</v>
      </c>
      <c r="H80" s="10">
        <f>-MIN(-(H52-H69),H76+H77+H78+H79)</f>
        <v>0</v>
      </c>
      <c r="I80" s="10">
        <f>-MIN(-(I52-I69),I76+I77+I78+I79)</f>
        <v>0</v>
      </c>
      <c r="J80" s="10"/>
      <c r="K80" s="10"/>
      <c r="L80" s="10">
        <f>-MIN(-(L52-L69),L76+L77+L78+L79)</f>
        <v>0</v>
      </c>
      <c r="M80" s="10">
        <f>-MIN(-(M52-M69),M76+M77+M78+M79)</f>
        <v>0</v>
      </c>
      <c r="N80" s="10">
        <f>-MIN(-(N52-N69),N76+N77+N78+N79)</f>
        <v>0</v>
      </c>
      <c r="O80" s="10">
        <f>-MIN(-(O52-O69),O76+O77+O78+O79)</f>
        <v>0</v>
      </c>
      <c r="P80" s="10">
        <f>-MIN(-(P52-P69),P76+P77+P78+P79)</f>
        <v>0</v>
      </c>
      <c r="Q80" s="10">
        <f>-MIN(-(Q52-Q69),Q76+Q77+Q78+Q79)</f>
        <v>0</v>
      </c>
      <c r="S80" s="10"/>
      <c r="T80" s="10">
        <f>-MIN(-(T52-T69),T76+T77+T78+T79)</f>
        <v>0</v>
      </c>
      <c r="U80" s="10">
        <f>-MIN(-(U52-U69),U76+U77+U78+U79)</f>
        <v>0</v>
      </c>
      <c r="V80" s="10">
        <f>-MIN(-(V52-V69),V76+V77+V78+V79)</f>
        <v>0</v>
      </c>
      <c r="W80" s="10">
        <f>-MIN(-(W52-W69),W76+W77+W78+W79)</f>
        <v>0</v>
      </c>
      <c r="X80" s="10">
        <f>-MIN(-(X52-X69),X76+X77+X78+X79)</f>
        <v>0</v>
      </c>
      <c r="Y80" s="10">
        <f>-MIN(-(Y52-Y69),Y76+Y77+Y78+Y79)</f>
        <v>0</v>
      </c>
    </row>
    <row r="81">
      <c r="B81" t="s" s="9">
        <v>269</v>
      </c>
      <c r="C81" s="10"/>
      <c r="D81" s="10">
        <f>-MIN(-(D53-D70),D76+D77+D78+D79+D80)</f>
        <v>0</v>
      </c>
      <c r="E81" s="10">
        <f>-MIN(-(E53-E70),E76+E77+E78+E79+E80)</f>
        <v>0</v>
      </c>
      <c r="F81" s="10">
        <f>-MIN(-(F53-F70),F76+F77+F78+F79+F80)</f>
        <v>0</v>
      </c>
      <c r="G81" s="10">
        <f>-MIN(-(G53-G70),G76+G77+G78+G79+G80)</f>
        <v>0</v>
      </c>
      <c r="H81" s="10">
        <f>-MIN(-(H53-H70),H76+H77+H78+H79+H80)</f>
        <v>0</v>
      </c>
      <c r="I81" s="10">
        <f>-MIN(-(I53-I70),I76+I77+I78+I79+I80)</f>
        <v>0</v>
      </c>
      <c r="J81" s="10"/>
      <c r="K81" s="10"/>
      <c r="L81" s="10">
        <f>-MIN(-(L53-L70),L76+L77+L78+L79+L80)</f>
        <v>0</v>
      </c>
      <c r="M81" s="10">
        <f>-MIN(-(M53-M70),M76+M77+M78+M79+M80)</f>
        <v>0</v>
      </c>
      <c r="N81" s="10">
        <f>-MIN(-(N53-N70),N76+N77+N78+N79+N80)</f>
        <v>0</v>
      </c>
      <c r="O81" s="10">
        <f>-MIN(-(O53-O70),O76+O77+O78+O79+O80)</f>
        <v>0</v>
      </c>
      <c r="P81" s="10">
        <f>-MIN(-(P53-P70),P76+P77+P78+P79+P80)</f>
        <v>0</v>
      </c>
      <c r="Q81" s="10">
        <f>-MIN(-(Q53-Q70),Q76+Q77+Q78+Q79+Q80)</f>
        <v>0</v>
      </c>
      <c r="S81" s="10"/>
      <c r="T81" s="10">
        <f>-MIN(-(T53-T70),T76+T77+T78+T79+T80)</f>
        <v>0</v>
      </c>
      <c r="U81" s="10">
        <f>-MIN(-(U53-U70),U76+U77+U78+U79+U80)</f>
        <v>0</v>
      </c>
      <c r="V81" s="10">
        <f>-MIN(-(V53-V70),V76+V77+V78+V79+V80)</f>
        <v>0</v>
      </c>
      <c r="W81" s="10">
        <f>-MIN(-(W53-W70),W76+W77+W78+W79+W80)</f>
        <v>0</v>
      </c>
      <c r="X81" s="10">
        <f>-MIN(-(X53-X70),X76+X77+X78+X79+X80)</f>
        <v>0</v>
      </c>
      <c r="Y81" s="10">
        <f>-MIN(-(Y53-Y70),Y76+Y77+Y78+Y79+Y80)</f>
        <v>0</v>
      </c>
    </row>
    <row r="82">
      <c r="B82" t="s" s="41">
        <v>263</v>
      </c>
      <c r="C82" s="46">
        <f>'Term Sheet'!$C$55</f>
        <v>0</v>
      </c>
      <c r="D82" s="42">
        <f>SUM(D76:D81)</f>
        <v>0</v>
      </c>
      <c r="E82" s="42">
        <f>SUM(E76:E81)</f>
        <v>0</v>
      </c>
      <c r="F82" s="42">
        <f>SUM(F76:F81)</f>
        <v>0</v>
      </c>
      <c r="G82" s="42">
        <f>SUM(G76:G81)</f>
        <v>0</v>
      </c>
      <c r="H82" s="42">
        <f>SUM(H76:H81)</f>
        <v>0</v>
      </c>
      <c r="I82" s="42">
        <f>SUM(I76:I81)</f>
        <v>0</v>
      </c>
      <c r="J82" s="10"/>
      <c r="K82" s="46">
        <f>'Term Sheet'!$C$55</f>
        <v>0</v>
      </c>
      <c r="L82" s="42">
        <f>SUM(L76:L81)</f>
        <v>0</v>
      </c>
      <c r="M82" s="42">
        <f>SUM(M76:M81)</f>
        <v>0</v>
      </c>
      <c r="N82" s="42">
        <f>SUM(N76:N81)</f>
        <v>0</v>
      </c>
      <c r="O82" s="42">
        <f>SUM(O76:O81)</f>
        <v>0</v>
      </c>
      <c r="P82" s="42">
        <f>SUM(P76:P81)</f>
        <v>0</v>
      </c>
      <c r="Q82" s="42">
        <f>SUM(Q76:Q81)</f>
        <v>0</v>
      </c>
      <c r="S82" s="46">
        <f>'Term Sheet'!$C$55</f>
        <v>0</v>
      </c>
      <c r="T82" s="42">
        <f>SUM(T76:T81)</f>
        <v>0</v>
      </c>
      <c r="U82" s="42">
        <f>SUM(U76:U81)</f>
        <v>0</v>
      </c>
      <c r="V82" s="42">
        <f>SUM(V76:V81)</f>
        <v>0</v>
      </c>
      <c r="W82" s="42">
        <f>SUM(W76:W81)</f>
        <v>0</v>
      </c>
      <c r="X82" s="42">
        <f>SUM(X76:X81)</f>
        <v>0</v>
      </c>
      <c r="Y82" s="42">
        <f>SUM(Y76:Y81)</f>
        <v>0</v>
      </c>
    </row>
    <row r="83">
      <c r="B83" t="s" s="9">
        <v>274</v>
      </c>
      <c r="C83" s="44">
        <f>'Term Sheet'!$C$55</f>
        <v>0</v>
      </c>
      <c r="D83" s="10">
        <f>C83+D77</f>
        <v>0</v>
      </c>
      <c r="E83" s="10">
        <f>D83+E77</f>
        <v>0</v>
      </c>
      <c r="F83" s="10">
        <f>E83+F77</f>
        <v>0</v>
      </c>
      <c r="G83" s="10">
        <f>F83+G77</f>
        <v>0</v>
      </c>
      <c r="H83" s="10">
        <f>G83+H77</f>
        <v>0</v>
      </c>
      <c r="I83" s="10">
        <f>H83+I77</f>
        <v>0</v>
      </c>
      <c r="J83" s="10"/>
      <c r="K83" s="44">
        <f>'Term Sheet'!$C$55</f>
        <v>0</v>
      </c>
      <c r="L83" s="10">
        <f>K83+L77</f>
        <v>0</v>
      </c>
      <c r="M83" s="10">
        <f>L83+M77</f>
        <v>0</v>
      </c>
      <c r="N83" s="10">
        <f>M83+N77</f>
        <v>0</v>
      </c>
      <c r="O83" s="10">
        <f>N83+O77</f>
        <v>0</v>
      </c>
      <c r="P83" s="10">
        <f>O83+P77</f>
        <v>0</v>
      </c>
      <c r="Q83" s="10">
        <f>P83+Q77</f>
        <v>0</v>
      </c>
      <c r="S83" s="44">
        <f>'Term Sheet'!$C$55</f>
        <v>0</v>
      </c>
      <c r="T83" s="10">
        <f>S83+T77</f>
        <v>0</v>
      </c>
      <c r="U83" s="10">
        <f>T83+U77</f>
        <v>0</v>
      </c>
      <c r="V83" s="10">
        <f>U83+V77</f>
        <v>0</v>
      </c>
      <c r="W83" s="10">
        <f>V83+W77</f>
        <v>0</v>
      </c>
      <c r="X83" s="10">
        <f>W83+X77</f>
        <v>0</v>
      </c>
      <c r="Y83" s="10">
        <f>X83+Y77</f>
        <v>0</v>
      </c>
    </row>
    <row r="84">
      <c r="B84" t="s" s="9">
        <v>275</v>
      </c>
      <c r="C84" s="10">
        <f>'Term Sheet'!$C$54-C83</f>
        <v>500</v>
      </c>
      <c r="D84" s="10">
        <f>IF(MAX('Term Sheet'!$C$7,EDATE(D$6,-12))&lt;'Term Sheet'!$C$57,'Term Sheet'!$C$54-D83,0)</f>
        <v>500</v>
      </c>
      <c r="E84" s="10">
        <f>IF(MAX('Term Sheet'!$C$7,EDATE(E$6,-12))&lt;'Term Sheet'!$C$57,'Term Sheet'!$C$54-E83,0)</f>
        <v>500</v>
      </c>
      <c r="F84" s="10">
        <f>IF(MAX('Term Sheet'!$C$7,EDATE(F$6,-12))&lt;'Term Sheet'!$C$57,'Term Sheet'!$C$54-F83,0)</f>
        <v>500</v>
      </c>
      <c r="G84" s="10">
        <f>IF(MAX('Term Sheet'!$C$7,EDATE(G$6,-12))&lt;'Term Sheet'!$C$57,'Term Sheet'!$C$54-G83,0)</f>
        <v>0</v>
      </c>
      <c r="H84" s="10">
        <f>IF(MAX('Term Sheet'!$C$7,EDATE(H$6,-12))&lt;'Term Sheet'!$C$57,'Term Sheet'!$C$54-H83,0)</f>
        <v>0</v>
      </c>
      <c r="I84" s="10">
        <f>IF(MAX('Term Sheet'!$C$7,EDATE(I$6,-12))&lt;'Term Sheet'!$C$57,'Term Sheet'!$C$54-I83,0)</f>
        <v>0</v>
      </c>
      <c r="J84" s="10"/>
      <c r="K84" s="10">
        <f>'Term Sheet'!$C$54-K83</f>
        <v>500</v>
      </c>
      <c r="L84" s="10">
        <f>IF(MAX('Term Sheet'!$C$7,EDATE(L$6,-12))&lt;'Term Sheet'!$C$57,'Term Sheet'!$C$54-L83,0)</f>
        <v>500</v>
      </c>
      <c r="M84" s="10">
        <f>IF(MAX('Term Sheet'!$C$7,EDATE(M$6,-12))&lt;'Term Sheet'!$C$57,'Term Sheet'!$C$54-M83,0)</f>
        <v>500</v>
      </c>
      <c r="N84" s="10">
        <f>IF(MAX('Term Sheet'!$C$7,EDATE(N$6,-12))&lt;'Term Sheet'!$C$57,'Term Sheet'!$C$54-N83,0)</f>
        <v>500</v>
      </c>
      <c r="O84" s="10">
        <f>IF(MAX('Term Sheet'!$C$7,EDATE(O$6,-12))&lt;'Term Sheet'!$C$57,'Term Sheet'!$C$54-O83,0)</f>
        <v>0</v>
      </c>
      <c r="P84" s="10">
        <f>IF(MAX('Term Sheet'!$C$7,EDATE(P$6,-12))&lt;'Term Sheet'!$C$57,'Term Sheet'!$C$54-P83,0)</f>
        <v>0</v>
      </c>
      <c r="Q84" s="10">
        <f>IF(MAX('Term Sheet'!$C$7,EDATE(Q$6,-12))&lt;'Term Sheet'!$C$57,'Term Sheet'!$C$54-Q83,0)</f>
        <v>0</v>
      </c>
      <c r="S84" s="10">
        <f>'Term Sheet'!$C$54-S83</f>
        <v>500</v>
      </c>
      <c r="T84" s="10">
        <f>IF(MAX('Term Sheet'!$C$7,EDATE(T$6,-12))&lt;'Term Sheet'!$C$57,'Term Sheet'!$C$54-T83,0)</f>
        <v>500</v>
      </c>
      <c r="U84" s="10">
        <f>IF(MAX('Term Sheet'!$C$7,EDATE(U$6,-12))&lt;'Term Sheet'!$C$57,'Term Sheet'!$C$54-U83,0)</f>
        <v>500</v>
      </c>
      <c r="V84" s="10">
        <f>IF(MAX('Term Sheet'!$C$7,EDATE(V$6,-12))&lt;'Term Sheet'!$C$57,'Term Sheet'!$C$54-V83,0)</f>
        <v>500</v>
      </c>
      <c r="W84" s="10">
        <f>IF(MAX('Term Sheet'!$C$7,EDATE(W$6,-12))&lt;'Term Sheet'!$C$57,'Term Sheet'!$C$54-W83,0)</f>
        <v>0</v>
      </c>
      <c r="X84" s="10">
        <f>IF(MAX('Term Sheet'!$C$7,EDATE(X$6,-12))&lt;'Term Sheet'!$C$57,'Term Sheet'!$C$54-X83,0)</f>
        <v>0</v>
      </c>
      <c r="Y84" s="10">
        <f>IF(MAX('Term Sheet'!$C$7,EDATE(Y$6,-12))&lt;'Term Sheet'!$C$57,'Term Sheet'!$C$54-Y83,0)</f>
        <v>0</v>
      </c>
    </row>
    <row r="85">
      <c r="B85" t="s" s="9">
        <v>270</v>
      </c>
      <c r="C85" s="10"/>
      <c r="D85" s="10">
        <f>AVERAGE(D76,D82)</f>
        <v>0</v>
      </c>
      <c r="E85" s="10">
        <f>AVERAGE(E76,E82)</f>
        <v>0</v>
      </c>
      <c r="F85" s="10">
        <f>AVERAGE(F76,F82)</f>
        <v>0</v>
      </c>
      <c r="G85" s="10">
        <f>AVERAGE(G76,G82)</f>
        <v>0</v>
      </c>
      <c r="H85" s="10">
        <f>AVERAGE(H76,H82)</f>
        <v>0</v>
      </c>
      <c r="I85" s="10">
        <f>AVERAGE(I76,I82)</f>
        <v>0</v>
      </c>
      <c r="J85" s="10"/>
      <c r="K85" s="10"/>
      <c r="L85" s="10">
        <f>AVERAGE(L76,L82)</f>
        <v>0</v>
      </c>
      <c r="M85" s="10">
        <f>AVERAGE(M76,M82)</f>
        <v>0</v>
      </c>
      <c r="N85" s="10">
        <f>AVERAGE(N76,N82)</f>
        <v>0</v>
      </c>
      <c r="O85" s="10">
        <f>AVERAGE(O76,O82)</f>
        <v>0</v>
      </c>
      <c r="P85" s="10">
        <f>AVERAGE(P76,P82)</f>
        <v>0</v>
      </c>
      <c r="Q85" s="10">
        <f>AVERAGE(Q76,Q82)</f>
        <v>0</v>
      </c>
      <c r="S85" s="10"/>
      <c r="T85" s="10">
        <f>AVERAGE(T76,T82)</f>
        <v>0</v>
      </c>
      <c r="U85" s="10">
        <f>AVERAGE(U76,U82)</f>
        <v>0</v>
      </c>
      <c r="V85" s="10">
        <f>AVERAGE(V76,V82)</f>
        <v>0</v>
      </c>
      <c r="W85" s="10">
        <f>AVERAGE(W76,W82)</f>
        <v>0</v>
      </c>
      <c r="X85" s="10">
        <f>AVERAGE(X76,X82)</f>
        <v>0</v>
      </c>
      <c r="Y85" s="10">
        <f>AVERAGE(Y76,Y82)</f>
        <v>0</v>
      </c>
    </row>
    <row r="86">
      <c r="B86" t="s" s="9">
        <v>271</v>
      </c>
      <c r="C86" s="10"/>
      <c r="D86" s="10">
        <f>'Term Sheet'!$C$14*D85*D30*D7</f>
        <v>0</v>
      </c>
      <c r="E86" s="10">
        <f>'Term Sheet'!$C$14*E85*E30*E7</f>
        <v>0</v>
      </c>
      <c r="F86" s="10">
        <f>'Term Sheet'!$C$14*F85*F30*F7</f>
        <v>0</v>
      </c>
      <c r="G86" s="10">
        <f>'Term Sheet'!$C$14*G85*G30*G7</f>
        <v>0</v>
      </c>
      <c r="H86" s="10">
        <f>'Term Sheet'!$C$14*H85*H30*H7</f>
        <v>0</v>
      </c>
      <c r="I86" s="10">
        <f>'Term Sheet'!$C$14*I85*I30*I7</f>
        <v>0</v>
      </c>
      <c r="J86" s="10"/>
      <c r="K86" s="10"/>
      <c r="L86" s="10">
        <f>'Term Sheet'!$C$14*L85*L30*L7</f>
        <v>0</v>
      </c>
      <c r="M86" s="10">
        <f>'Term Sheet'!$C$14*M85*M30*M7</f>
        <v>0</v>
      </c>
      <c r="N86" s="10">
        <f>'Term Sheet'!$C$14*N85*N30*N7</f>
        <v>0</v>
      </c>
      <c r="O86" s="10">
        <f>'Term Sheet'!$C$14*O85*O30*O7</f>
        <v>0</v>
      </c>
      <c r="P86" s="10">
        <f>'Term Sheet'!$C$14*P85*P30*P7</f>
        <v>0</v>
      </c>
      <c r="Q86" s="10">
        <f>'Term Sheet'!$C$14*Q85*Q30*Q7</f>
        <v>0</v>
      </c>
      <c r="S86" s="10"/>
      <c r="T86" s="10">
        <f>'Term Sheet'!$C$14*T85*T30*T7</f>
        <v>0</v>
      </c>
      <c r="U86" s="10">
        <f>'Term Sheet'!$C$14*U85*U30*U7</f>
        <v>0</v>
      </c>
      <c r="V86" s="10">
        <f>'Term Sheet'!$C$14*V85*V30*V7</f>
        <v>0</v>
      </c>
      <c r="W86" s="10">
        <f>'Term Sheet'!$C$14*W85*W30*W7</f>
        <v>0</v>
      </c>
      <c r="X86" s="10">
        <f>'Term Sheet'!$C$14*X85*X30*X7</f>
        <v>0</v>
      </c>
      <c r="Y86" s="10">
        <f>'Term Sheet'!$C$14*Y85*Y30*Y7</f>
        <v>0</v>
      </c>
    </row>
    <row r="87">
      <c r="B87" t="s" s="9">
        <v>276</v>
      </c>
      <c r="C87" s="10"/>
      <c r="D87" s="10">
        <f>'Term Sheet'!$C$14*AVERAGE(C84,D84)*D34*D7</f>
        <v>0.6780821917808219</v>
      </c>
      <c r="E87" s="10">
        <f>'Term Sheet'!$C$14*AVERAGE(D84,E84)*E34*E7</f>
        <v>3.7945205479452055</v>
      </c>
      <c r="F87" s="10">
        <f>'Term Sheet'!$C$14*AVERAGE(E84,F84)*F34*F7</f>
        <v>4.918032786885246</v>
      </c>
      <c r="G87" s="10">
        <f>'Term Sheet'!$C$14*AVERAGE(F84,G84)*G34*G7</f>
        <v>0</v>
      </c>
      <c r="H87" s="10">
        <f>'Term Sheet'!$C$14*AVERAGE(G84,H84)*H34*H7</f>
        <v>0</v>
      </c>
      <c r="I87" s="10">
        <f>'Term Sheet'!$C$14*AVERAGE(H84,I84)*I34*I7</f>
        <v>0</v>
      </c>
      <c r="J87" s="10"/>
      <c r="K87" s="10"/>
      <c r="L87" s="10">
        <f>'Term Sheet'!$C$14*AVERAGE(K84,L84)*L34*L7</f>
        <v>0.6780821917808219</v>
      </c>
      <c r="M87" s="10">
        <f>'Term Sheet'!$C$14*AVERAGE(L84,M84)*M34*M7</f>
        <v>3.7945205479452055</v>
      </c>
      <c r="N87" s="10">
        <f>'Term Sheet'!$C$14*AVERAGE(M84,N84)*N34*N7</f>
        <v>4.918032786885246</v>
      </c>
      <c r="O87" s="10">
        <f>'Term Sheet'!$C$14*AVERAGE(N84,O84)*O34*O7</f>
        <v>0</v>
      </c>
      <c r="P87" s="10">
        <f>'Term Sheet'!$C$14*AVERAGE(O84,P84)*P34*P7</f>
        <v>0</v>
      </c>
      <c r="Q87" s="10">
        <f>'Term Sheet'!$C$14*AVERAGE(P84,Q84)*Q34*Q7</f>
        <v>0</v>
      </c>
      <c r="S87" s="10"/>
      <c r="T87" s="10">
        <f>'Term Sheet'!$C$14*AVERAGE(S84,T84)*T34*T7</f>
        <v>0.6780821917808219</v>
      </c>
      <c r="U87" s="10">
        <f>'Term Sheet'!$C$14*AVERAGE(T84,U84)*U34*U7</f>
        <v>3.7945205479452055</v>
      </c>
      <c r="V87" s="10">
        <f>'Term Sheet'!$C$14*AVERAGE(U84,V84)*V34*V7</f>
        <v>4.918032786885246</v>
      </c>
      <c r="W87" s="10">
        <f>'Term Sheet'!$C$14*AVERAGE(V84,W84)*W34*W7</f>
        <v>0</v>
      </c>
      <c r="X87" s="10">
        <f>'Term Sheet'!$C$14*AVERAGE(W84,X84)*X34*X7</f>
        <v>0</v>
      </c>
      <c r="Y87" s="10">
        <f>'Term Sheet'!$C$14*AVERAGE(X84,Y84)*Y34*Y7</f>
        <v>0</v>
      </c>
    </row>
    <row r="88">
      <c r="S88"/>
      <c r="T88"/>
      <c r="U88"/>
      <c r="V88"/>
      <c r="W88"/>
      <c r="X88"/>
      <c r="Y88"/>
    </row>
    <row r="89">
      <c r="B89" t="s" s="34">
        <v>277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>
      <c r="B90" t="s" s="9">
        <v>261</v>
      </c>
      <c r="C90" s="10"/>
      <c r="D90" s="10">
        <f>C92</f>
        <v>54</v>
      </c>
      <c r="E90" s="10">
        <f>D92</f>
        <v>50.00547945205479</v>
      </c>
      <c r="F90" s="10">
        <f>E92</f>
        <v>42.29119373776908</v>
      </c>
      <c r="G90" s="10">
        <f>F92</f>
        <v>34.57690802348336</v>
      </c>
      <c r="H90" s="10">
        <f>G92</f>
        <v>26.862622309197647</v>
      </c>
      <c r="I90" s="10">
        <f>H92</f>
        <v>19.14833659491193</v>
      </c>
      <c r="J90" s="10"/>
      <c r="K90" s="10"/>
      <c r="L90" s="10">
        <f>K92</f>
        <v>54</v>
      </c>
      <c r="M90" s="10">
        <f>L92</f>
        <v>50.00547945205479</v>
      </c>
      <c r="N90" s="10">
        <f>M92</f>
        <v>42.29119373776908</v>
      </c>
      <c r="O90" s="10">
        <f>N92</f>
        <v>34.57690802348336</v>
      </c>
      <c r="P90" s="10">
        <f>O92</f>
        <v>26.862622309197647</v>
      </c>
      <c r="Q90" s="10">
        <f>P92</f>
        <v>19.14833659491193</v>
      </c>
      <c r="S90" s="10"/>
      <c r="T90" s="10">
        <f>S92</f>
        <v>54</v>
      </c>
      <c r="U90" s="10">
        <f>T92</f>
        <v>50.00547945205479</v>
      </c>
      <c r="V90" s="10">
        <f>U92</f>
        <v>42.29119373776908</v>
      </c>
      <c r="W90" s="10">
        <f>V92</f>
        <v>34.57690802348336</v>
      </c>
      <c r="X90" s="10">
        <f>W92</f>
        <v>26.862622309197647</v>
      </c>
      <c r="Y90" s="10">
        <f>X92</f>
        <v>19.14833659491193</v>
      </c>
    </row>
    <row r="91">
      <c r="B91" t="s" s="9">
        <v>278</v>
      </c>
      <c r="C91" s="10"/>
      <c r="D91" s="10">
        <f>-MIN(D90,'Term Sheet'!$C$50/'Term Sheet'!$C$51*D7)</f>
        <v>-3.9945205479452053</v>
      </c>
      <c r="E91" s="10">
        <f>-MIN(E90,'Term Sheet'!$C$50/'Term Sheet'!$C$51*E7)</f>
        <v>-7.714285714285714</v>
      </c>
      <c r="F91" s="10">
        <f>-MIN(F90,'Term Sheet'!$C$50/'Term Sheet'!$C$51*F7)</f>
        <v>-7.714285714285714</v>
      </c>
      <c r="G91" s="10">
        <f>-MIN(G90,'Term Sheet'!$C$50/'Term Sheet'!$C$51*G7)</f>
        <v>-7.714285714285714</v>
      </c>
      <c r="H91" s="10">
        <f>-MIN(H90,'Term Sheet'!$C$50/'Term Sheet'!$C$51*H7)</f>
        <v>-7.714285714285714</v>
      </c>
      <c r="I91" s="10">
        <f>-MIN(I90,'Term Sheet'!$C$50/'Term Sheet'!$C$51*I7)</f>
        <v>-7.714285714285714</v>
      </c>
      <c r="J91" s="10"/>
      <c r="K91" s="10"/>
      <c r="L91" s="10">
        <f>-MIN(L90,'Term Sheet'!$C$50/'Term Sheet'!$C$51*L7)</f>
        <v>-3.9945205479452053</v>
      </c>
      <c r="M91" s="10">
        <f>-MIN(M90,'Term Sheet'!$C$50/'Term Sheet'!$C$51*M7)</f>
        <v>-7.714285714285714</v>
      </c>
      <c r="N91" s="10">
        <f>-MIN(N90,'Term Sheet'!$C$50/'Term Sheet'!$C$51*N7)</f>
        <v>-7.714285714285714</v>
      </c>
      <c r="O91" s="10">
        <f>-MIN(O90,'Term Sheet'!$C$50/'Term Sheet'!$C$51*O7)</f>
        <v>-7.714285714285714</v>
      </c>
      <c r="P91" s="10">
        <f>-MIN(P90,'Term Sheet'!$C$50/'Term Sheet'!$C$51*P7)</f>
        <v>-7.714285714285714</v>
      </c>
      <c r="Q91" s="10">
        <f>-MIN(Q90,'Term Sheet'!$C$50/'Term Sheet'!$C$51*Q7)</f>
        <v>-7.714285714285714</v>
      </c>
      <c r="S91" s="10"/>
      <c r="T91" s="10">
        <f>-MIN(T90,'Term Sheet'!$C$50/'Term Sheet'!$C$51*T7)</f>
        <v>-3.9945205479452053</v>
      </c>
      <c r="U91" s="10">
        <f>-MIN(U90,'Term Sheet'!$C$50/'Term Sheet'!$C$51*U7)</f>
        <v>-7.714285714285714</v>
      </c>
      <c r="V91" s="10">
        <f>-MIN(V90,'Term Sheet'!$C$50/'Term Sheet'!$C$51*V7)</f>
        <v>-7.714285714285714</v>
      </c>
      <c r="W91" s="10">
        <f>-MIN(W90,'Term Sheet'!$C$50/'Term Sheet'!$C$51*W7)</f>
        <v>-7.714285714285714</v>
      </c>
      <c r="X91" s="10">
        <f>-MIN(X90,'Term Sheet'!$C$50/'Term Sheet'!$C$51*X7)</f>
        <v>-7.714285714285714</v>
      </c>
      <c r="Y91" s="10">
        <f>-MIN(Y90,'Term Sheet'!$C$50/'Term Sheet'!$C$51*Y7)</f>
        <v>-7.714285714285714</v>
      </c>
    </row>
    <row r="92">
      <c r="B92" t="s" s="41">
        <v>263</v>
      </c>
      <c r="C92" s="46">
        <f>'Term Sheet'!$C$50</f>
        <v>54</v>
      </c>
      <c r="D92" s="42">
        <f>D90+D91</f>
        <v>50.00547945205479</v>
      </c>
      <c r="E92" s="42">
        <f>E90+E91</f>
        <v>42.29119373776908</v>
      </c>
      <c r="F92" s="42">
        <f>F90+F91</f>
        <v>34.57690802348336</v>
      </c>
      <c r="G92" s="42">
        <f>G90+G91</f>
        <v>26.862622309197647</v>
      </c>
      <c r="H92" s="42">
        <f>H90+H91</f>
        <v>19.14833659491193</v>
      </c>
      <c r="I92" s="42">
        <f>I90+I91</f>
        <v>11.434050880626216</v>
      </c>
      <c r="J92" s="10"/>
      <c r="K92" s="46">
        <f>'Term Sheet'!$C$50</f>
        <v>54</v>
      </c>
      <c r="L92" s="42">
        <f>L90+L91</f>
        <v>50.00547945205479</v>
      </c>
      <c r="M92" s="42">
        <f>M90+M91</f>
        <v>42.29119373776908</v>
      </c>
      <c r="N92" s="42">
        <f>N90+N91</f>
        <v>34.57690802348336</v>
      </c>
      <c r="O92" s="42">
        <f>O90+O91</f>
        <v>26.862622309197647</v>
      </c>
      <c r="P92" s="42">
        <f>P90+P91</f>
        <v>19.14833659491193</v>
      </c>
      <c r="Q92" s="42">
        <f>Q90+Q91</f>
        <v>11.434050880626216</v>
      </c>
      <c r="S92" s="46">
        <f>'Term Sheet'!$C$50</f>
        <v>54</v>
      </c>
      <c r="T92" s="42">
        <f>T90+T91</f>
        <v>50.00547945205479</v>
      </c>
      <c r="U92" s="42">
        <f>U90+U91</f>
        <v>42.29119373776908</v>
      </c>
      <c r="V92" s="42">
        <f>V90+V91</f>
        <v>34.57690802348336</v>
      </c>
      <c r="W92" s="42">
        <f>W90+W91</f>
        <v>26.862622309197647</v>
      </c>
      <c r="X92" s="42">
        <f>X90+X91</f>
        <v>19.14833659491193</v>
      </c>
      <c r="Y92" s="42">
        <f>Y90+Y91</f>
        <v>11.434050880626216</v>
      </c>
    </row>
    <row r="93">
      <c r="S93"/>
      <c r="T93"/>
      <c r="U93"/>
      <c r="V93"/>
      <c r="W93"/>
      <c r="X93"/>
      <c r="Y93"/>
    </row>
    <row r="94">
      <c r="B94" t="s" s="34">
        <v>279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>
      <c r="B95" t="s" s="9">
        <v>280</v>
      </c>
      <c r="C95" s="10"/>
      <c r="D95" s="10">
        <f>D73</f>
        <v>81.33560373651373</v>
      </c>
      <c r="E95" s="10">
        <f>E73</f>
        <v>157.91977173296542</v>
      </c>
      <c r="F95" s="10">
        <f>F73</f>
        <v>182.44758073394033</v>
      </c>
      <c r="G95" s="10">
        <f>G73</f>
        <v>203.56774977381028</v>
      </c>
      <c r="H95" s="10">
        <f>H73</f>
        <v>192.28525921752387</v>
      </c>
      <c r="I95" s="10">
        <f>I73</f>
        <v>176.2675550165892</v>
      </c>
      <c r="J95" s="10"/>
      <c r="K95" s="10"/>
      <c r="L95" s="10">
        <f>L73</f>
        <v>81.33560373651373</v>
      </c>
      <c r="M95" s="10">
        <f>M73</f>
        <v>156.8089696505849</v>
      </c>
      <c r="N95" s="10">
        <f>N73</f>
        <v>176.86254180401954</v>
      </c>
      <c r="O95" s="10">
        <f>O73</f>
        <v>187.52699709731874</v>
      </c>
      <c r="P95" s="10">
        <f>P73</f>
        <v>160.4418038532502</v>
      </c>
      <c r="Q95" s="10">
        <f>Q73</f>
        <v>121.39226115593445</v>
      </c>
      <c r="S95" s="10"/>
      <c r="T95" s="10">
        <f>T73</f>
        <v>81.33560373651373</v>
      </c>
      <c r="U95" s="10">
        <f>U73</f>
        <v>159.20722076396342</v>
      </c>
      <c r="V95" s="10">
        <f>V73</f>
        <v>187.21152928108026</v>
      </c>
      <c r="W95" s="10">
        <f>W73</f>
        <v>213.92881985190573</v>
      </c>
      <c r="X95" s="10">
        <f>X73</f>
        <v>209.3465641036077</v>
      </c>
      <c r="Y95" s="10">
        <f>Y73</f>
        <v>202.22473237019608</v>
      </c>
    </row>
    <row r="96">
      <c r="B96" t="s" s="9">
        <v>281</v>
      </c>
      <c r="C96" s="10"/>
      <c r="D96" s="10">
        <f>D86</f>
        <v>0</v>
      </c>
      <c r="E96" s="10">
        <f>E86</f>
        <v>0</v>
      </c>
      <c r="F96" s="10">
        <f>F86</f>
        <v>0</v>
      </c>
      <c r="G96" s="10">
        <f>G86</f>
        <v>0</v>
      </c>
      <c r="H96" s="10">
        <f>H86</f>
        <v>0</v>
      </c>
      <c r="I96" s="10">
        <f>I86</f>
        <v>0</v>
      </c>
      <c r="J96" s="10"/>
      <c r="K96" s="10"/>
      <c r="L96" s="10">
        <f>L86</f>
        <v>0</v>
      </c>
      <c r="M96" s="10">
        <f>M86</f>
        <v>0</v>
      </c>
      <c r="N96" s="10">
        <f>N86</f>
        <v>0</v>
      </c>
      <c r="O96" s="10">
        <f>O86</f>
        <v>0</v>
      </c>
      <c r="P96" s="10">
        <f>P86</f>
        <v>0</v>
      </c>
      <c r="Q96" s="10">
        <f>Q86</f>
        <v>0</v>
      </c>
      <c r="S96" s="10"/>
      <c r="T96" s="10">
        <f>T86</f>
        <v>0</v>
      </c>
      <c r="U96" s="10">
        <f>U86</f>
        <v>0</v>
      </c>
      <c r="V96" s="10">
        <f>V86</f>
        <v>0</v>
      </c>
      <c r="W96" s="10">
        <f>W86</f>
        <v>0</v>
      </c>
      <c r="X96" s="10">
        <f>X86</f>
        <v>0</v>
      </c>
      <c r="Y96" s="10">
        <f>Y86</f>
        <v>0</v>
      </c>
    </row>
    <row r="97">
      <c r="B97" t="s" s="9">
        <v>282</v>
      </c>
      <c r="C97" s="10"/>
      <c r="D97" s="10">
        <f>D62</f>
        <v>0</v>
      </c>
      <c r="E97" s="10">
        <f>E62</f>
        <v>0</v>
      </c>
      <c r="F97" s="10">
        <f>F62</f>
        <v>0</v>
      </c>
      <c r="G97" s="10">
        <f>G62</f>
        <v>0</v>
      </c>
      <c r="H97" s="10">
        <f>H62</f>
        <v>0</v>
      </c>
      <c r="I97" s="10">
        <f>I62</f>
        <v>0</v>
      </c>
      <c r="J97" s="10"/>
      <c r="K97" s="10"/>
      <c r="L97" s="10">
        <f>L62</f>
        <v>0</v>
      </c>
      <c r="M97" s="10">
        <f>M62</f>
        <v>0</v>
      </c>
      <c r="N97" s="10">
        <f>N62</f>
        <v>0</v>
      </c>
      <c r="O97" s="10">
        <f>O62</f>
        <v>0</v>
      </c>
      <c r="P97" s="10">
        <f>P62</f>
        <v>0</v>
      </c>
      <c r="Q97" s="10">
        <f>Q62</f>
        <v>0</v>
      </c>
      <c r="S97" s="10"/>
      <c r="T97" s="10">
        <f>T62</f>
        <v>0.05840936494419313</v>
      </c>
      <c r="U97" s="10">
        <f>U62</f>
        <v>0.11280115452188265</v>
      </c>
      <c r="V97" s="10">
        <f>V62</f>
        <v>0</v>
      </c>
      <c r="W97" s="10">
        <f>W62</f>
        <v>0</v>
      </c>
      <c r="X97" s="10">
        <f>X62</f>
        <v>0</v>
      </c>
      <c r="Y97" s="10">
        <f>Y62</f>
        <v>0</v>
      </c>
    </row>
    <row r="98">
      <c r="B98" t="s" s="9">
        <v>240</v>
      </c>
      <c r="C98" s="10"/>
      <c r="D98" s="10">
        <f>D63</f>
        <v>0.8414383561643836</v>
      </c>
      <c r="E98" s="10">
        <f>E63</f>
        <v>1.625</v>
      </c>
      <c r="F98" s="10">
        <f>F63</f>
        <v>0.8124999999999999</v>
      </c>
      <c r="G98" s="10">
        <f>G63</f>
        <v>0.8124999999999999</v>
      </c>
      <c r="H98" s="10">
        <f>H63</f>
        <v>0.8124999999999999</v>
      </c>
      <c r="I98" s="10">
        <f>I63</f>
        <v>0.8124999999999999</v>
      </c>
      <c r="J98" s="10"/>
      <c r="K98" s="10"/>
      <c r="L98" s="10">
        <f>L63</f>
        <v>0.8414383561643836</v>
      </c>
      <c r="M98" s="10">
        <f>M63</f>
        <v>1.625</v>
      </c>
      <c r="N98" s="10">
        <f>N63</f>
        <v>0.8124999999999999</v>
      </c>
      <c r="O98" s="10">
        <f>O63</f>
        <v>0.8124999999999999</v>
      </c>
      <c r="P98" s="10">
        <f>P63</f>
        <v>0.8124999999999999</v>
      </c>
      <c r="Q98" s="10">
        <f>Q63</f>
        <v>0.8124999999999999</v>
      </c>
      <c r="S98" s="10"/>
      <c r="T98" s="10">
        <f>T63</f>
        <v>0.8378014094057165</v>
      </c>
      <c r="U98" s="10">
        <f>U63</f>
        <v>1.6179762668417261</v>
      </c>
      <c r="V98" s="10">
        <f>V63</f>
        <v>1.21875</v>
      </c>
      <c r="W98" s="10">
        <f>W63</f>
        <v>0.8124999999999999</v>
      </c>
      <c r="X98" s="10">
        <f>X63</f>
        <v>0.8124999999999999</v>
      </c>
      <c r="Y98" s="10">
        <f>Y63</f>
        <v>0.8124999999999999</v>
      </c>
    </row>
    <row r="99">
      <c r="B99" t="s" s="9">
        <v>283</v>
      </c>
      <c r="C99" s="10"/>
      <c r="D99" s="10">
        <f>D87</f>
        <v>0.6780821917808219</v>
      </c>
      <c r="E99" s="10">
        <f>E87</f>
        <v>3.7945205479452055</v>
      </c>
      <c r="F99" s="10">
        <f>F87</f>
        <v>4.918032786885246</v>
      </c>
      <c r="G99" s="10">
        <f>G87</f>
        <v>0</v>
      </c>
      <c r="H99" s="10">
        <f>H87</f>
        <v>0</v>
      </c>
      <c r="I99" s="10">
        <f>I87</f>
        <v>0</v>
      </c>
      <c r="J99" s="10"/>
      <c r="K99" s="10"/>
      <c r="L99" s="10">
        <f>L87</f>
        <v>0.6780821917808219</v>
      </c>
      <c r="M99" s="10">
        <f>M87</f>
        <v>3.7945205479452055</v>
      </c>
      <c r="N99" s="10">
        <f>N87</f>
        <v>4.918032786885246</v>
      </c>
      <c r="O99" s="10">
        <f>O87</f>
        <v>0</v>
      </c>
      <c r="P99" s="10">
        <f>P87</f>
        <v>0</v>
      </c>
      <c r="Q99" s="10">
        <f>Q87</f>
        <v>0</v>
      </c>
      <c r="S99" s="10"/>
      <c r="T99" s="10">
        <f>T87</f>
        <v>0.6780821917808219</v>
      </c>
      <c r="U99" s="10">
        <f>U87</f>
        <v>3.7945205479452055</v>
      </c>
      <c r="V99" s="10">
        <f>V87</f>
        <v>4.918032786885246</v>
      </c>
      <c r="W99" s="10">
        <f>W87</f>
        <v>0</v>
      </c>
      <c r="X99" s="10">
        <f>X87</f>
        <v>0</v>
      </c>
      <c r="Y99" s="10">
        <f>Y87</f>
        <v>0</v>
      </c>
    </row>
    <row r="100">
      <c r="B100" t="s" s="41">
        <v>284</v>
      </c>
      <c r="C100" s="42"/>
      <c r="D100" s="42">
        <f>SUM(D95:D99)</f>
        <v>82.85512428445894</v>
      </c>
      <c r="E100" s="42">
        <f>SUM(E95:E99)</f>
        <v>163.33929228091063</v>
      </c>
      <c r="F100" s="42">
        <f>SUM(F95:F99)</f>
        <v>188.17811352082558</v>
      </c>
      <c r="G100" s="42">
        <f>SUM(G95:G99)</f>
        <v>204.38024977381028</v>
      </c>
      <c r="H100" s="42">
        <f>SUM(H95:H99)</f>
        <v>193.09775921752387</v>
      </c>
      <c r="I100" s="42">
        <f>SUM(I95:I99)</f>
        <v>177.0800550165892</v>
      </c>
      <c r="J100" s="10"/>
      <c r="K100" s="42"/>
      <c r="L100" s="42">
        <f>SUM(L95:L99)</f>
        <v>82.85512428445894</v>
      </c>
      <c r="M100" s="42">
        <f>SUM(M95:M99)</f>
        <v>162.22849019853012</v>
      </c>
      <c r="N100" s="42">
        <f>SUM(N95:N99)</f>
        <v>182.5930745909048</v>
      </c>
      <c r="O100" s="42">
        <f>SUM(O95:O99)</f>
        <v>188.33949709731874</v>
      </c>
      <c r="P100" s="42">
        <f>SUM(P95:P99)</f>
        <v>161.2543038532502</v>
      </c>
      <c r="Q100" s="42">
        <f>SUM(Q95:Q99)</f>
        <v>122.20476115593445</v>
      </c>
      <c r="S100" s="42"/>
      <c r="T100" s="42">
        <f>SUM(T95:T99)</f>
        <v>82.90989670264446</v>
      </c>
      <c r="U100" s="42">
        <f>SUM(U95:U99)</f>
        <v>164.73251873327226</v>
      </c>
      <c r="V100" s="42">
        <f>SUM(V95:V99)</f>
        <v>193.3483120679655</v>
      </c>
      <c r="W100" s="42">
        <f>SUM(W95:W99)</f>
        <v>214.74131985190573</v>
      </c>
      <c r="X100" s="42">
        <f>SUM(X95:X99)</f>
        <v>210.1590641036077</v>
      </c>
      <c r="Y100" s="42">
        <f>SUM(Y95:Y99)</f>
        <v>203.03723237019608</v>
      </c>
    </row>
    <row r="101">
      <c r="B101" t="s" s="9">
        <v>285</v>
      </c>
      <c r="C101" s="10"/>
      <c r="D101" s="10">
        <f>D67+D78</f>
        <v>35.17975940160628</v>
      </c>
      <c r="E101" s="10">
        <f>E67+E78</f>
        <v>68.30439953847986</v>
      </c>
      <c r="F101" s="10">
        <f>F67+F78</f>
        <v>31.034149991009045</v>
      </c>
      <c r="G101" s="10">
        <f>G67+G78</f>
        <v>0</v>
      </c>
      <c r="H101" s="10">
        <f>H67+H78</f>
        <v>0</v>
      </c>
      <c r="I101" s="10">
        <f>I67+I78</f>
        <v>0</v>
      </c>
      <c r="J101" s="10"/>
      <c r="K101" s="10"/>
      <c r="L101" s="10">
        <f>L67+L78</f>
        <v>35.17975940160628</v>
      </c>
      <c r="M101" s="10">
        <f>M67+M78</f>
        <v>67.82394881080663</v>
      </c>
      <c r="N101" s="10">
        <f>N67+N78</f>
        <v>30.084140486034872</v>
      </c>
      <c r="O101" s="10">
        <f>O67+O78</f>
        <v>0</v>
      </c>
      <c r="P101" s="10">
        <f>P67+P78</f>
        <v>0</v>
      </c>
      <c r="Q101" s="10">
        <f>Q67+Q78</f>
        <v>0</v>
      </c>
      <c r="S101" s="10"/>
      <c r="T101" s="10">
        <f>T67+T78</f>
        <v>35.17975940160628</v>
      </c>
      <c r="U101" s="10">
        <f>U67+U78</f>
        <v>68.8612546556945</v>
      </c>
      <c r="V101" s="10">
        <f>V67+V78</f>
        <v>31.844492847664235</v>
      </c>
      <c r="W101" s="10">
        <f>W67+W78</f>
        <v>0</v>
      </c>
      <c r="X101" s="10">
        <f>X67+X78</f>
        <v>0</v>
      </c>
      <c r="Y101" s="10">
        <f>Y67+Y78</f>
        <v>0</v>
      </c>
    </row>
    <row r="102">
      <c r="B102" t="s" s="9">
        <v>286</v>
      </c>
      <c r="C102" s="10"/>
      <c r="D102" s="10">
        <f>-D91</f>
        <v>3.9945205479452053</v>
      </c>
      <c r="E102" s="10">
        <f>-E91</f>
        <v>7.714285714285714</v>
      </c>
      <c r="F102" s="10">
        <f>-F91</f>
        <v>7.714285714285714</v>
      </c>
      <c r="G102" s="10">
        <f>-G91</f>
        <v>7.714285714285714</v>
      </c>
      <c r="H102" s="10">
        <f>-H91</f>
        <v>7.714285714285714</v>
      </c>
      <c r="I102" s="10">
        <f>-I91</f>
        <v>7.714285714285714</v>
      </c>
      <c r="J102" s="10"/>
      <c r="K102" s="10"/>
      <c r="L102" s="10">
        <f>-L91</f>
        <v>3.9945205479452053</v>
      </c>
      <c r="M102" s="10">
        <f>-M91</f>
        <v>7.714285714285714</v>
      </c>
      <c r="N102" s="10">
        <f>-N91</f>
        <v>7.714285714285714</v>
      </c>
      <c r="O102" s="10">
        <f>-O91</f>
        <v>7.714285714285714</v>
      </c>
      <c r="P102" s="10">
        <f>-P91</f>
        <v>7.714285714285714</v>
      </c>
      <c r="Q102" s="10">
        <f>-Q91</f>
        <v>7.714285714285714</v>
      </c>
      <c r="S102" s="10"/>
      <c r="T102" s="10">
        <f>-T91</f>
        <v>3.9945205479452053</v>
      </c>
      <c r="U102" s="10">
        <f>-U91</f>
        <v>7.714285714285714</v>
      </c>
      <c r="V102" s="10">
        <f>-V91</f>
        <v>7.714285714285714</v>
      </c>
      <c r="W102" s="10">
        <f>-W91</f>
        <v>7.714285714285714</v>
      </c>
      <c r="X102" s="10">
        <f>-X91</f>
        <v>7.714285714285714</v>
      </c>
      <c r="Y102" s="10">
        <f>-Y91</f>
        <v>7.714285714285714</v>
      </c>
    </row>
    <row r="103">
      <c r="B103" t="s" s="41">
        <v>287</v>
      </c>
      <c r="C103" s="42"/>
      <c r="D103" s="42">
        <f>SUM(D100:D102)</f>
        <v>122.02940423401043</v>
      </c>
      <c r="E103" s="42">
        <f>SUM(E100:E102)</f>
        <v>239.3579775336762</v>
      </c>
      <c r="F103" s="42">
        <f>SUM(F100:F102)</f>
        <v>226.92654922612036</v>
      </c>
      <c r="G103" s="42">
        <f>SUM(G100:G102)</f>
        <v>212.094535488096</v>
      </c>
      <c r="H103" s="42">
        <f>SUM(H100:H102)</f>
        <v>200.8120449318096</v>
      </c>
      <c r="I103" s="42">
        <f>SUM(I100:I102)</f>
        <v>184.79434073087492</v>
      </c>
      <c r="J103" s="10"/>
      <c r="K103" s="42"/>
      <c r="L103" s="42">
        <f>SUM(L100:L102)</f>
        <v>122.02940423401043</v>
      </c>
      <c r="M103" s="42">
        <f>SUM(M100:M102)</f>
        <v>237.76672472362247</v>
      </c>
      <c r="N103" s="42">
        <f>SUM(N100:N102)</f>
        <v>220.39150079122538</v>
      </c>
      <c r="O103" s="42">
        <f>SUM(O100:O102)</f>
        <v>196.05378281160446</v>
      </c>
      <c r="P103" s="42">
        <f>SUM(P100:P102)</f>
        <v>168.96858956753593</v>
      </c>
      <c r="Q103" s="42">
        <f>SUM(Q100:Q102)</f>
        <v>129.91904687022017</v>
      </c>
      <c r="S103" s="42"/>
      <c r="T103" s="42">
        <f>SUM(T100:T102)</f>
        <v>122.08417665219594</v>
      </c>
      <c r="U103" s="42">
        <f>SUM(U100:U102)</f>
        <v>241.30805910325248</v>
      </c>
      <c r="V103" s="42">
        <f>SUM(V100:V102)</f>
        <v>232.90709062991547</v>
      </c>
      <c r="W103" s="42">
        <f>SUM(W100:W102)</f>
        <v>222.45560556619145</v>
      </c>
      <c r="X103" s="42">
        <f>SUM(X100:X102)</f>
        <v>217.87334981789343</v>
      </c>
      <c r="Y103" s="42">
        <f>SUM(Y100:Y102)</f>
        <v>210.7515180844818</v>
      </c>
    </row>
    <row r="104">
      <c r="B104" t="s" s="9">
        <v>288</v>
      </c>
      <c r="C104" s="10"/>
      <c r="D104" s="10">
        <f>'Term Sheet'!$C$14*AVERAGE(D107,D109)*D35*D7</f>
        <v>1.44179351954766</v>
      </c>
      <c r="E104" s="10">
        <f>'Term Sheet'!$C$14*AVERAGE(E107,E109)*E35*E7</f>
        <v>2.784416056269291</v>
      </c>
      <c r="F104" s="10">
        <f>'Term Sheet'!$C$14*AVERAGE(F107,F109)*F35*F7</f>
        <v>2.6475</v>
      </c>
      <c r="G104" s="10">
        <f>'Term Sheet'!$C$14*AVERAGE(G107,G109)*G35*G7</f>
        <v>2.6475</v>
      </c>
      <c r="H104" s="10">
        <f>'Term Sheet'!$C$14*AVERAGE(H107,H109)*H35*H7</f>
        <v>2.6475</v>
      </c>
      <c r="I104" s="10">
        <f>'Term Sheet'!$C$14*AVERAGE(I107,I109)*I35*I7</f>
        <v>2.6475</v>
      </c>
      <c r="J104" s="10"/>
      <c r="K104" s="10"/>
      <c r="L104" s="10">
        <f>'Term Sheet'!$C$14*AVERAGE(L107,L109)*L35*L7</f>
        <v>1.4764681512213869</v>
      </c>
      <c r="M104" s="10">
        <f>'Term Sheet'!$C$14*AVERAGE(M107,M109)*M35*M7</f>
        <v>2.851380292041303</v>
      </c>
      <c r="N104" s="10">
        <f>'Term Sheet'!$C$14*AVERAGE(N107,N109)*N35*N7</f>
        <v>2.6475</v>
      </c>
      <c r="O104" s="10">
        <f>'Term Sheet'!$C$14*AVERAGE(O107,O109)*O35*O7</f>
        <v>2.6475</v>
      </c>
      <c r="P104" s="10">
        <f>'Term Sheet'!$C$14*AVERAGE(P107,P109)*P35*P7</f>
        <v>2.6475</v>
      </c>
      <c r="Q104" s="10">
        <f>'Term Sheet'!$C$14*AVERAGE(Q107,Q109)*Q35*Q7</f>
        <v>2.6475</v>
      </c>
      <c r="S104" s="10"/>
      <c r="T104" s="10">
        <f>'Term Sheet'!$C$14*AVERAGE(T107,T109)*T35*T7</f>
        <v>1.3708972602740574</v>
      </c>
      <c r="U104" s="10">
        <f>'Term Sheet'!$C$14*AVERAGE(U107,U109)*U35*U7</f>
        <v>2.647499999999513</v>
      </c>
      <c r="V104" s="10">
        <f>'Term Sheet'!$C$14*AVERAGE(V107,V109)*V35*V7</f>
        <v>2.6475</v>
      </c>
      <c r="W104" s="10">
        <f>'Term Sheet'!$C$14*AVERAGE(W107,W109)*W35*W7</f>
        <v>2.6475</v>
      </c>
      <c r="X104" s="10">
        <f>'Term Sheet'!$C$14*AVERAGE(X107,X109)*X35*X7</f>
        <v>2.6475</v>
      </c>
      <c r="Y104" s="10">
        <f>'Term Sheet'!$C$14*AVERAGE(Y107,Y109)*Y35*Y7</f>
        <v>2.6475</v>
      </c>
    </row>
    <row r="105">
      <c r="S105"/>
      <c r="T105"/>
      <c r="U105"/>
      <c r="V105"/>
      <c r="W105"/>
      <c r="X105"/>
      <c r="Y105"/>
    </row>
    <row r="106">
      <c r="B106" t="s" s="34">
        <v>289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>
      <c r="B107" t="s" s="9">
        <v>290</v>
      </c>
      <c r="C107" s="10"/>
      <c r="D107" s="10">
        <f>C109</f>
        <v>75</v>
      </c>
      <c r="E107" s="10">
        <f>D109</f>
        <v>82.75728364131959</v>
      </c>
      <c r="F107" s="10">
        <f>E109</f>
        <v>75</v>
      </c>
      <c r="G107" s="10">
        <f>F109</f>
        <v>75</v>
      </c>
      <c r="H107" s="10">
        <f>G109</f>
        <v>75</v>
      </c>
      <c r="I107" s="10">
        <f>H109</f>
        <v>75</v>
      </c>
      <c r="J107" s="10"/>
      <c r="K107" s="10"/>
      <c r="L107" s="10">
        <f>K109</f>
        <v>75</v>
      </c>
      <c r="M107" s="10">
        <f>L109</f>
        <v>86.5512913337849</v>
      </c>
      <c r="N107" s="10">
        <f>M109</f>
        <v>75</v>
      </c>
      <c r="O107" s="10">
        <f>N109</f>
        <v>75</v>
      </c>
      <c r="P107" s="10">
        <f>O109</f>
        <v>75</v>
      </c>
      <c r="Q107" s="10">
        <f>P109</f>
        <v>75</v>
      </c>
      <c r="S107" s="10"/>
      <c r="T107" s="10">
        <f>S109</f>
        <v>75</v>
      </c>
      <c r="U107" s="10">
        <f>T109</f>
        <v>75.0000000000093</v>
      </c>
      <c r="V107" s="10">
        <f>U109</f>
        <v>75</v>
      </c>
      <c r="W107" s="10">
        <f>V109</f>
        <v>75</v>
      </c>
      <c r="X107" s="10">
        <f>W109</f>
        <v>75</v>
      </c>
      <c r="Y107" s="10">
        <f>X109</f>
        <v>75</v>
      </c>
    </row>
    <row r="108">
      <c r="B108" t="s" s="9">
        <v>291</v>
      </c>
      <c r="C108" s="10"/>
      <c r="D108" s="10">
        <f>D109-D107</f>
        <v>7.757283641319589</v>
      </c>
      <c r="E108" s="10">
        <f>E109-E107</f>
        <v>-7.757283641319589</v>
      </c>
      <c r="F108" s="10">
        <f>F109-F107</f>
        <v>0</v>
      </c>
      <c r="G108" s="10">
        <f>G109-G107</f>
        <v>0</v>
      </c>
      <c r="H108" s="10">
        <f>H109-H107</f>
        <v>0</v>
      </c>
      <c r="I108" s="10">
        <f>I109-I107</f>
        <v>0</v>
      </c>
      <c r="J108" s="10"/>
      <c r="K108" s="10"/>
      <c r="L108" s="10">
        <f>L109-L107</f>
        <v>11.551291333784903</v>
      </c>
      <c r="M108" s="10">
        <f>M109-M107</f>
        <v>-11.551291333784903</v>
      </c>
      <c r="N108" s="10">
        <f>N109-N107</f>
        <v>0</v>
      </c>
      <c r="O108" s="10">
        <f>O109-O107</f>
        <v>0</v>
      </c>
      <c r="P108" s="10">
        <f>P109-P107</f>
        <v>0</v>
      </c>
      <c r="Q108" s="10">
        <f>Q109-Q107</f>
        <v>0</v>
      </c>
      <c r="S108" s="10"/>
      <c r="T108" s="10">
        <f>T109-T107</f>
        <v>0.0000000000006963318810448982</v>
      </c>
      <c r="U108" s="10">
        <f>U109-U107</f>
        <v>-0.00000000000929389898374211</v>
      </c>
      <c r="V108" s="10">
        <f>V109-V107</f>
        <v>0</v>
      </c>
      <c r="W108" s="10">
        <f>W109-W107</f>
        <v>0</v>
      </c>
      <c r="X108" s="10">
        <f>X109-X107</f>
        <v>0</v>
      </c>
      <c r="Y108" s="10">
        <f>Y109-Y107</f>
        <v>0</v>
      </c>
    </row>
    <row r="109">
      <c r="B109" t="s" s="41">
        <v>292</v>
      </c>
      <c r="C109" s="46">
        <f>'Term Sheet'!$C$11</f>
        <v>75</v>
      </c>
      <c r="D109" s="42">
        <f>'Term Sheet'!$C$10+D54</f>
        <v>82.75728364131959</v>
      </c>
      <c r="E109" s="42">
        <f>'Term Sheet'!$C$10+E54</f>
        <v>75</v>
      </c>
      <c r="F109" s="42">
        <f>'Term Sheet'!$C$10+F54</f>
        <v>75</v>
      </c>
      <c r="G109" s="42">
        <f>'Term Sheet'!$C$10+G54</f>
        <v>75</v>
      </c>
      <c r="H109" s="42">
        <f>'Term Sheet'!$C$10+H54</f>
        <v>75</v>
      </c>
      <c r="I109" s="42">
        <f>'Term Sheet'!$C$10+I54</f>
        <v>75</v>
      </c>
      <c r="J109" s="10"/>
      <c r="K109" s="46">
        <f>'Term Sheet'!$C$11</f>
        <v>75</v>
      </c>
      <c r="L109" s="42">
        <f>'Term Sheet'!$C$10+L54</f>
        <v>86.5512913337849</v>
      </c>
      <c r="M109" s="42">
        <f>'Term Sheet'!$C$10+M54</f>
        <v>75</v>
      </c>
      <c r="N109" s="42">
        <f>'Term Sheet'!$C$10+N54</f>
        <v>75</v>
      </c>
      <c r="O109" s="42">
        <f>'Term Sheet'!$C$10+O54</f>
        <v>75</v>
      </c>
      <c r="P109" s="42">
        <f>'Term Sheet'!$C$10+P54</f>
        <v>75</v>
      </c>
      <c r="Q109" s="42">
        <f>'Term Sheet'!$C$10+Q54</f>
        <v>75</v>
      </c>
      <c r="S109" s="46">
        <f>'Term Sheet'!$C$11</f>
        <v>75</v>
      </c>
      <c r="T109" s="42">
        <f>'Term Sheet'!$C$10+T54</f>
        <v>75.0000000000007</v>
      </c>
      <c r="U109" s="42">
        <f>'Term Sheet'!$C$10+U54</f>
        <v>75</v>
      </c>
      <c r="V109" s="42">
        <f>'Term Sheet'!$C$10+V54</f>
        <v>75</v>
      </c>
      <c r="W109" s="42">
        <f>'Term Sheet'!$C$10+W54</f>
        <v>75</v>
      </c>
      <c r="X109" s="42">
        <f>'Term Sheet'!$C$10+X54</f>
        <v>75</v>
      </c>
      <c r="Y109" s="42">
        <f>'Term Sheet'!$C$10+Y54</f>
        <v>75</v>
      </c>
    </row>
    <row r="110">
      <c r="S110"/>
      <c r="T110"/>
      <c r="U110"/>
      <c r="V110"/>
      <c r="W110"/>
      <c r="X110"/>
      <c r="Y110"/>
    </row>
    <row r="111">
      <c r="B111" t="s" s="34">
        <v>293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>
      <c r="B112" t="s" s="9">
        <v>294</v>
      </c>
      <c r="C112" s="10">
        <f>C60</f>
        <v>0</v>
      </c>
      <c r="D112" s="10">
        <f>D60</f>
        <v>0</v>
      </c>
      <c r="E112" s="10">
        <f>E60</f>
        <v>0</v>
      </c>
      <c r="F112" s="10">
        <f>F60</f>
        <v>0</v>
      </c>
      <c r="G112" s="10">
        <f>G60</f>
        <v>0</v>
      </c>
      <c r="H112" s="10">
        <f>H60</f>
        <v>0</v>
      </c>
      <c r="I112" s="10">
        <f>I60</f>
        <v>0</v>
      </c>
      <c r="J112" s="10"/>
      <c r="K112" s="10">
        <f>K60</f>
        <v>0</v>
      </c>
      <c r="L112" s="10">
        <f>L60</f>
        <v>0</v>
      </c>
      <c r="M112" s="10">
        <f>M60</f>
        <v>0</v>
      </c>
      <c r="N112" s="10">
        <f>N60</f>
        <v>0</v>
      </c>
      <c r="O112" s="10">
        <f>O60</f>
        <v>0</v>
      </c>
      <c r="P112" s="10">
        <f>P60</f>
        <v>0</v>
      </c>
      <c r="Q112" s="10">
        <f>Q60</f>
        <v>0</v>
      </c>
      <c r="S112" s="10">
        <f>S60</f>
        <v>0</v>
      </c>
      <c r="T112" s="10">
        <f>T60</f>
        <v>2.809493263308953</v>
      </c>
      <c r="U112" s="10">
        <f>U60</f>
        <v>0</v>
      </c>
      <c r="V112" s="10">
        <f>V60</f>
        <v>0</v>
      </c>
      <c r="W112" s="10">
        <f>W60</f>
        <v>0</v>
      </c>
      <c r="X112" s="10">
        <f>X60</f>
        <v>0</v>
      </c>
      <c r="Y112" s="10">
        <f>Y60</f>
        <v>0</v>
      </c>
    </row>
    <row r="113">
      <c r="B113" t="s" s="9">
        <v>267</v>
      </c>
      <c r="C113" s="10">
        <f>C71</f>
        <v>2700</v>
      </c>
      <c r="D113" s="10">
        <f>D71</f>
        <v>2735.179759401606</v>
      </c>
      <c r="E113" s="10">
        <f>E71</f>
        <v>2729.1722036767824</v>
      </c>
      <c r="F113" s="10">
        <f>F71</f>
        <v>2674.811809030593</v>
      </c>
      <c r="G113" s="10">
        <f>G71</f>
        <v>2558.292298265301</v>
      </c>
      <c r="H113" s="10">
        <f>H71</f>
        <v>2384.7734913882696</v>
      </c>
      <c r="I113" s="10">
        <f>I71</f>
        <v>2146.5261234340746</v>
      </c>
      <c r="J113" s="10"/>
      <c r="K113" s="10">
        <f>K71</f>
        <v>2700</v>
      </c>
      <c r="L113" s="10">
        <f>L71</f>
        <v>2735.179759401606</v>
      </c>
      <c r="M113" s="10">
        <f>M71</f>
        <v>2690.736145462925</v>
      </c>
      <c r="N113" s="10">
        <f>N71</f>
        <v>2547.822483327448</v>
      </c>
      <c r="O113" s="10">
        <f>O71</f>
        <v>2272.922943338843</v>
      </c>
      <c r="P113" s="10">
        <f>P71</f>
        <v>1851.54502204034</v>
      </c>
      <c r="Q113" s="10">
        <f>Q71</f>
        <v>1269.0786580608033</v>
      </c>
      <c r="S113" s="10">
        <f>S71</f>
        <v>2700</v>
      </c>
      <c r="T113" s="10">
        <f>T71</f>
        <v>2735.179759401606</v>
      </c>
      <c r="U113" s="10">
        <f>U71</f>
        <v>2773.7206130538757</v>
      </c>
      <c r="V113" s="10">
        <f>V71</f>
        <v>2771.3685964586716</v>
      </c>
      <c r="W113" s="10">
        <f>W71</f>
        <v>2728.0869267262037</v>
      </c>
      <c r="X113" s="10">
        <f>X71</f>
        <v>2653.5728188751564</v>
      </c>
      <c r="Y113" s="10">
        <f>Y71</f>
        <v>2545.0064194545826</v>
      </c>
    </row>
    <row r="114">
      <c r="B114" t="s" s="9">
        <v>272</v>
      </c>
      <c r="C114" s="10">
        <f>C82</f>
        <v>0</v>
      </c>
      <c r="D114" s="10">
        <f>D82</f>
        <v>0</v>
      </c>
      <c r="E114" s="10">
        <f>E82</f>
        <v>0</v>
      </c>
      <c r="F114" s="10">
        <f>F82</f>
        <v>0</v>
      </c>
      <c r="G114" s="10">
        <f>G82</f>
        <v>0</v>
      </c>
      <c r="H114" s="10">
        <f>H82</f>
        <v>0</v>
      </c>
      <c r="I114" s="10">
        <f>I82</f>
        <v>0</v>
      </c>
      <c r="J114" s="10"/>
      <c r="K114" s="10">
        <f>K82</f>
        <v>0</v>
      </c>
      <c r="L114" s="10">
        <f>L82</f>
        <v>0</v>
      </c>
      <c r="M114" s="10">
        <f>M82</f>
        <v>0</v>
      </c>
      <c r="N114" s="10">
        <f>N82</f>
        <v>0</v>
      </c>
      <c r="O114" s="10">
        <f>O82</f>
        <v>0</v>
      </c>
      <c r="P114" s="10">
        <f>P82</f>
        <v>0</v>
      </c>
      <c r="Q114" s="10">
        <f>Q82</f>
        <v>0</v>
      </c>
      <c r="S114" s="10">
        <f>S82</f>
        <v>0</v>
      </c>
      <c r="T114" s="10">
        <f>T82</f>
        <v>0</v>
      </c>
      <c r="U114" s="10">
        <f>U82</f>
        <v>0</v>
      </c>
      <c r="V114" s="10">
        <f>V82</f>
        <v>0</v>
      </c>
      <c r="W114" s="10">
        <f>W82</f>
        <v>0</v>
      </c>
      <c r="X114" s="10">
        <f>X82</f>
        <v>0</v>
      </c>
      <c r="Y114" s="10">
        <f>Y82</f>
        <v>0</v>
      </c>
    </row>
    <row r="115">
      <c r="B115" t="s" s="41">
        <v>295</v>
      </c>
      <c r="C115" s="42">
        <f>SUM(C112:C114)</f>
        <v>2700</v>
      </c>
      <c r="D115" s="42">
        <f>SUM(D112:D114)</f>
        <v>2735.179759401606</v>
      </c>
      <c r="E115" s="42">
        <f>SUM(E112:E114)</f>
        <v>2729.1722036767824</v>
      </c>
      <c r="F115" s="42">
        <f>SUM(F112:F114)</f>
        <v>2674.811809030593</v>
      </c>
      <c r="G115" s="42">
        <f>SUM(G112:G114)</f>
        <v>2558.292298265301</v>
      </c>
      <c r="H115" s="42">
        <f>SUM(H112:H114)</f>
        <v>2384.7734913882696</v>
      </c>
      <c r="I115" s="42">
        <f>SUM(I112:I114)</f>
        <v>2146.5261234340746</v>
      </c>
      <c r="J115" s="10"/>
      <c r="K115" s="42">
        <f>SUM(K112:K114)</f>
        <v>2700</v>
      </c>
      <c r="L115" s="42">
        <f>SUM(L112:L114)</f>
        <v>2735.179759401606</v>
      </c>
      <c r="M115" s="42">
        <f>SUM(M112:M114)</f>
        <v>2690.736145462925</v>
      </c>
      <c r="N115" s="42">
        <f>SUM(N112:N114)</f>
        <v>2547.822483327448</v>
      </c>
      <c r="O115" s="42">
        <f>SUM(O112:O114)</f>
        <v>2272.922943338843</v>
      </c>
      <c r="P115" s="42">
        <f>SUM(P112:P114)</f>
        <v>1851.54502204034</v>
      </c>
      <c r="Q115" s="42">
        <f>SUM(Q112:Q114)</f>
        <v>1269.0786580608033</v>
      </c>
      <c r="S115" s="42">
        <f>SUM(S112:S114)</f>
        <v>2700</v>
      </c>
      <c r="T115" s="42">
        <f>SUM(T112:T114)</f>
        <v>2737.989252664915</v>
      </c>
      <c r="U115" s="42">
        <f>SUM(U112:U114)</f>
        <v>2773.7206130538757</v>
      </c>
      <c r="V115" s="42">
        <f>SUM(V112:V114)</f>
        <v>2771.3685964586716</v>
      </c>
      <c r="W115" s="42">
        <f>SUM(W112:W114)</f>
        <v>2728.0869267262037</v>
      </c>
      <c r="X115" s="42">
        <f>SUM(X112:X114)</f>
        <v>2653.5728188751564</v>
      </c>
      <c r="Y115" s="42">
        <f>SUM(Y112:Y114)</f>
        <v>2545.0064194545826</v>
      </c>
    </row>
    <row r="116">
      <c r="B116" t="s" s="9">
        <v>296</v>
      </c>
      <c r="C116" s="10">
        <f>-C109</f>
        <v>-75</v>
      </c>
      <c r="D116" s="10">
        <f>-D109</f>
        <v>-82.75728364131959</v>
      </c>
      <c r="E116" s="10">
        <f>-E109</f>
        <v>-75</v>
      </c>
      <c r="F116" s="10">
        <f>-F109</f>
        <v>-75</v>
      </c>
      <c r="G116" s="10">
        <f>-G109</f>
        <v>-75</v>
      </c>
      <c r="H116" s="10">
        <f>-H109</f>
        <v>-75</v>
      </c>
      <c r="I116" s="10">
        <f>-I109</f>
        <v>-75</v>
      </c>
      <c r="J116" s="10"/>
      <c r="K116" s="10">
        <f>-K109</f>
        <v>-75</v>
      </c>
      <c r="L116" s="10">
        <f>-L109</f>
        <v>-86.5512913337849</v>
      </c>
      <c r="M116" s="10">
        <f>-M109</f>
        <v>-75</v>
      </c>
      <c r="N116" s="10">
        <f>-N109</f>
        <v>-75</v>
      </c>
      <c r="O116" s="10">
        <f>-O109</f>
        <v>-75</v>
      </c>
      <c r="P116" s="10">
        <f>-P109</f>
        <v>-75</v>
      </c>
      <c r="Q116" s="10">
        <f>-Q109</f>
        <v>-75</v>
      </c>
      <c r="S116" s="10">
        <f>-S109</f>
        <v>-75</v>
      </c>
      <c r="T116" s="10">
        <f>-T109</f>
        <v>-75.0000000000007</v>
      </c>
      <c r="U116" s="10">
        <f>-U109</f>
        <v>-75</v>
      </c>
      <c r="V116" s="10">
        <f>-V109</f>
        <v>-75</v>
      </c>
      <c r="W116" s="10">
        <f>-W109</f>
        <v>-75</v>
      </c>
      <c r="X116" s="10">
        <f>-X109</f>
        <v>-75</v>
      </c>
      <c r="Y116" s="10">
        <f>-Y109</f>
        <v>-75</v>
      </c>
    </row>
    <row r="117">
      <c r="B117" t="s" s="41">
        <v>297</v>
      </c>
      <c r="C117" s="42">
        <f>C115+C116</f>
        <v>2625</v>
      </c>
      <c r="D117" s="42">
        <f>D115+D116</f>
        <v>2652.4224757602865</v>
      </c>
      <c r="E117" s="42">
        <f>E115+E116</f>
        <v>2654.1722036767824</v>
      </c>
      <c r="F117" s="42">
        <f>F115+F116</f>
        <v>2599.811809030593</v>
      </c>
      <c r="G117" s="42">
        <f>G115+G116</f>
        <v>2483.292298265301</v>
      </c>
      <c r="H117" s="42">
        <f>H115+H116</f>
        <v>2309.7734913882696</v>
      </c>
      <c r="I117" s="42">
        <f>I115+I116</f>
        <v>2071.5261234340746</v>
      </c>
      <c r="J117" s="10"/>
      <c r="K117" s="42">
        <f>K115+K116</f>
        <v>2625</v>
      </c>
      <c r="L117" s="42">
        <f>L115+L116</f>
        <v>2648.6284680678214</v>
      </c>
      <c r="M117" s="42">
        <f>M115+M116</f>
        <v>2615.736145462925</v>
      </c>
      <c r="N117" s="42">
        <f>N115+N116</f>
        <v>2472.822483327448</v>
      </c>
      <c r="O117" s="42">
        <f>O115+O116</f>
        <v>2197.922943338843</v>
      </c>
      <c r="P117" s="42">
        <f>P115+P116</f>
        <v>1776.54502204034</v>
      </c>
      <c r="Q117" s="42">
        <f>Q115+Q116</f>
        <v>1194.0786580608033</v>
      </c>
      <c r="S117" s="42">
        <f>S115+S116</f>
        <v>2625</v>
      </c>
      <c r="T117" s="42">
        <f>T115+T116</f>
        <v>2662.989252664914</v>
      </c>
      <c r="U117" s="42">
        <f>U115+U116</f>
        <v>2698.7206130538757</v>
      </c>
      <c r="V117" s="42">
        <f>V115+V116</f>
        <v>2696.3685964586716</v>
      </c>
      <c r="W117" s="42">
        <f>W115+W116</f>
        <v>2653.0869267262037</v>
      </c>
      <c r="X117" s="42">
        <f>X115+X116</f>
        <v>2578.5728188751564</v>
      </c>
      <c r="Y117" s="42">
        <f>Y115+Y116</f>
        <v>2470.0064194545826</v>
      </c>
    </row>
    <row r="118">
      <c r="B118" t="s" s="9">
        <v>298</v>
      </c>
      <c r="C118" s="21">
        <f>C115/'Term Sheet'!$C$12</f>
        <v>9.624124472009838</v>
      </c>
      <c r="D118" s="21">
        <f>D115/D22</f>
        <v>8.171594536217018</v>
      </c>
      <c r="E118" s="21">
        <f>E115/E22</f>
        <v>6.901005260320336</v>
      </c>
      <c r="F118" s="21">
        <f>F115/F22</f>
        <v>5.904444632451494</v>
      </c>
      <c r="G118" s="21">
        <f>G115/G22</f>
        <v>4.975506696421386</v>
      </c>
      <c r="H118" s="21">
        <f>H115/H22</f>
        <v>4.15832616035263</v>
      </c>
      <c r="I118" s="21">
        <f>I115/I22</f>
        <v>3.374890617600613</v>
      </c>
      <c r="J118" s="21"/>
      <c r="K118" s="21">
        <f>K115/'Term Sheet'!$C$12</f>
        <v>9.624124472009838</v>
      </c>
      <c r="L118" s="21">
        <f>L115/L22</f>
        <v>8.077111523176784</v>
      </c>
      <c r="M118" s="21">
        <f>M115/M22</f>
        <v>6.425127299583725</v>
      </c>
      <c r="N118" s="21">
        <f>N115/N22</f>
        <v>4.909376186170435</v>
      </c>
      <c r="O118" s="21">
        <f>O115/O22</f>
        <v>3.578346238288606</v>
      </c>
      <c r="P118" s="21">
        <f>P115/P22</f>
        <v>2.422125514338838</v>
      </c>
      <c r="Q118" s="21">
        <f>Q115/Q22</f>
        <v>1.415244349318028</v>
      </c>
      <c r="S118" s="21">
        <f>S115/'Term Sheet'!$C$12</f>
        <v>9.624124472009838</v>
      </c>
      <c r="T118" s="21">
        <f>T115/T22</f>
        <v>8.743157665556527</v>
      </c>
      <c r="U118" s="21">
        <f>U115/U22</f>
        <v>7.686910722705697</v>
      </c>
      <c r="V118" s="21">
        <f>V115/V22</f>
        <v>6.883445622247265</v>
      </c>
      <c r="W118" s="21">
        <f>W115/W22</f>
        <v>6.130644032883715</v>
      </c>
      <c r="X118" s="21">
        <f>X115/X22</f>
        <v>5.493624689554232</v>
      </c>
      <c r="Y118" s="21">
        <f>Y115/Y22</f>
        <v>4.882422591667215</v>
      </c>
    </row>
    <row r="119">
      <c r="B119" t="s" s="9">
        <v>299</v>
      </c>
      <c r="C119" s="21">
        <f>C117/'Term Sheet'!$C$12</f>
        <v>9.356787681120675</v>
      </c>
      <c r="D119" s="21">
        <f>D117/D22</f>
        <v>7.9243497383162325</v>
      </c>
      <c r="E119" s="21">
        <f>E117/E22</f>
        <v>6.711359698993447</v>
      </c>
      <c r="F119" s="21">
        <f>F117/F22</f>
        <v>5.738887808626062</v>
      </c>
      <c r="G119" s="21">
        <f>G117/G22</f>
        <v>4.829642596965419</v>
      </c>
      <c r="H119" s="21">
        <f>H117/H22</f>
        <v>4.02754876654451</v>
      </c>
      <c r="I119" s="21">
        <f>I117/I22</f>
        <v>3.256971346292094</v>
      </c>
      <c r="J119" s="21"/>
      <c r="K119" s="21">
        <f>K117/'Term Sheet'!$C$12</f>
        <v>9.356787681120675</v>
      </c>
      <c r="L119" s="21">
        <f>L117/L22</f>
        <v>7.821521582451686</v>
      </c>
      <c r="M119" s="21">
        <f>M117/M22</f>
        <v>6.246037072442232</v>
      </c>
      <c r="N119" s="21">
        <f>N117/N22</f>
        <v>4.76485936195201</v>
      </c>
      <c r="O119" s="21">
        <f>O117/O22</f>
        <v>3.460270978122764</v>
      </c>
      <c r="P119" s="21">
        <f>P117/P22</f>
        <v>2.324013174961192</v>
      </c>
      <c r="Q119" s="21">
        <f>Q117/Q22</f>
        <v>1.3316062505093673</v>
      </c>
      <c r="S119" s="21">
        <f>S117/'Term Sheet'!$C$12</f>
        <v>9.356787681120675</v>
      </c>
      <c r="T119" s="21">
        <f>T117/T22</f>
        <v>8.503661902642735</v>
      </c>
      <c r="U119" s="21">
        <f>U117/U22</f>
        <v>7.479060551535004</v>
      </c>
      <c r="V119" s="21">
        <f>V117/V22</f>
        <v>6.697162779059884</v>
      </c>
      <c r="W119" s="21">
        <f>W117/W22</f>
        <v>5.96210163859203</v>
      </c>
      <c r="X119" s="21">
        <f>X117/X22</f>
        <v>5.338354086544655</v>
      </c>
      <c r="Y119" s="21">
        <f>Y117/Y22</f>
        <v>4.738540167019533</v>
      </c>
    </row>
    <row r="120">
      <c r="S120"/>
      <c r="T120"/>
      <c r="U120"/>
      <c r="V120"/>
      <c r="W120"/>
      <c r="X120"/>
      <c r="Y120"/>
    </row>
    <row r="121">
      <c r="B121" t="s" s="34">
        <v>300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>
      <c r="B122" t="s" s="9">
        <v>301</v>
      </c>
      <c r="C122" s="47">
        <v>25.041255617597592</v>
      </c>
      <c r="D122" s="21"/>
      <c r="E122" s="21"/>
      <c r="F122" s="21"/>
      <c r="G122" s="21"/>
      <c r="H122" s="21"/>
      <c r="I122" s="21"/>
      <c r="J122" s="21"/>
      <c r="K122" s="47">
        <v>24.75171931344359</v>
      </c>
      <c r="L122" s="21"/>
      <c r="M122" s="21"/>
      <c r="N122" s="21"/>
      <c r="O122" s="21"/>
      <c r="P122" s="21"/>
      <c r="Q122" s="21"/>
      <c r="S122" s="47">
        <v>26.765276675229508</v>
      </c>
      <c r="T122" s="21"/>
      <c r="U122" s="21"/>
      <c r="V122" s="21"/>
      <c r="W122" s="21"/>
      <c r="X122" s="21"/>
      <c r="Y122" s="21"/>
    </row>
    <row r="123">
      <c r="B123" t="s" s="9">
        <v>302</v>
      </c>
      <c r="C123" s="10"/>
      <c r="D123" s="10"/>
      <c r="E123" s="10">
        <f>F11</f>
        <v>453.016663807723</v>
      </c>
      <c r="F123" s="10">
        <f>G11</f>
        <v>514.1772394971034</v>
      </c>
      <c r="G123" s="10">
        <f>H11</f>
        <v>573.4936124361247</v>
      </c>
      <c r="H123" s="10">
        <f>I11</f>
        <v>636.0283537011794</v>
      </c>
      <c r="I123" s="10"/>
      <c r="J123" s="10"/>
      <c r="K123" s="10"/>
      <c r="L123" s="10"/>
      <c r="M123" s="10">
        <f>N11</f>
        <v>518.9707178082192</v>
      </c>
      <c r="N123" s="10">
        <f>O11</f>
        <v>635.1880986301371</v>
      </c>
      <c r="O123" s="10">
        <f>P11</f>
        <v>764.4298410958905</v>
      </c>
      <c r="P123" s="10">
        <f>Q11</f>
        <v>896.7205265100274</v>
      </c>
      <c r="Q123" s="10"/>
      <c r="S123" s="10"/>
      <c r="T123" s="10"/>
      <c r="U123" s="10">
        <f>V11</f>
        <v>402.61356717944</v>
      </c>
      <c r="V123" s="10">
        <f>W11</f>
        <v>444.9918984193532</v>
      </c>
      <c r="W123" s="10">
        <f>X11</f>
        <v>483.027685513492</v>
      </c>
      <c r="X123" s="10">
        <f>Y11</f>
        <v>521.258938912441</v>
      </c>
      <c r="Y123" s="10"/>
    </row>
    <row r="124">
      <c r="B124" t="s" s="9">
        <v>303</v>
      </c>
      <c r="C124" s="10"/>
      <c r="D124" s="10"/>
      <c r="E124" s="10">
        <f>F19</f>
        <v>0</v>
      </c>
      <c r="F124" s="10">
        <f>G19</f>
        <v>0</v>
      </c>
      <c r="G124" s="10">
        <f>H19</f>
        <v>0</v>
      </c>
      <c r="H124" s="10">
        <f>I19</f>
        <v>0</v>
      </c>
      <c r="I124" s="10"/>
      <c r="J124" s="10"/>
      <c r="K124" s="10"/>
      <c r="L124" s="10"/>
      <c r="M124" s="10">
        <f>N19</f>
        <v>0</v>
      </c>
      <c r="N124" s="10">
        <f>O19</f>
        <v>0</v>
      </c>
      <c r="O124" s="10">
        <f>P19</f>
        <v>0</v>
      </c>
      <c r="P124" s="10">
        <f>Q19</f>
        <v>0</v>
      </c>
      <c r="Q124" s="10"/>
      <c r="S124" s="10"/>
      <c r="T124" s="10"/>
      <c r="U124" s="10">
        <f>V19</f>
        <v>0</v>
      </c>
      <c r="V124" s="10">
        <f>W19</f>
        <v>0</v>
      </c>
      <c r="W124" s="10">
        <f>X19</f>
        <v>0</v>
      </c>
      <c r="X124" s="10">
        <f>Y19</f>
        <v>0</v>
      </c>
      <c r="Y124" s="10"/>
    </row>
    <row r="125">
      <c r="B125" t="s" s="9">
        <v>304</v>
      </c>
      <c r="C125" s="10"/>
      <c r="D125" s="10"/>
      <c r="E125" s="10">
        <f>E123*$C$122+E124*Scenarios!$C$28</f>
        <v>11344.106077440463</v>
      </c>
      <c r="F125" s="10">
        <f>F123*$C$122+F124*Scenarios!$C$28</f>
        <v>12875.643686997664</v>
      </c>
      <c r="G125" s="10">
        <f>G123*$C$122+G124*Scenarios!$C$28</f>
        <v>14361.000144072445</v>
      </c>
      <c r="H125" s="10">
        <f>H123*$C$122+H124*Scenarios!$C$28</f>
        <v>15926.948585071008</v>
      </c>
      <c r="I125" s="10"/>
      <c r="J125" s="10"/>
      <c r="K125" s="10"/>
      <c r="L125" s="10"/>
      <c r="M125" s="10">
        <f>M123*$K$122+M124*Scenarios!$C$28</f>
        <v>12845.417539085383</v>
      </c>
      <c r="N125" s="10">
        <f>N123*$K$122+N124*Scenarios!$C$28</f>
        <v>15721.997528533077</v>
      </c>
      <c r="O125" s="10">
        <f>O123*$K$122+O124*Scenarios!$C$28</f>
        <v>18920.95286162577</v>
      </c>
      <c r="P125" s="10">
        <f>P123*$K$122+P124*Scenarios!$C$28</f>
        <v>22195.37477477955</v>
      </c>
      <c r="Q125" s="10"/>
      <c r="S125" s="10"/>
      <c r="T125" s="10"/>
      <c r="U125" s="10">
        <f>U123*$S$122+U124*Scenarios!$C$28</f>
        <v>10776.063518758814</v>
      </c>
      <c r="V125" s="10">
        <f>V123*$S$122+V124*Scenarios!$C$28</f>
        <v>11910.331279429613</v>
      </c>
      <c r="W125" s="10">
        <f>W123*$S$122+W124*Scenarios!$C$28</f>
        <v>12928.36964456436</v>
      </c>
      <c r="X125" s="10">
        <f>X123*$S$122+X124*Scenarios!$C$28</f>
        <v>13951.639719428038</v>
      </c>
      <c r="Y125" s="10"/>
    </row>
    <row r="126">
      <c r="B126" t="s" s="9">
        <v>305</v>
      </c>
      <c r="C126" s="10"/>
      <c r="D126" s="10"/>
      <c r="E126" s="10">
        <f>-E115</f>
        <v>-2729.1722036767824</v>
      </c>
      <c r="F126" s="10">
        <f>-F115</f>
        <v>-2674.811809030593</v>
      </c>
      <c r="G126" s="10">
        <f>-G115</f>
        <v>-2558.292298265301</v>
      </c>
      <c r="H126" s="10">
        <f>-H115</f>
        <v>-2384.7734913882696</v>
      </c>
      <c r="I126" s="10"/>
      <c r="J126" s="10"/>
      <c r="K126" s="10"/>
      <c r="L126" s="10"/>
      <c r="M126" s="10">
        <f>-M115</f>
        <v>-2690.736145462925</v>
      </c>
      <c r="N126" s="10">
        <f>-N115</f>
        <v>-2547.822483327448</v>
      </c>
      <c r="O126" s="10">
        <f>-O115</f>
        <v>-2272.922943338843</v>
      </c>
      <c r="P126" s="10">
        <f>-P115</f>
        <v>-1851.54502204034</v>
      </c>
      <c r="Q126" s="10"/>
      <c r="S126" s="10"/>
      <c r="T126" s="10"/>
      <c r="U126" s="10">
        <f>-U115</f>
        <v>-2773.7206130538757</v>
      </c>
      <c r="V126" s="10">
        <f>-V115</f>
        <v>-2771.3685964586716</v>
      </c>
      <c r="W126" s="10">
        <f>-W115</f>
        <v>-2728.0869267262037</v>
      </c>
      <c r="X126" s="10">
        <f>-X115</f>
        <v>-2653.5728188751564</v>
      </c>
      <c r="Y126" s="10"/>
    </row>
    <row r="127">
      <c r="B127" t="s" s="9">
        <v>306</v>
      </c>
      <c r="C127" s="10"/>
      <c r="D127" s="10"/>
      <c r="E127" s="10">
        <f>E109</f>
        <v>75</v>
      </c>
      <c r="F127" s="10">
        <f>F109</f>
        <v>75</v>
      </c>
      <c r="G127" s="10">
        <f>G109</f>
        <v>75</v>
      </c>
      <c r="H127" s="10">
        <f>H109</f>
        <v>75</v>
      </c>
      <c r="I127" s="10"/>
      <c r="J127" s="10"/>
      <c r="K127" s="10"/>
      <c r="L127" s="10"/>
      <c r="M127" s="10">
        <f>M109</f>
        <v>75</v>
      </c>
      <c r="N127" s="10">
        <f>N109</f>
        <v>75</v>
      </c>
      <c r="O127" s="10">
        <f>O109</f>
        <v>75</v>
      </c>
      <c r="P127" s="10">
        <f>P109</f>
        <v>75</v>
      </c>
      <c r="Q127" s="10"/>
      <c r="S127" s="10"/>
      <c r="T127" s="10"/>
      <c r="U127" s="10">
        <f>U109</f>
        <v>75</v>
      </c>
      <c r="V127" s="10">
        <f>V109</f>
        <v>75</v>
      </c>
      <c r="W127" s="10">
        <f>W109</f>
        <v>75</v>
      </c>
      <c r="X127" s="10">
        <f>X109</f>
        <v>75</v>
      </c>
      <c r="Y127" s="10"/>
    </row>
    <row r="128">
      <c r="A128"/>
      <c r="B128" t="s" s="9">
        <v>527</v>
      </c>
      <c r="C128" s="10"/>
      <c r="D128" s="10"/>
      <c r="E128" s="10">
        <f>-'Term Sheet'!$C$100*(1-'Term Sheet'!$C$95)*MAX(0,'Term Sheet'!$C$101-E$6)/('Term Sheet'!$C$101-'Term Sheet'!$C$7)</f>
        <v>-73.38867177177868</v>
      </c>
      <c r="F128" s="10">
        <f>-'Term Sheet'!$C$100*(1-'Term Sheet'!$C$95)*MAX(0,'Term Sheet'!$C$101-F$6)/('Term Sheet'!$C$101-'Term Sheet'!$C$7)</f>
        <v>-23.83100780781005</v>
      </c>
      <c r="G128" s="10">
        <f>-'Term Sheet'!$C$100*(1-'Term Sheet'!$C$95)*MAX(0,'Term Sheet'!$C$101-G$6)/('Term Sheet'!$C$101-'Term Sheet'!$C$7)</f>
        <v>0</v>
      </c>
      <c r="H128" s="10">
        <f>-'Term Sheet'!$C$100*(1-'Term Sheet'!$C$95)*MAX(0,'Term Sheet'!$C$101-H$6)/('Term Sheet'!$C$101-'Term Sheet'!$C$7)</f>
        <v>0</v>
      </c>
      <c r="I128" s="10"/>
      <c r="J128" s="10"/>
      <c r="K128" s="10"/>
      <c r="L128" s="10"/>
      <c r="M128" s="10">
        <f>-'Term Sheet'!$C$100*(1-'Term Sheet'!$C$95)*MAX(0,'Term Sheet'!$C$101-M$6)/('Term Sheet'!$C$101-'Term Sheet'!$C$7)</f>
        <v>-73.38867177177868</v>
      </c>
      <c r="N128" s="10">
        <f>-'Term Sheet'!$C$100*(1-'Term Sheet'!$C$95)*MAX(0,'Term Sheet'!$C$101-N$6)/('Term Sheet'!$C$101-'Term Sheet'!$C$7)</f>
        <v>-23.83100780781005</v>
      </c>
      <c r="O128" s="10">
        <f>-'Term Sheet'!$C$100*(1-'Term Sheet'!$C$95)*MAX(0,'Term Sheet'!$C$101-O$6)/('Term Sheet'!$C$101-'Term Sheet'!$C$7)</f>
        <v>0</v>
      </c>
      <c r="P128" s="10">
        <f>-'Term Sheet'!$C$100*(1-'Term Sheet'!$C$95)*MAX(0,'Term Sheet'!$C$101-P$6)/('Term Sheet'!$C$101-'Term Sheet'!$C$7)</f>
        <v>0</v>
      </c>
      <c r="Q128" s="10"/>
      <c r="R128"/>
      <c r="S128" s="10"/>
      <c r="T128" s="10"/>
      <c r="U128" s="10">
        <f>-'Term Sheet'!$C$100*(1-'Term Sheet'!$C$95)*MAX(0,'Term Sheet'!$C$101-U$6)/('Term Sheet'!$C$101-'Term Sheet'!$C$7)</f>
        <v>-73.38867177177868</v>
      </c>
      <c r="V128" s="10">
        <f>-'Term Sheet'!$C$100*(1-'Term Sheet'!$C$95)*MAX(0,'Term Sheet'!$C$101-V$6)/('Term Sheet'!$C$101-'Term Sheet'!$C$7)</f>
        <v>-23.83100780781005</v>
      </c>
      <c r="W128" s="10">
        <f>-'Term Sheet'!$C$100*(1-'Term Sheet'!$C$95)*MAX(0,'Term Sheet'!$C$101-W$6)/('Term Sheet'!$C$101-'Term Sheet'!$C$7)</f>
        <v>0</v>
      </c>
      <c r="X128" s="10">
        <f>-'Term Sheet'!$C$100*(1-'Term Sheet'!$C$95)*MAX(0,'Term Sheet'!$C$101-X$6)/('Term Sheet'!$C$101-'Term Sheet'!$C$7)</f>
        <v>0</v>
      </c>
      <c r="Y128" s="10"/>
    </row>
    <row r="129">
      <c r="B129" t="s" s="41">
        <v>307</v>
      </c>
      <c r="C129" s="42"/>
      <c r="D129" s="42"/>
      <c r="E129" s="42">
        <f>SUM(E125:E128)</f>
        <v>8616.545201991903</v>
      </c>
      <c r="F129" s="42">
        <f>SUM(F125:F128)</f>
        <v>10252.000870159261</v>
      </c>
      <c r="G129" s="42">
        <f>SUM(G125:G128)</f>
        <v>11877.707845807145</v>
      </c>
      <c r="H129" s="42">
        <f>SUM(H125:H128)</f>
        <v>13617.175093682737</v>
      </c>
      <c r="I129" s="42"/>
      <c r="J129" s="10"/>
      <c r="K129" s="42"/>
      <c r="L129" s="42"/>
      <c r="M129" s="42">
        <f>SUM(M125:M128)</f>
        <v>10156.292721850681</v>
      </c>
      <c r="N129" s="42">
        <f>SUM(N125:N128)</f>
        <v>13225.34403739782</v>
      </c>
      <c r="O129" s="42">
        <f>SUM(O125:O128)</f>
        <v>16723.029918286928</v>
      </c>
      <c r="P129" s="42">
        <f>SUM(P125:P128)</f>
        <v>20418.82975273921</v>
      </c>
      <c r="Q129" s="42"/>
      <c r="S129" s="42"/>
      <c r="T129" s="42"/>
      <c r="U129" s="42">
        <f>SUM(U125:U128)</f>
        <v>8003.954233933159</v>
      </c>
      <c r="V129" s="42">
        <f>SUM(V125:V128)</f>
        <v>9190.131675163131</v>
      </c>
      <c r="W129" s="42">
        <f>SUM(W125:W128)</f>
        <v>10275.282717838156</v>
      </c>
      <c r="X129" s="42">
        <f>SUM(X125:X128)</f>
        <v>11373.066900552882</v>
      </c>
      <c r="Y129" s="42"/>
    </row>
    <row r="130">
      <c r="B130" t="s" s="9">
        <v>308</v>
      </c>
      <c r="C130" s="10"/>
      <c r="D130" s="10"/>
      <c r="E130" s="44">
        <f>'Term Sheet'!$C$13</f>
        <v>5737.031985790003</v>
      </c>
      <c r="F130" s="44">
        <f>'Term Sheet'!$C$13</f>
        <v>5737.031985790003</v>
      </c>
      <c r="G130" s="44">
        <f>'Term Sheet'!$C$13</f>
        <v>5737.031985790003</v>
      </c>
      <c r="H130" s="44">
        <f>'Term Sheet'!$C$13</f>
        <v>5737.031985790003</v>
      </c>
      <c r="I130" s="10"/>
      <c r="J130" s="10"/>
      <c r="K130" s="10"/>
      <c r="L130" s="10"/>
      <c r="M130" s="44">
        <f>'Term Sheet'!$C$13</f>
        <v>5737.031985790003</v>
      </c>
      <c r="N130" s="44">
        <f>'Term Sheet'!$C$13</f>
        <v>5737.031985790003</v>
      </c>
      <c r="O130" s="44">
        <f>'Term Sheet'!$C$13</f>
        <v>5737.031985790003</v>
      </c>
      <c r="P130" s="44">
        <f>'Term Sheet'!$C$13</f>
        <v>5737.031985790003</v>
      </c>
      <c r="Q130" s="10"/>
      <c r="S130" s="10"/>
      <c r="T130" s="10"/>
      <c r="U130" s="44">
        <f>'Term Sheet'!$C$13</f>
        <v>5737.031985790003</v>
      </c>
      <c r="V130" s="44">
        <f>'Term Sheet'!$C$13</f>
        <v>5737.031985790003</v>
      </c>
      <c r="W130" s="44">
        <f>'Term Sheet'!$C$13</f>
        <v>5737.031985790003</v>
      </c>
      <c r="X130" s="44">
        <f>'Term Sheet'!$C$13</f>
        <v>5737.031985790003</v>
      </c>
      <c r="Y130" s="10"/>
    </row>
    <row r="131">
      <c r="B131" t="s" s="9">
        <v>309</v>
      </c>
      <c r="C131" s="21"/>
      <c r="D131" s="21"/>
      <c r="E131" s="21">
        <f>E129/E130</f>
        <v>1.5019168837360741</v>
      </c>
      <c r="F131" s="21">
        <f>F129/F130</f>
        <v>1.7869868767600285</v>
      </c>
      <c r="G131" s="21">
        <f>G129/G130</f>
        <v>2.0703576126517893</v>
      </c>
      <c r="H131" s="21">
        <f>H129/H130</f>
        <v>2.3735574644539166</v>
      </c>
      <c r="I131" s="21"/>
      <c r="J131" s="21"/>
      <c r="K131" s="21"/>
      <c r="L131" s="21"/>
      <c r="M131" s="21">
        <f>M129/M130</f>
        <v>1.7703043572018948</v>
      </c>
      <c r="N131" s="21">
        <f>N129/N130</f>
        <v>2.305258898705034</v>
      </c>
      <c r="O131" s="21">
        <f>O129/O130</f>
        <v>2.914927084197549</v>
      </c>
      <c r="P131" s="21">
        <f>P129/P130</f>
        <v>3.5591277516517956</v>
      </c>
      <c r="Q131" s="21"/>
      <c r="S131" s="21"/>
      <c r="T131" s="21"/>
      <c r="U131" s="21">
        <f>U129/U130</f>
        <v>1.395138506070399</v>
      </c>
      <c r="V131" s="21">
        <f>V129/V130</f>
        <v>1.601896537778781</v>
      </c>
      <c r="W131" s="21">
        <f>W129/W130</f>
        <v>1.791045046164794</v>
      </c>
      <c r="X131" s="21">
        <f>X129/X130</f>
        <v>1.98239558864631</v>
      </c>
      <c r="Y131" s="21"/>
    </row>
    <row r="132">
      <c r="B132" t="s" s="41">
        <v>310</v>
      </c>
      <c r="C132" s="43"/>
      <c r="D132" s="43"/>
      <c r="E132" s="43">
        <f>E131^(1/YEARFRAC('Term Sheet'!$C$7,E$6,3))-1</f>
        <v>0.307320965922542</v>
      </c>
      <c r="F132" s="43">
        <f>F131^(1/YEARFRAC('Term Sheet'!$C$7,F$6,3))-1</f>
        <v>0.2590019720845249</v>
      </c>
      <c r="G132" s="43">
        <f>G131^(1/YEARFRAC('Term Sheet'!$C$7,G$6,3))-1</f>
        <v>0.22962204687493126</v>
      </c>
      <c r="H132" s="43">
        <f>H131^(1/YEARFRAC('Term Sheet'!$C$7,H$6,3))-1</f>
        <v>0.2107179328633042</v>
      </c>
      <c r="I132" s="43"/>
      <c r="J132" s="24"/>
      <c r="K132" s="43"/>
      <c r="L132" s="43"/>
      <c r="M132" s="43">
        <f>M131^(1/YEARFRAC('Term Sheet'!$C$7,M$6,3))-1</f>
        <v>0.45688437548498184</v>
      </c>
      <c r="N132" s="43">
        <f>N131^(1/YEARFRAC('Term Sheet'!$C$7,N$6,3))-1</f>
        <v>0.3928524139613694</v>
      </c>
      <c r="O132" s="43">
        <f>O131^(1/YEARFRAC('Term Sheet'!$C$7,O$6,3))-1</f>
        <v>0.35511439971643166</v>
      </c>
      <c r="P132" s="43">
        <f>P131^(1/YEARFRAC('Term Sheet'!$C$7,P$6,3))-1</f>
        <v>0.3242314017059704</v>
      </c>
      <c r="Q132" s="43"/>
      <c r="S132" s="43"/>
      <c r="T132" s="43"/>
      <c r="U132" s="43">
        <f>U131^(1/YEARFRAC('Term Sheet'!$C$7,U$6,3))-1</f>
        <v>0.24531829356136448</v>
      </c>
      <c r="V132" s="43">
        <f>V131^(1/YEARFRAC('Term Sheet'!$C$7,V$6,3))-1</f>
        <v>0.2055535293108941</v>
      </c>
      <c r="W132" s="43">
        <f>W131^(1/YEARFRAC('Term Sheet'!$C$7,W$6,3))-1</f>
        <v>0.1800327664626511</v>
      </c>
      <c r="X132" s="43">
        <f>X131^(1/YEARFRAC('Term Sheet'!$C$7,X$6,3))-1</f>
        <v>0.16343493834633205</v>
      </c>
      <c r="Y132" s="43"/>
    </row>
    <row r="133">
      <c r="S133"/>
      <c r="T133"/>
      <c r="U133"/>
      <c r="V133"/>
      <c r="W133"/>
      <c r="X133"/>
      <c r="Y133"/>
    </row>
    <row r="134">
      <c r="B134" t="s" s="34">
        <v>311</v>
      </c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>
      <c r="B135" t="s" s="9">
        <v>312</v>
      </c>
      <c r="C135" s="10"/>
      <c r="D135" s="10"/>
      <c r="E135" s="10"/>
      <c r="F135" s="10"/>
      <c r="G135" s="10"/>
      <c r="H135" s="44">
        <v>2309.773491388266</v>
      </c>
      <c r="I135" s="10"/>
      <c r="J135" s="10"/>
      <c r="K135" s="10"/>
      <c r="L135" s="10"/>
      <c r="M135" s="10"/>
      <c r="N135" s="10"/>
      <c r="O135" s="10"/>
      <c r="P135" s="44">
        <v>1776.545022040343</v>
      </c>
      <c r="Q135" s="10"/>
      <c r="S135" s="10"/>
      <c r="T135" s="10"/>
      <c r="U135" s="10"/>
      <c r="V135" s="10"/>
      <c r="W135" s="10"/>
      <c r="X135" s="44">
        <v>2578.5728188848057</v>
      </c>
      <c r="Y135" s="10"/>
    </row>
    <row r="136">
      <c r="B136" t="s" s="9">
        <v>313</v>
      </c>
      <c r="C136" s="10"/>
      <c r="D136" s="10"/>
      <c r="E136" s="10"/>
      <c r="F136" s="10"/>
      <c r="G136" s="10"/>
      <c r="H136" s="10">
        <f>H117</f>
        <v>2309.7734913882696</v>
      </c>
      <c r="I136" s="10"/>
      <c r="J136" s="10"/>
      <c r="K136" s="10"/>
      <c r="L136" s="10"/>
      <c r="M136" s="10"/>
      <c r="N136" s="10"/>
      <c r="O136" s="10"/>
      <c r="P136" s="10">
        <f>P117</f>
        <v>1776.54502204034</v>
      </c>
      <c r="Q136" s="10"/>
      <c r="S136" s="10"/>
      <c r="T136" s="10"/>
      <c r="U136" s="10"/>
      <c r="V136" s="10"/>
      <c r="W136" s="10"/>
      <c r="X136" s="10">
        <f>X117</f>
        <v>2578.5728188751564</v>
      </c>
      <c r="Y136" s="10"/>
    </row>
    <row r="137">
      <c r="B137" t="s" s="9">
        <v>314</v>
      </c>
      <c r="C137" s="10"/>
      <c r="D137" s="10"/>
      <c r="E137" s="10"/>
      <c r="F137" s="10"/>
      <c r="G137" s="10"/>
      <c r="H137" s="10">
        <f>H136-H135</f>
        <v>0.000000000003637978807091713</v>
      </c>
      <c r="I137" s="10"/>
      <c r="J137" s="10"/>
      <c r="K137" s="10"/>
      <c r="L137" s="10"/>
      <c r="M137" s="10"/>
      <c r="N137" s="10"/>
      <c r="O137" s="10"/>
      <c r="P137" s="10">
        <f>P136-P135</f>
        <v>-0.0000000000029558577807620168</v>
      </c>
      <c r="Q137" s="10"/>
      <c r="S137" s="10"/>
      <c r="T137" s="10"/>
      <c r="U137" s="10"/>
      <c r="V137" s="10"/>
      <c r="W137" s="10"/>
      <c r="X137" s="10">
        <f>X136-X135</f>
        <v>-0.000000009649284038459882</v>
      </c>
      <c r="Y137" s="10"/>
    </row>
    <row r="138">
      <c r="B138" t="s" s="9">
        <v>315</v>
      </c>
      <c r="C138" s="12"/>
      <c r="D138" s="12"/>
      <c r="E138" s="12"/>
      <c r="F138" s="12"/>
      <c r="G138" s="12"/>
      <c r="H138" s="48">
        <v>0.21071793437004088</v>
      </c>
      <c r="I138" s="12"/>
      <c r="J138" s="12"/>
      <c r="K138" s="12"/>
      <c r="L138" s="12"/>
      <c r="M138" s="12"/>
      <c r="N138" s="12"/>
      <c r="O138" s="12"/>
      <c r="P138" s="48">
        <v>0.32423140406608586</v>
      </c>
      <c r="Q138" s="12"/>
      <c r="S138" s="12"/>
      <c r="T138" s="12"/>
      <c r="U138" s="12"/>
      <c r="V138" s="12"/>
      <c r="W138" s="12"/>
      <c r="X138" s="48">
        <v>0.16343494057655336</v>
      </c>
      <c r="Y138" s="12"/>
    </row>
    <row r="139">
      <c r="B139" t="s" s="9">
        <v>316</v>
      </c>
      <c r="C139" s="12"/>
      <c r="D139" s="12"/>
      <c r="E139" s="12"/>
      <c r="F139" s="12"/>
      <c r="G139" s="12"/>
      <c r="H139" s="12">
        <f>H132</f>
        <v>0.2107179328633042</v>
      </c>
      <c r="I139" s="12"/>
      <c r="J139" s="12"/>
      <c r="K139" s="12"/>
      <c r="L139" s="12"/>
      <c r="M139" s="12"/>
      <c r="N139" s="12"/>
      <c r="O139" s="12"/>
      <c r="P139" s="12">
        <f>P132</f>
        <v>0.3242314017059704</v>
      </c>
      <c r="Q139" s="12"/>
      <c r="S139" s="12"/>
      <c r="T139" s="12"/>
      <c r="U139" s="12"/>
      <c r="V139" s="12"/>
      <c r="W139" s="12"/>
      <c r="X139" s="12">
        <f>X132</f>
        <v>0.16343493834633205</v>
      </c>
      <c r="Y139" s="12"/>
    </row>
    <row r="140">
      <c r="B140" t="s" s="9">
        <v>314</v>
      </c>
      <c r="C140" s="12"/>
      <c r="D140" s="12"/>
      <c r="E140" s="12"/>
      <c r="F140" s="12"/>
      <c r="G140" s="12"/>
      <c r="H140" s="12">
        <f>H139-H138</f>
        <v>-0.0000000015067366798682258</v>
      </c>
      <c r="I140" s="12"/>
      <c r="J140" s="12"/>
      <c r="K140" s="12"/>
      <c r="L140" s="12"/>
      <c r="M140" s="12"/>
      <c r="N140" s="12"/>
      <c r="O140" s="12"/>
      <c r="P140" s="12">
        <f>P139-P138</f>
        <v>-0.0000000023601154364172316</v>
      </c>
      <c r="Q140" s="12"/>
      <c r="S140" s="12"/>
      <c r="T140" s="12"/>
      <c r="U140" s="12"/>
      <c r="V140" s="12"/>
      <c r="W140" s="12"/>
      <c r="X140" s="12">
        <f>X139-X138</f>
        <v>-0.000000002230221313181957</v>
      </c>
      <c r="Y140" s="12"/>
    </row>
    <row r="142">
      <c r="B142" t="s" s="34">
        <v>435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>
      <c r="B143" t="s" s="9">
        <v>436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44">
        <v>731.368</v>
      </c>
      <c r="T143" s="10"/>
      <c r="U143" s="10"/>
      <c r="V143" s="10"/>
      <c r="W143" s="10"/>
      <c r="X143" s="10"/>
      <c r="Y143" s="10"/>
    </row>
    <row r="144">
      <c r="B144" t="s" s="9">
        <v>437</v>
      </c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45">
        <v>0.250403293442057</v>
      </c>
      <c r="U144" s="45">
        <v>0.106193714748539</v>
      </c>
      <c r="V144" s="45">
        <v>0.096193714748539</v>
      </c>
      <c r="W144" s="45">
        <v>0.086193714748539</v>
      </c>
      <c r="X144" s="45">
        <v>0.076193714748539</v>
      </c>
      <c r="Y144" s="45">
        <v>0.0700000000000001</v>
      </c>
    </row>
    <row r="145">
      <c r="B145" t="s" s="9">
        <v>438</v>
      </c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45">
        <v>0.342434383767472</v>
      </c>
      <c r="U145" s="45">
        <v>0.356692211934217</v>
      </c>
      <c r="V145" s="45">
        <v>0.363064551682131</v>
      </c>
      <c r="W145" s="45">
        <v>0.369436891430046</v>
      </c>
      <c r="X145" s="45">
        <v>0.372623061304003</v>
      </c>
      <c r="Y145" s="45">
        <v>0.375809231177961</v>
      </c>
    </row>
    <row r="146">
      <c r="B146" t="s" s="9">
        <v>439</v>
      </c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45">
        <v>0.976744186046511</v>
      </c>
      <c r="U146" s="45">
        <v>0.976744186046511</v>
      </c>
      <c r="V146" s="45">
        <v>0.976744186046511</v>
      </c>
      <c r="W146" s="45">
        <v>0.976744186046511</v>
      </c>
      <c r="X146" s="45">
        <v>0.976744186046511</v>
      </c>
      <c r="Y146" s="45">
        <v>0.976744186046511</v>
      </c>
    </row>
    <row r="148">
      <c r="B148" t="s" s="34">
        <v>440</v>
      </c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>
      <c r="B149" t="s" s="9">
        <v>441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>
        <f>T17*T146</f>
        <v>-7.732226363612145</v>
      </c>
      <c r="U149" s="10">
        <f>U17*U146</f>
        <v>-16.51835542127438</v>
      </c>
      <c r="V149" s="10">
        <f>V17*V146</f>
        <v>-18.107317390783425</v>
      </c>
      <c r="W149" s="10">
        <f>W17*W146</f>
        <v>-19.668054340825872</v>
      </c>
      <c r="X149" s="10">
        <f>X17*X146</f>
        <v>-21.16663646292952</v>
      </c>
      <c r="Y149" s="10">
        <f>Y17*Y146</f>
        <v>-22.64830101533459</v>
      </c>
    </row>
    <row r="150">
      <c r="B150" t="s" s="9">
        <v>442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>
        <f>(T11-T12)*T7+T149</f>
        <v>88.19792940370692</v>
      </c>
      <c r="U150" s="10">
        <f>(U11-U12)*U7+U149</f>
        <v>216.42248958862322</v>
      </c>
      <c r="V150" s="10">
        <f>(V11-V12)*V7+V149</f>
        <v>248.54041411791698</v>
      </c>
      <c r="W150" s="10">
        <f>(W11-W12)*W7+W149</f>
        <v>281.45882064505145</v>
      </c>
      <c r="X150" s="10">
        <f>(X11-X12)*X7+X149</f>
        <v>310.35724498669333</v>
      </c>
      <c r="Y150" s="10">
        <f>(Y11-Y12)*Y7+Y149</f>
        <v>339.53164363004373</v>
      </c>
    </row>
    <row r="151">
      <c r="B151" t="s" s="9">
        <v>443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>
        <f>T103-T104</f>
        <v>120.71327939192187</v>
      </c>
      <c r="U151" s="10">
        <f>U103-U104</f>
        <v>238.66055910325295</v>
      </c>
      <c r="V151" s="10">
        <f>V103-V104</f>
        <v>230.25959062991546</v>
      </c>
      <c r="W151" s="10">
        <f>W103-W104</f>
        <v>219.80810556619144</v>
      </c>
      <c r="X151" s="10">
        <f>X103-X104</f>
        <v>215.22584981789342</v>
      </c>
      <c r="Y151" s="10">
        <f>Y103-Y104</f>
        <v>208.1040180844818</v>
      </c>
    </row>
    <row r="152">
      <c r="B152" t="s" s="9">
        <v>444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>
        <f>S155</f>
        <v>0</v>
      </c>
      <c r="U152" s="10">
        <f>T155</f>
        <v>91.93423266172653</v>
      </c>
      <c r="V152" s="10">
        <f>U155</f>
        <v>260.7125382620239</v>
      </c>
      <c r="W152" s="10">
        <f>V155</f>
        <v>410.97780943932815</v>
      </c>
      <c r="X152" s="10">
        <f>W155</f>
        <v>540.4478525084018</v>
      </c>
      <c r="Y152" s="10">
        <f>X155</f>
        <v>656.216537884831</v>
      </c>
    </row>
    <row r="153">
      <c r="B153" t="s" s="9">
        <v>445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>
        <f>'Term Sheet'!$C$94*MAX(0,(T11-T12)*T7+T44)</f>
        <v>28.77904673019572</v>
      </c>
      <c r="U153" s="10">
        <f>'Term Sheet'!$C$94*MAX(0,(U11-U12)*U7+U44)</f>
        <v>69.88225350296928</v>
      </c>
      <c r="V153" s="10">
        <f>'Term Sheet'!$C$94*MAX(0,(V11-V12)*V7+V44)</f>
        <v>79.99431945261013</v>
      </c>
      <c r="W153" s="10">
        <f>'Term Sheet'!$C$94*MAX(0,(W11-W12)*W7+W44)</f>
        <v>90.33806249576318</v>
      </c>
      <c r="X153" s="10">
        <f>'Term Sheet'!$C$94*MAX(0,(X11-X12)*X7+X44)</f>
        <v>99.45716443488686</v>
      </c>
      <c r="Y153" s="10">
        <f>'Term Sheet'!$C$94*MAX(0,(Y11-Y12)*Y7+Y44)</f>
        <v>108.6539833936135</v>
      </c>
    </row>
    <row r="154">
      <c r="B154" t="s" s="9">
        <v>446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>
        <f>MIN(T151+T152,T153)</f>
        <v>28.77904673019572</v>
      </c>
      <c r="U154" s="10">
        <f>MIN(U151+U152,U153)</f>
        <v>69.88225350296928</v>
      </c>
      <c r="V154" s="10">
        <f>MIN(V151+V152,V153)</f>
        <v>79.99431945261013</v>
      </c>
      <c r="W154" s="10">
        <f>MIN(W151+W152,W153)</f>
        <v>90.33806249576318</v>
      </c>
      <c r="X154" s="10">
        <f>MIN(X151+X152,X153)</f>
        <v>99.45716443488686</v>
      </c>
      <c r="Y154" s="10">
        <f>MIN(Y151+Y152,Y153)</f>
        <v>108.6539833936135</v>
      </c>
    </row>
    <row r="155">
      <c r="B155" t="s" s="9">
        <v>447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>
        <f>0</f>
        <v>0</v>
      </c>
      <c r="T155" s="10">
        <f>T152+T151-T154</f>
        <v>91.93423266172616</v>
      </c>
      <c r="U155" s="10">
        <f>U152+U151-U154</f>
        <v>260.71253826201024</v>
      </c>
      <c r="V155" s="10">
        <f>V152+V151-V154</f>
        <v>410.97780943932923</v>
      </c>
      <c r="W155" s="10">
        <f>W152+W151-W154</f>
        <v>540.4478525097564</v>
      </c>
      <c r="X155" s="10">
        <f>X152+X151-X154</f>
        <v>656.2165378914083</v>
      </c>
      <c r="Y155" s="10">
        <f>Y152+Y151-Y154</f>
        <v>755.6665725756993</v>
      </c>
    </row>
    <row r="156">
      <c r="B156" t="s" s="9">
        <v>448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>
        <f>MAX(0,T150-T154+T44)</f>
        <v>59.418882673511206</v>
      </c>
      <c r="U156" s="10">
        <f>MAX(0,U150-U154+U44)</f>
        <v>146.54023608565393</v>
      </c>
      <c r="V156" s="10">
        <f>MAX(0,V150-V154+V44)</f>
        <v>168.54609466530684</v>
      </c>
      <c r="W156" s="10">
        <f>MAX(0,W150-W154+W44)</f>
        <v>191.12075814928826</v>
      </c>
      <c r="X156" s="10">
        <f>MAX(0,X150-X154+X44)</f>
        <v>210.90008055180647</v>
      </c>
      <c r="Y156" s="10">
        <f>MAX(0,Y150-Y154+Y44)</f>
        <v>230.87766023643024</v>
      </c>
    </row>
    <row r="157">
      <c r="B157" t="s" s="9">
        <v>449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>
        <f>T156*'Term Sheet'!$C$95</f>
        <v>14.854720668377801</v>
      </c>
      <c r="U157" s="10">
        <f>U156*'Term Sheet'!$C$95</f>
        <v>36.63505902141348</v>
      </c>
      <c r="V157" s="10">
        <f>V156*'Term Sheet'!$C$95</f>
        <v>42.13652366632671</v>
      </c>
      <c r="W157" s="10">
        <f>W156*'Term Sheet'!$C$95</f>
        <v>47.780189537322066</v>
      </c>
      <c r="X157" s="10">
        <f>X156*'Term Sheet'!$C$95</f>
        <v>52.72502013795162</v>
      </c>
      <c r="Y157" s="10">
        <f>Y156*'Term Sheet'!$C$95</f>
        <v>57.71941505910756</v>
      </c>
    </row>
    <row r="158">
      <c r="B158" t="s" s="9">
        <v>450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>
        <f>S160</f>
        <v>702.3</v>
      </c>
      <c r="U158" s="10">
        <f>T160</f>
        <v>690.4162234652977</v>
      </c>
      <c r="V158" s="10">
        <f>U160</f>
        <v>661.1081762481668</v>
      </c>
      <c r="W158" s="10">
        <f>V160</f>
        <v>627.3989573151055</v>
      </c>
      <c r="X158" s="10">
        <f>W160</f>
        <v>589.1748056852479</v>
      </c>
      <c r="Y158" s="10">
        <f>X160</f>
        <v>546.9947895748866</v>
      </c>
    </row>
    <row r="159">
      <c r="B159" t="s" s="9">
        <v>451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f>-MIN(T158,T157*'Term Sheet'!$C$96)</f>
        <v>-11.883776534702243</v>
      </c>
      <c r="U159" s="10">
        <f>-MIN(U158,U157*'Term Sheet'!$C$96)</f>
        <v>-29.308047217130788</v>
      </c>
      <c r="V159" s="10">
        <f>-MIN(V158,V157*'Term Sheet'!$C$96)</f>
        <v>-33.70921893306137</v>
      </c>
      <c r="W159" s="10">
        <f>-MIN(W158,W157*'Term Sheet'!$C$96)</f>
        <v>-38.22415162985765</v>
      </c>
      <c r="X159" s="10">
        <f>-MIN(X158,X157*'Term Sheet'!$C$96)</f>
        <v>-42.180016110361294</v>
      </c>
      <c r="Y159" s="10">
        <f>-MIN(Y158,Y157*'Term Sheet'!$C$96)</f>
        <v>-46.175532047286055</v>
      </c>
    </row>
    <row r="160">
      <c r="B160" t="s" s="9">
        <v>452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44">
        <f>'Term Sheet'!$C$97</f>
        <v>702.3</v>
      </c>
      <c r="T160" s="10">
        <f>T158+T159</f>
        <v>690.4162234652977</v>
      </c>
      <c r="U160" s="10">
        <f>U158+U159</f>
        <v>661.1081762481668</v>
      </c>
      <c r="V160" s="10">
        <f>V158+V159</f>
        <v>627.3989573151055</v>
      </c>
      <c r="W160" s="10">
        <f>W158+W159</f>
        <v>589.1748056852479</v>
      </c>
      <c r="X160" s="10">
        <f>X158+X159</f>
        <v>546.9947895748866</v>
      </c>
      <c r="Y160" s="10">
        <f>Y158+Y159</f>
        <v>500.8192575276005</v>
      </c>
    </row>
    <row r="161">
      <c r="B161" t="s" s="41">
        <v>453</v>
      </c>
      <c r="C161" s="42"/>
      <c r="D161" s="42"/>
      <c r="E161" s="42"/>
      <c r="F161" s="42"/>
      <c r="G161" s="42"/>
      <c r="H161" s="42"/>
      <c r="I161" s="42"/>
      <c r="J161" s="10"/>
      <c r="K161" s="42"/>
      <c r="L161" s="42"/>
      <c r="M161" s="42"/>
      <c r="N161" s="42"/>
      <c r="O161" s="42"/>
      <c r="P161" s="42"/>
      <c r="Q161" s="42"/>
      <c r="R161" s="10"/>
      <c r="S161" s="42"/>
      <c r="T161" s="42">
        <f>T157+T159</f>
        <v>2.970944133675559</v>
      </c>
      <c r="U161" s="42">
        <f>U157+U159</f>
        <v>7.327011804282694</v>
      </c>
      <c r="V161" s="42">
        <f>V157+V159</f>
        <v>8.427304733265338</v>
      </c>
      <c r="W161" s="42">
        <f>W157+W159</f>
        <v>9.556037907464415</v>
      </c>
      <c r="X161" s="42">
        <f>X157+X159</f>
        <v>10.545004027590323</v>
      </c>
      <c r="Y161" s="42">
        <f>Y157+Y159</f>
        <v>11.543883011821507</v>
      </c>
    </row>
    <row r="163">
      <c r="B163" t="s" s="34">
        <v>454</v>
      </c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>
      <c r="B164" t="s" s="9">
        <v>455</v>
      </c>
      <c r="C164" s="21"/>
      <c r="D164" s="21"/>
      <c r="E164" s="21">
        <f>$C$122</f>
        <v>25.041255617597592</v>
      </c>
      <c r="F164" s="21">
        <f>$C$122</f>
        <v>25.041255617597592</v>
      </c>
      <c r="G164" s="21">
        <f>$C$122</f>
        <v>25.041255617597592</v>
      </c>
      <c r="H164" s="21">
        <f>$C$122</f>
        <v>25.041255617597592</v>
      </c>
      <c r="I164" s="21"/>
      <c r="J164" s="21"/>
      <c r="K164" s="21"/>
      <c r="L164" s="21"/>
      <c r="M164" s="21">
        <f>$C$122</f>
        <v>25.041255617597592</v>
      </c>
      <c r="N164" s="21">
        <f>$C$122</f>
        <v>25.041255617597592</v>
      </c>
      <c r="O164" s="21">
        <f>$C$122</f>
        <v>25.041255617597592</v>
      </c>
      <c r="P164" s="21">
        <f>$C$122</f>
        <v>25.041255617597592</v>
      </c>
      <c r="Q164" s="21"/>
      <c r="R164" s="21"/>
      <c r="S164" s="21"/>
      <c r="T164" s="21"/>
      <c r="U164" s="21">
        <f>$C$122</f>
        <v>25.041255617597592</v>
      </c>
      <c r="V164" s="21">
        <f>$C$122</f>
        <v>25.041255617597592</v>
      </c>
      <c r="W164" s="21">
        <f>$C$122</f>
        <v>25.041255617597592</v>
      </c>
      <c r="X164" s="21">
        <f>$C$122</f>
        <v>25.041255617597592</v>
      </c>
      <c r="Y164" s="21"/>
    </row>
    <row r="165">
      <c r="B165" t="s" s="9">
        <v>304</v>
      </c>
      <c r="C165" s="10"/>
      <c r="D165" s="10"/>
      <c r="E165" s="10">
        <f>E123*E164+E124*Scenarios!$C$28</f>
        <v>11344.106077440463</v>
      </c>
      <c r="F165" s="10">
        <f>F123*F164+F124*Scenarios!$C$28</f>
        <v>12875.643686997664</v>
      </c>
      <c r="G165" s="10">
        <f>G123*G164+G124*Scenarios!$C$28</f>
        <v>14361.000144072445</v>
      </c>
      <c r="H165" s="10">
        <f>H123*H164+H124*Scenarios!$C$28</f>
        <v>15926.948585071008</v>
      </c>
      <c r="I165" s="10"/>
      <c r="J165" s="10"/>
      <c r="K165" s="10"/>
      <c r="L165" s="10"/>
      <c r="M165" s="10">
        <f>M123*M164+M124*Scenarios!$C$28</f>
        <v>12995.678402683723</v>
      </c>
      <c r="N165" s="10">
        <f>N123*N164+N124*Scenarios!$C$28</f>
        <v>15905.907543053054</v>
      </c>
      <c r="O165" s="10">
        <f>O123*O164+O124*Scenarios!$C$28</f>
        <v>19142.283052601702</v>
      </c>
      <c r="P165" s="10">
        <f>P123*P164+P124*Scenarios!$C$28</f>
        <v>22455.007921884295</v>
      </c>
      <c r="Q165" s="10"/>
      <c r="R165" s="10"/>
      <c r="S165" s="10"/>
      <c r="T165" s="10"/>
      <c r="U165" s="10">
        <f>U123*U164+U124*Scenarios!$C$28</f>
        <v>10081.949250853157</v>
      </c>
      <c r="V165" s="10">
        <f>V123*V164+V124*Scenarios!$C$28</f>
        <v>11143.155876079047</v>
      </c>
      <c r="W165" s="10">
        <f>W123*W164+W124*Scenarios!$C$28</f>
        <v>12095.619743319894</v>
      </c>
      <c r="X165" s="10">
        <f>X123*X164+X124*Scenarios!$C$28</f>
        <v>13052.978332264121</v>
      </c>
      <c r="Y165" s="10"/>
    </row>
    <row r="166">
      <c r="B166" t="s" s="41">
        <v>307</v>
      </c>
      <c r="C166" s="42"/>
      <c r="D166" s="42"/>
      <c r="E166" s="42">
        <f>E165-E115+E109+E128</f>
        <v>8616.545201991903</v>
      </c>
      <c r="F166" s="42">
        <f>F165-F115+F109+F128</f>
        <v>10252.000870159261</v>
      </c>
      <c r="G166" s="42">
        <f>G165-G115+G109+G128</f>
        <v>11877.707845807145</v>
      </c>
      <c r="H166" s="42">
        <f>H165-H115+H109+H128</f>
        <v>13617.175093682737</v>
      </c>
      <c r="I166" s="42"/>
      <c r="J166" s="10"/>
      <c r="K166" s="42"/>
      <c r="L166" s="42"/>
      <c r="M166" s="42">
        <f>M165-M115+M109+M128</f>
        <v>10306.55358544902</v>
      </c>
      <c r="N166" s="42">
        <f>N165-N115+N109+N128</f>
        <v>13409.254051917796</v>
      </c>
      <c r="O166" s="42">
        <f>O165-O115+O109+O128</f>
        <v>16944.36010926286</v>
      </c>
      <c r="P166" s="42">
        <f>P165-P115+P109+P128</f>
        <v>20678.462899843955</v>
      </c>
      <c r="Q166" s="42"/>
      <c r="R166" s="10"/>
      <c r="S166" s="42"/>
      <c r="T166" s="42"/>
      <c r="U166" s="42">
        <f>U165-U115+U109+U128</f>
        <v>7309.839966027502</v>
      </c>
      <c r="V166" s="42">
        <f>V165-V115+V109+V128</f>
        <v>8422.956271812565</v>
      </c>
      <c r="W166" s="42">
        <f>W165-W115+W109+W128</f>
        <v>9442.53281659369</v>
      </c>
      <c r="X166" s="42">
        <f>X165-X115+X109+X128</f>
        <v>10474.405513388965</v>
      </c>
      <c r="Y166" s="42"/>
    </row>
    <row r="167">
      <c r="B167" t="s" s="9">
        <v>309</v>
      </c>
      <c r="C167" s="21"/>
      <c r="D167" s="21"/>
      <c r="E167" s="21">
        <f>E166/E130</f>
        <v>1.5019168837360741</v>
      </c>
      <c r="F167" s="21">
        <f>F166/F130</f>
        <v>1.7869868767600285</v>
      </c>
      <c r="G167" s="21">
        <f>G166/G130</f>
        <v>2.0703576126517893</v>
      </c>
      <c r="H167" s="21">
        <f>H166/H130</f>
        <v>2.3735574644539166</v>
      </c>
      <c r="I167" s="21"/>
      <c r="J167" s="21"/>
      <c r="K167" s="21"/>
      <c r="L167" s="21"/>
      <c r="M167" s="21">
        <f>M166/M130</f>
        <v>1.7964957509348423</v>
      </c>
      <c r="N167" s="21">
        <f>N166/N130</f>
        <v>2.3373155466330053</v>
      </c>
      <c r="O167" s="21">
        <f>O166/O130</f>
        <v>2.953506299290674</v>
      </c>
      <c r="P167" s="21">
        <f>P166/P130</f>
        <v>3.604383407842632</v>
      </c>
      <c r="Q167" s="21"/>
      <c r="R167" s="21"/>
      <c r="S167" s="21"/>
      <c r="T167" s="21"/>
      <c r="U167" s="21">
        <f>U166/U130</f>
        <v>1.2741501152744434</v>
      </c>
      <c r="V167" s="21">
        <f>V166/V130</f>
        <v>1.468173141212268</v>
      </c>
      <c r="W167" s="21">
        <f>W166/W130</f>
        <v>1.6458916108506636</v>
      </c>
      <c r="X167" s="21">
        <f>X166/X130</f>
        <v>1.8257533754967576</v>
      </c>
      <c r="Y167" s="21"/>
    </row>
    <row r="168">
      <c r="B168" t="s" s="41">
        <v>310</v>
      </c>
      <c r="C168" s="43"/>
      <c r="D168" s="43"/>
      <c r="E168" s="43">
        <f>E167^(1/YEARFRAC('Term Sheet'!$C$7,E$6,3))-1</f>
        <v>0.307320965922542</v>
      </c>
      <c r="F168" s="43">
        <f>F167^(1/YEARFRAC('Term Sheet'!$C$7,F$6,3))-1</f>
        <v>0.2590019720845249</v>
      </c>
      <c r="G168" s="43">
        <f>G167^(1/YEARFRAC('Term Sheet'!$C$7,G$6,3))-1</f>
        <v>0.22962204687493126</v>
      </c>
      <c r="H168" s="43">
        <f>H167^(1/YEARFRAC('Term Sheet'!$C$7,H$6,3))-1</f>
        <v>0.2107179328633042</v>
      </c>
      <c r="I168" s="43"/>
      <c r="J168" s="24"/>
      <c r="K168" s="43"/>
      <c r="L168" s="43"/>
      <c r="M168" s="43">
        <f>M167^(1/YEARFRAC('Term Sheet'!$C$7,M$6,3))-1</f>
        <v>0.4710497695270335</v>
      </c>
      <c r="N168" s="43">
        <f>N167^(1/YEARFRAC('Term Sheet'!$C$7,N$6,3))-1</f>
        <v>0.4005047945209663</v>
      </c>
      <c r="O168" s="43">
        <f>O167^(1/YEARFRAC('Term Sheet'!$C$7,O$6,3))-1</f>
        <v>0.36018482506125915</v>
      </c>
      <c r="P168" s="43">
        <f>P167^(1/YEARFRAC('Term Sheet'!$C$7,P$6,3))-1</f>
        <v>0.3279378895669589</v>
      </c>
      <c r="Q168" s="43"/>
      <c r="R168" s="24"/>
      <c r="S168" s="43"/>
      <c r="T168" s="43"/>
      <c r="U168" s="43">
        <f>U167^(1/YEARFRAC('Term Sheet'!$C$7,U$6,3))-1</f>
        <v>0.17307030193718087</v>
      </c>
      <c r="V168" s="43">
        <f>V167^(1/YEARFRAC('Term Sheet'!$C$7,V$6,3))-1</f>
        <v>0.16457394921515367</v>
      </c>
      <c r="W168" s="43">
        <f>W167^(1/YEARFRAC('Term Sheet'!$C$7,W$6,3))-1</f>
        <v>0.15204131473214</v>
      </c>
      <c r="X168" s="43">
        <f>X167^(1/YEARFRAC('Term Sheet'!$C$7,X$6,3))-1</f>
        <v>0.14244200888378455</v>
      </c>
      <c r="Y168" s="43"/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" sqref="A1"/>
    </sheetView>
  </sheetViews>
  <cols>
    <col min="1" max="1" width="2.21875" customWidth="1"/>
    <col min="2" max="2" width="83.7890625" customWidth="1"/>
    <col min="3" max="9" width="12.50390625" customWidth="1"/>
  </cols>
  <sheetData>
    <row r="2">
      <c r="B2" t="s" s="2">
        <v>319</v>
      </c>
    </row>
    <row r="3">
      <c r="B3" t="s" s="3">
        <v>320</v>
      </c>
    </row>
    <row r="5">
      <c r="B5" t="s" s="34">
        <v>317</v>
      </c>
      <c r="C5" s="34"/>
      <c r="D5" s="34"/>
      <c r="E5" s="34"/>
      <c r="F5" s="34"/>
      <c r="G5" s="34"/>
      <c r="H5" s="34"/>
      <c r="I5" s="34"/>
    </row>
    <row r="6">
      <c r="B6" t="s" s="4">
        <v>215</v>
      </c>
      <c r="C6" s="38">
        <f>'Debt Schedule'!C$6</f>
        <v>46198</v>
      </c>
      <c r="D6" s="39">
        <f>'Debt Schedule'!D$6</f>
        <v>46387</v>
      </c>
      <c r="E6" s="39">
        <f>'Debt Schedule'!E$6</f>
        <v>46752</v>
      </c>
      <c r="F6" s="39">
        <f>'Debt Schedule'!F$6</f>
        <v>47118</v>
      </c>
      <c r="G6" s="39">
        <f>'Debt Schedule'!G$6</f>
        <v>47483</v>
      </c>
      <c r="H6" s="39">
        <f>'Debt Schedule'!H$6</f>
        <v>47848</v>
      </c>
      <c r="I6" s="39">
        <f>'Debt Schedule'!I$6</f>
        <v>48213</v>
      </c>
    </row>
    <row r="7">
      <c r="B7" t="s" s="81">
        <v>321</v>
      </c>
    </row>
    <row r="8">
      <c r="B8" t="s" s="9">
        <v>322</v>
      </c>
      <c r="C8" s="15">
        <f>'Term Sheet'!$C$12</f>
        <v>280.545</v>
      </c>
      <c r="D8" s="15">
        <f>'Debt Schedule'!D22</f>
        <v>334.71799748251317</v>
      </c>
      <c r="E8" s="15">
        <f>'Debt Schedule'!E22</f>
        <v>395.47458677782515</v>
      </c>
      <c r="F8" s="15">
        <f>'Debt Schedule'!F22</f>
        <v>453.016663807723</v>
      </c>
      <c r="G8" s="15">
        <f>'Debt Schedule'!G22</f>
        <v>514.1772394971034</v>
      </c>
      <c r="H8" s="15">
        <f>'Debt Schedule'!H22</f>
        <v>573.4936124361247</v>
      </c>
      <c r="I8" s="15">
        <f>'Debt Schedule'!I22</f>
        <v>636.0283537011794</v>
      </c>
    </row>
    <row r="9">
      <c r="B9" t="s" s="9">
        <v>323</v>
      </c>
      <c r="C9" s="11"/>
      <c r="D9" s="11">
        <f>'Debt Schedule'!D11*'Debt Schedule'!D7+'Debt Schedule'!D20</f>
        <v>173.31973020327393</v>
      </c>
      <c r="E9" s="11">
        <f>'Debt Schedule'!E11*'Debt Schedule'!E7+'Debt Schedule'!E20</f>
        <v>395.47458677782515</v>
      </c>
      <c r="F9" s="11">
        <f>'Debt Schedule'!F11*'Debt Schedule'!F7+'Debt Schedule'!F20</f>
        <v>453.016663807723</v>
      </c>
      <c r="G9" s="11">
        <f>'Debt Schedule'!G11*'Debt Schedule'!G7+'Debt Schedule'!G20</f>
        <v>514.1772394971034</v>
      </c>
      <c r="H9" s="11">
        <f>'Debt Schedule'!H11*'Debt Schedule'!H7+'Debt Schedule'!H20</f>
        <v>573.4936124361247</v>
      </c>
      <c r="I9" s="11">
        <f>'Debt Schedule'!I11*'Debt Schedule'!I7+'Debt Schedule'!I20</f>
        <v>636.0283537011794</v>
      </c>
    </row>
    <row r="10">
      <c r="B10" t="s" s="9">
        <v>324</v>
      </c>
      <c r="C10" s="15">
        <f>'Debt Schedule'!C115</f>
        <v>2700</v>
      </c>
      <c r="D10" s="15">
        <f>'Debt Schedule'!D115</f>
        <v>2735.179759401606</v>
      </c>
      <c r="E10" s="15">
        <f>'Debt Schedule'!E115</f>
        <v>2729.1722036767824</v>
      </c>
      <c r="F10" s="15">
        <f>'Debt Schedule'!F115</f>
        <v>2674.811809030593</v>
      </c>
      <c r="G10" s="15">
        <f>'Debt Schedule'!G115</f>
        <v>2558.292298265301</v>
      </c>
      <c r="H10" s="15">
        <f>'Debt Schedule'!H115</f>
        <v>2384.7734913882696</v>
      </c>
      <c r="I10" s="15">
        <f>'Debt Schedule'!I115</f>
        <v>2146.5261234340746</v>
      </c>
    </row>
    <row r="11">
      <c r="B11" t="s" s="9">
        <v>289</v>
      </c>
      <c r="C11" s="15">
        <f>'Debt Schedule'!C109</f>
        <v>75</v>
      </c>
      <c r="D11" s="15">
        <f>'Debt Schedule'!D109</f>
        <v>82.75728364131959</v>
      </c>
      <c r="E11" s="15">
        <f>'Debt Schedule'!E109</f>
        <v>75</v>
      </c>
      <c r="F11" s="15">
        <f>'Debt Schedule'!F109</f>
        <v>75</v>
      </c>
      <c r="G11" s="15">
        <f>'Debt Schedule'!G109</f>
        <v>75</v>
      </c>
      <c r="H11" s="15">
        <f>'Debt Schedule'!H109</f>
        <v>75</v>
      </c>
      <c r="I11" s="15">
        <f>'Debt Schedule'!I109</f>
        <v>75</v>
      </c>
    </row>
    <row r="12">
      <c r="B12" t="s" s="41">
        <v>297</v>
      </c>
      <c r="C12" s="49">
        <f>C10-C11</f>
        <v>2625</v>
      </c>
      <c r="D12" s="49">
        <f>D10-D11</f>
        <v>2652.4224757602865</v>
      </c>
      <c r="E12" s="49">
        <f>E10-E11</f>
        <v>2654.1722036767824</v>
      </c>
      <c r="F12" s="49">
        <f>F10-F11</f>
        <v>2599.811809030593</v>
      </c>
      <c r="G12" s="49">
        <f>G10-G11</f>
        <v>2483.292298265301</v>
      </c>
      <c r="H12" s="49">
        <f>H10-H11</f>
        <v>2309.7734913882696</v>
      </c>
      <c r="I12" s="49">
        <f>I10-I11</f>
        <v>2071.5261234340746</v>
      </c>
    </row>
    <row r="13">
      <c r="B13" t="s" s="81">
        <v>325</v>
      </c>
    </row>
    <row r="14">
      <c r="B14" t="s" s="9">
        <v>326</v>
      </c>
      <c r="C14" s="22">
        <f>C10/C8</f>
        <v>9.624124472009838</v>
      </c>
      <c r="D14" s="22">
        <f>D10/D8</f>
        <v>8.171594536217018</v>
      </c>
      <c r="E14" s="22">
        <f>E10/E8</f>
        <v>6.901005260320336</v>
      </c>
      <c r="F14" s="22">
        <f>F10/F8</f>
        <v>5.904444632451494</v>
      </c>
      <c r="G14" s="22">
        <f>G10/G8</f>
        <v>4.975506696421386</v>
      </c>
      <c r="H14" s="22">
        <f>H10/H8</f>
        <v>4.15832616035263</v>
      </c>
      <c r="I14" s="22">
        <f>I10/I8</f>
        <v>3.374890617600613</v>
      </c>
    </row>
    <row r="15">
      <c r="B15" t="s" s="9">
        <v>327</v>
      </c>
      <c r="C15" s="22">
        <f>C12/C8</f>
        <v>9.356787681120675</v>
      </c>
      <c r="D15" s="22">
        <f>D12/D8</f>
        <v>7.9243497383162325</v>
      </c>
      <c r="E15" s="22">
        <f>E12/E8</f>
        <v>6.711359698993447</v>
      </c>
      <c r="F15" s="22">
        <f>F12/F8</f>
        <v>5.738887808626062</v>
      </c>
      <c r="G15" s="22">
        <f>G12/G8</f>
        <v>4.829642596965419</v>
      </c>
      <c r="H15" s="22">
        <f>H12/H8</f>
        <v>4.02754876654451</v>
      </c>
      <c r="I15" s="22">
        <f>I12/I8</f>
        <v>3.256971346292094</v>
      </c>
    </row>
    <row r="16">
      <c r="B16" t="s" s="41">
        <v>328</v>
      </c>
      <c r="C16" s="54">
        <f>'Debt Schedule'!C119</f>
        <v>9.356787681120675</v>
      </c>
      <c r="D16" s="54">
        <f>'Debt Schedule'!D119</f>
        <v>7.9243497383162325</v>
      </c>
      <c r="E16" s="54">
        <f>'Debt Schedule'!E119</f>
        <v>6.711359698993447</v>
      </c>
      <c r="F16" s="54">
        <f>'Debt Schedule'!F119</f>
        <v>5.738887808626062</v>
      </c>
      <c r="G16" s="54">
        <f>'Debt Schedule'!G119</f>
        <v>4.829642596965419</v>
      </c>
      <c r="H16" s="54">
        <f>'Debt Schedule'!H119</f>
        <v>4.02754876654451</v>
      </c>
      <c r="I16" s="54">
        <f>'Debt Schedule'!I119</f>
        <v>3.256971346292094</v>
      </c>
    </row>
    <row r="17">
      <c r="B17" t="s" s="81">
        <v>333</v>
      </c>
    </row>
    <row r="18">
      <c r="B18" t="s" s="9">
        <v>334</v>
      </c>
      <c r="C18" s="11"/>
      <c r="D18" s="15">
        <f>'Debt Schedule'!D100</f>
        <v>82.85512428445894</v>
      </c>
      <c r="E18" s="15">
        <f>'Debt Schedule'!E100</f>
        <v>163.33929228091063</v>
      </c>
      <c r="F18" s="15">
        <f>'Debt Schedule'!F100</f>
        <v>188.17811352082558</v>
      </c>
      <c r="G18" s="15">
        <f>'Debt Schedule'!G100</f>
        <v>204.38024977381028</v>
      </c>
      <c r="H18" s="15">
        <f>'Debt Schedule'!H100</f>
        <v>193.09775921752387</v>
      </c>
      <c r="I18" s="15">
        <f>'Debt Schedule'!I100</f>
        <v>177.0800550165892</v>
      </c>
    </row>
    <row r="19">
      <c r="B19" t="s" s="9">
        <v>285</v>
      </c>
      <c r="C19" s="11"/>
      <c r="D19" s="15">
        <f>'Debt Schedule'!D101</f>
        <v>35.17975940160628</v>
      </c>
      <c r="E19" s="15">
        <f>'Debt Schedule'!E101</f>
        <v>68.30439953847986</v>
      </c>
      <c r="F19" s="15">
        <f>'Debt Schedule'!F101</f>
        <v>31.034149991009045</v>
      </c>
      <c r="G19" s="15">
        <f>'Debt Schedule'!G101</f>
        <v>0</v>
      </c>
      <c r="H19" s="15">
        <f>'Debt Schedule'!H101</f>
        <v>0</v>
      </c>
      <c r="I19" s="15">
        <f>'Debt Schedule'!I101</f>
        <v>0</v>
      </c>
    </row>
    <row r="20">
      <c r="B20" t="s" s="41">
        <v>335</v>
      </c>
      <c r="C20" s="50"/>
      <c r="D20" s="50">
        <f>D9/D18</f>
        <v>2.0918408088826363</v>
      </c>
      <c r="E20" s="50">
        <f>E9/E18</f>
        <v>2.4211846473394085</v>
      </c>
      <c r="F20" s="50">
        <f>F9/F18</f>
        <v>2.4073823216300223</v>
      </c>
      <c r="G20" s="50">
        <f>G9/G18</f>
        <v>2.515787313432431</v>
      </c>
      <c r="H20" s="50">
        <f>H9/H18</f>
        <v>2.969965134551802</v>
      </c>
      <c r="I20" s="50">
        <f>I9/I18</f>
        <v>3.5917560204145804</v>
      </c>
    </row>
    <row r="21">
      <c r="B21" t="s" s="9">
        <v>336</v>
      </c>
      <c r="C21" s="22"/>
      <c r="D21" s="22">
        <f>D9/(D18+D19)</f>
        <v>1.4683771846994707</v>
      </c>
      <c r="E21" s="22">
        <f>E9/(E18+E19)</f>
        <v>1.70725385902661</v>
      </c>
      <c r="F21" s="22">
        <f>F9/(F18+F19)</f>
        <v>2.0665662429203735</v>
      </c>
      <c r="G21" s="22">
        <f>G9/(G18+G19)</f>
        <v>2.515787313432431</v>
      </c>
      <c r="H21" s="22">
        <f>H9/(H18+H19)</f>
        <v>2.969965134551802</v>
      </c>
      <c r="I21" s="22">
        <f>I9/(I18+I19)</f>
        <v>3.5917560204145804</v>
      </c>
    </row>
    <row r="22">
      <c r="B22" t="s" s="9">
        <v>337</v>
      </c>
      <c r="C22" s="11"/>
      <c r="D22" s="15">
        <f>'Debt Schedule'!D17</f>
        <v>-8.10625756090628</v>
      </c>
      <c r="E22" s="15">
        <f>'Debt Schedule'!E17</f>
        <v>-17.787046535209562</v>
      </c>
      <c r="F22" s="15">
        <f>'Debt Schedule'!F17</f>
        <v>-20.031660011892786</v>
      </c>
      <c r="G22" s="15">
        <f>'Debt Schedule'!G17</f>
        <v>-22.35921300125437</v>
      </c>
      <c r="H22" s="15">
        <f>'Debt Schedule'!H17</f>
        <v>-24.7336208887114</v>
      </c>
      <c r="I22" s="15">
        <f>'Debt Schedule'!I17</f>
        <v>-27.20698297758254</v>
      </c>
    </row>
    <row r="23">
      <c r="B23" t="s" s="9">
        <v>338</v>
      </c>
      <c r="C23" s="11"/>
      <c r="D23" s="15">
        <f>'Debt Schedule'!D18</f>
        <v>-3.3524075599540453</v>
      </c>
      <c r="E23" s="15">
        <f>'Debt Schedule'!E18</f>
        <v>-8.496580822713668</v>
      </c>
      <c r="F23" s="15">
        <f>'Debt Schedule'!F18</f>
        <v>-10.118488612120586</v>
      </c>
      <c r="G23" s="15">
        <f>'Debt Schedule'!G18</f>
        <v>-11.868965997049429</v>
      </c>
      <c r="H23" s="15">
        <f>'Debt Schedule'!H18</f>
        <v>-13.561722272882548</v>
      </c>
      <c r="I23" s="15">
        <f>'Debt Schedule'!I18</f>
        <v>-15.364514458033057</v>
      </c>
    </row>
    <row r="24">
      <c r="B24" t="s" s="9">
        <v>339</v>
      </c>
      <c r="C24" s="11"/>
      <c r="D24" s="11">
        <f>-'Debt Schedule'!D41</f>
        <v>0</v>
      </c>
      <c r="E24" s="11">
        <f>-'Debt Schedule'!E41</f>
        <v>0</v>
      </c>
      <c r="F24" s="11">
        <f>-'Debt Schedule'!F41</f>
        <v>0</v>
      </c>
      <c r="G24" s="11">
        <f>-'Debt Schedule'!G41</f>
        <v>0</v>
      </c>
      <c r="H24" s="11">
        <f>-'Debt Schedule'!H41</f>
        <v>0</v>
      </c>
      <c r="I24" s="11">
        <f>-'Debt Schedule'!I41</f>
        <v>0</v>
      </c>
    </row>
    <row r="25">
      <c r="B25" t="s" s="41">
        <v>340</v>
      </c>
      <c r="C25" s="50"/>
      <c r="D25" s="50">
        <f>(D9+D22+D23)/(D18+D24)</f>
        <v>1.9535432054475086</v>
      </c>
      <c r="E25" s="50">
        <f>(E9+E22+E23)/(E18+E24)</f>
        <v>2.260270350534934</v>
      </c>
      <c r="F25" s="50">
        <f>(F9+F22+F23)/(F18+F24)</f>
        <v>2.2471609863222017</v>
      </c>
      <c r="G25" s="50">
        <f>(G9+G22+G23)/(G18+G24)</f>
        <v>2.3483142868744125</v>
      </c>
      <c r="H25" s="50">
        <f>(H9+H22+H23)/(H18+H24)</f>
        <v>2.771644121833812</v>
      </c>
      <c r="I25" s="50">
        <f>(I9+I22+I23)/(I18+I24)</f>
        <v>3.3513478195495683</v>
      </c>
    </row>
    <row r="26">
      <c r="B26" t="s" s="9">
        <v>341</v>
      </c>
      <c r="C26" s="25"/>
      <c r="D26" s="25">
        <f>('Debt Schedule'!D46-('Debt Schedule'!D107-'Term Sheet'!$C$10))/D10</f>
        <v>0.00283611474333837</v>
      </c>
      <c r="E26" s="25">
        <f>('Debt Schedule'!E46-('Debt Schedule'!E107-'Term Sheet'!$C$10))/E10</f>
        <v>0.02438639508797583</v>
      </c>
      <c r="F26" s="25">
        <f>('Debt Schedule'!F46-('Debt Schedule'!F107-'Term Sheet'!$C$10))/F10</f>
        <v>0.031925440267944506</v>
      </c>
      <c r="G26" s="25">
        <f>('Debt Schedule'!G46-('Debt Schedule'!G107-'Term Sheet'!$C$10))/G10</f>
        <v>0.04554581618539066</v>
      </c>
      <c r="H26" s="25">
        <f>('Debt Schedule'!H46-('Debt Schedule'!H107-'Term Sheet'!$C$10))/H10</f>
        <v>0.07276112700163365</v>
      </c>
      <c r="I26" s="25">
        <f>('Debt Schedule'!I46-('Debt Schedule'!I107-'Term Sheet'!$C$10))/I10</f>
        <v>0.110992065436893</v>
      </c>
    </row>
    <row r="27">
      <c r="B27" t="s" s="9">
        <v>342</v>
      </c>
      <c r="C27" s="25"/>
      <c r="D27" s="25">
        <f>1-D10/$C10</f>
        <v>-0.013029540519113425</v>
      </c>
      <c r="E27" s="25">
        <f>1-E10/$C10</f>
        <v>-0.010804519880289742</v>
      </c>
      <c r="F27" s="25">
        <f>1-F10/$C10</f>
        <v>0.009328959618298938</v>
      </c>
      <c r="G27" s="25">
        <f>1-G10/$C10</f>
        <v>0.052484333975814534</v>
      </c>
      <c r="H27" s="25">
        <f>1-H10/$C10</f>
        <v>0.11675055874508533</v>
      </c>
      <c r="I27" s="25">
        <f>1-I10/$C10</f>
        <v>0.20499032465404643</v>
      </c>
    </row>
    <row r="28">
      <c r="B28" t="s" s="81">
        <v>457</v>
      </c>
    </row>
    <row r="29">
      <c r="B29" t="s" s="9">
        <v>458</v>
      </c>
      <c r="C29" s="11"/>
      <c r="D29" s="15">
        <f>'Debt Schedule'!D59</f>
        <v>0</v>
      </c>
      <c r="E29" s="15">
        <f>'Debt Schedule'!E59</f>
        <v>0</v>
      </c>
      <c r="F29" s="15">
        <f>'Debt Schedule'!F59</f>
        <v>0</v>
      </c>
      <c r="G29" s="15">
        <f>'Debt Schedule'!G59</f>
        <v>0</v>
      </c>
      <c r="H29" s="15">
        <f>'Debt Schedule'!H59</f>
        <v>0</v>
      </c>
      <c r="I29" s="15">
        <f>'Debt Schedule'!I59</f>
        <v>0</v>
      </c>
    </row>
    <row r="30">
      <c r="B30" t="s" s="9">
        <v>459</v>
      </c>
      <c r="C30" s="15">
        <f>'Debt Schedule'!C60</f>
        <v>0</v>
      </c>
      <c r="D30" s="15">
        <f>'Debt Schedule'!D60</f>
        <v>0</v>
      </c>
      <c r="E30" s="15">
        <f>'Debt Schedule'!E60</f>
        <v>0</v>
      </c>
      <c r="F30" s="15">
        <f>'Debt Schedule'!F60</f>
        <v>0</v>
      </c>
      <c r="G30" s="15">
        <f>'Debt Schedule'!G60</f>
        <v>0</v>
      </c>
      <c r="H30" s="15">
        <f>'Debt Schedule'!H60</f>
        <v>0</v>
      </c>
      <c r="I30" s="15">
        <f>'Debt Schedule'!I60</f>
        <v>0</v>
      </c>
    </row>
    <row r="31">
      <c r="B31" t="s" s="9">
        <v>460</v>
      </c>
      <c r="C31" s="11"/>
      <c r="D31" s="11">
        <f>MAX($D30:D30)</f>
        <v>0</v>
      </c>
      <c r="E31" s="11">
        <f>MAX($D30:E30)</f>
        <v>0</v>
      </c>
      <c r="F31" s="11">
        <f>MAX($D30:F30)</f>
        <v>0</v>
      </c>
      <c r="G31" s="11">
        <f>MAX($D30:G30)</f>
        <v>0</v>
      </c>
      <c r="H31" s="11">
        <f>MAX($D30:H30)</f>
        <v>0</v>
      </c>
      <c r="I31" s="11">
        <f>MAX($D30:I30)</f>
        <v>0</v>
      </c>
    </row>
    <row r="32">
      <c r="B32" t="s" s="9">
        <v>461</v>
      </c>
      <c r="C32" s="11">
        <f>C11-'Term Sheet'!$C$10</f>
        <v>0</v>
      </c>
      <c r="D32" s="11">
        <f>D11-'Term Sheet'!$C$10</f>
        <v>7.757283641319589</v>
      </c>
      <c r="E32" s="11">
        <f>E11-'Term Sheet'!$C$10</f>
        <v>0</v>
      </c>
      <c r="F32" s="11">
        <f>F11-'Term Sheet'!$C$10</f>
        <v>0</v>
      </c>
      <c r="G32" s="11">
        <f>G11-'Term Sheet'!$C$10</f>
        <v>0</v>
      </c>
      <c r="H32" s="11">
        <f>H11-'Term Sheet'!$C$10</f>
        <v>0</v>
      </c>
      <c r="I32" s="11">
        <f>I11-'Term Sheet'!$C$10</f>
        <v>0</v>
      </c>
    </row>
    <row r="33">
      <c r="B33" t="s" s="41">
        <v>343</v>
      </c>
      <c r="C33" s="49">
        <f>C11+'Debt Schedule'!C61</f>
        <v>400</v>
      </c>
      <c r="D33" s="49">
        <f>D11+'Debt Schedule'!D61</f>
        <v>407.7572836413196</v>
      </c>
      <c r="E33" s="49">
        <f>E11+'Debt Schedule'!E61</f>
        <v>400</v>
      </c>
      <c r="F33" s="49">
        <f>F11+'Debt Schedule'!F61</f>
        <v>400</v>
      </c>
      <c r="G33" s="49">
        <f>G11+'Debt Schedule'!G61</f>
        <v>400</v>
      </c>
      <c r="H33" s="49">
        <f>H11+'Debt Schedule'!H61</f>
        <v>400</v>
      </c>
      <c r="I33" s="49">
        <f>I11+'Debt Schedule'!I61</f>
        <v>400</v>
      </c>
    </row>
    <row r="34">
      <c r="B34" t="s" s="81">
        <v>462</v>
      </c>
    </row>
    <row r="35">
      <c r="B35" t="s" s="9">
        <v>329</v>
      </c>
      <c r="C35" s="22">
        <f>'Term Sheet'!$C$21-C16</f>
        <v>-1.8567876811206752</v>
      </c>
      <c r="D35" s="22">
        <f>'Term Sheet'!$C$21-D16</f>
        <v>-0.42434973831623246</v>
      </c>
      <c r="E35" s="22">
        <f>'Term Sheet'!$C$21-E16</f>
        <v>0.788640301006553</v>
      </c>
      <c r="F35" s="22">
        <f>'Term Sheet'!$C$21-F16</f>
        <v>1.7611121913739378</v>
      </c>
      <c r="G35" s="22">
        <f>'Term Sheet'!$C$21-G16</f>
        <v>2.670357403034581</v>
      </c>
      <c r="H35" s="22">
        <f>'Term Sheet'!$C$21-H16</f>
        <v>3.47245123345549</v>
      </c>
      <c r="I35" s="22">
        <f>'Term Sheet'!$C$21-I16</f>
        <v>4.243028653707906</v>
      </c>
    </row>
    <row r="36">
      <c r="B36" t="s" s="9">
        <v>463</v>
      </c>
      <c r="C36" s="51"/>
      <c r="D36" t="str" s="51">
        <f>IF(D16&lt;='Term Sheet'!$C$21,"Yes","No")</f>
        <v>No</v>
      </c>
      <c r="E36" t="str" s="51">
        <f>IF(E16&lt;='Term Sheet'!$C$21,"Yes","No")</f>
        <v>Yes</v>
      </c>
      <c r="F36" t="str" s="51">
        <f>IF(F16&lt;='Term Sheet'!$C$21,"Yes","No")</f>
        <v>Yes</v>
      </c>
      <c r="G36" t="str" s="51">
        <f>IF(G16&lt;='Term Sheet'!$C$21,"Yes","No")</f>
        <v>Yes</v>
      </c>
      <c r="H36" t="str" s="51">
        <f>IF(H16&lt;='Term Sheet'!$C$21,"Yes","No")</f>
        <v>Yes</v>
      </c>
      <c r="I36" t="str" s="51">
        <f>IF(I16&lt;='Term Sheet'!$C$21,"Yes","No")</f>
        <v>Yes</v>
      </c>
    </row>
    <row r="37">
      <c r="B37" t="s" s="9">
        <v>464</v>
      </c>
      <c r="C37" s="25"/>
      <c r="D37" s="29">
        <f>'Debt Schedule'!D49</f>
        <v>0</v>
      </c>
      <c r="E37" s="29">
        <f>'Debt Schedule'!E49</f>
        <v>0.5</v>
      </c>
      <c r="F37" s="29">
        <f>'Debt Schedule'!F49</f>
        <v>0</v>
      </c>
      <c r="G37" s="29">
        <f>'Debt Schedule'!G49</f>
        <v>0</v>
      </c>
      <c r="H37" s="29">
        <f>'Debt Schedule'!H49</f>
        <v>0</v>
      </c>
      <c r="I37" s="29">
        <f>'Debt Schedule'!I49</f>
        <v>0</v>
      </c>
    </row>
    <row r="38">
      <c r="B38" t="s" s="9">
        <v>465</v>
      </c>
      <c r="C38" s="11"/>
      <c r="D38" s="11">
        <f>-'Debt Schedule'!D52</f>
        <v>0</v>
      </c>
      <c r="E38" s="11">
        <f>-'Debt Schedule'!E52</f>
        <v>0</v>
      </c>
      <c r="F38" s="11">
        <f>-'Debt Schedule'!F52</f>
        <v>0</v>
      </c>
      <c r="G38" s="11">
        <f>-'Debt Schedule'!G52</f>
        <v>0</v>
      </c>
      <c r="H38" s="11">
        <f>-'Debt Schedule'!H52</f>
        <v>0</v>
      </c>
      <c r="I38" s="11">
        <f>-'Debt Schedule'!I52</f>
        <v>0</v>
      </c>
    </row>
    <row r="39">
      <c r="B39" t="s" s="9">
        <v>466</v>
      </c>
      <c r="C39" s="51"/>
      <c r="D39" t="str" s="51">
        <f>IF(D16&lt;='Term Sheet'!$C$42,"Yes","No")</f>
        <v>No</v>
      </c>
      <c r="E39" t="str" s="51">
        <f>IF(E16&lt;='Term Sheet'!$C$42,"Yes","No")</f>
        <v>Yes</v>
      </c>
      <c r="F39" t="str" s="51">
        <f>IF(F16&lt;='Term Sheet'!$C$42,"Yes","No")</f>
        <v>Yes</v>
      </c>
      <c r="G39" t="str" s="51">
        <f>IF(G16&lt;='Term Sheet'!$C$42,"Yes","No")</f>
        <v>Yes</v>
      </c>
      <c r="H39" t="str" s="51">
        <f>IF(H16&lt;='Term Sheet'!$C$42,"Yes","No")</f>
        <v>Yes</v>
      </c>
      <c r="I39" t="str" s="51">
        <f>IF(I16&lt;='Term Sheet'!$C$42,"Yes","No")</f>
        <v>Yes</v>
      </c>
    </row>
    <row r="40">
      <c r="B40" t="s" s="9">
        <v>331</v>
      </c>
      <c r="C40" s="22">
        <f>'Term Sheet'!$C$59-C16</f>
        <v>-1.3567876811206752</v>
      </c>
      <c r="D40" s="22">
        <f>'Term Sheet'!$C$59-D16</f>
        <v>0.07565026168376754</v>
      </c>
      <c r="E40" s="22">
        <f>'Term Sheet'!$C$59-E16</f>
        <v>1.288640301006553</v>
      </c>
      <c r="F40" s="22">
        <f>'Term Sheet'!$C$59-F16</f>
        <v>2.261112191373938</v>
      </c>
      <c r="G40" s="22">
        <f>'Term Sheet'!$C$59-G16</f>
        <v>3.170357403034581</v>
      </c>
      <c r="H40" s="22">
        <f>'Term Sheet'!$C$59-H16</f>
        <v>3.97245123345549</v>
      </c>
      <c r="I40" s="22">
        <f>'Term Sheet'!$C$59-I16</f>
        <v>4.743028653707906</v>
      </c>
    </row>
    <row r="41">
      <c r="B41" t="s" s="9">
        <v>467</v>
      </c>
      <c r="C41" s="51"/>
      <c r="D41" t="str" s="51">
        <f>IF(MAX('Term Sheet'!$C$7,EDATE(D6,-12))&gt;='Term Sheet'!$C$57,"Expired",IF(D16&lt;='Term Sheet'!$C$59,"Yes","No"))</f>
        <v>Yes</v>
      </c>
      <c r="E41" t="str" s="51">
        <f>IF(MAX('Term Sheet'!$C$7,EDATE(E6,-12))&gt;='Term Sheet'!$C$57,"Expired",IF(E16&lt;='Term Sheet'!$C$59,"Yes","No"))</f>
        <v>Yes</v>
      </c>
      <c r="F41" t="str" s="51">
        <f>IF(MAX('Term Sheet'!$C$7,EDATE(F6,-12))&gt;='Term Sheet'!$C$57,"Expired",IF(F16&lt;='Term Sheet'!$C$59,"Yes","No"))</f>
        <v>Yes</v>
      </c>
      <c r="G41" t="str" s="51">
        <f>IF(MAX('Term Sheet'!$C$7,EDATE(G6,-12))&gt;='Term Sheet'!$C$57,"Expired",IF(G16&lt;='Term Sheet'!$C$59,"Yes","No"))</f>
        <v>Expired</v>
      </c>
      <c r="H41" t="str" s="51">
        <f>IF(MAX('Term Sheet'!$C$7,EDATE(H6,-12))&gt;='Term Sheet'!$C$57,"Expired",IF(H16&lt;='Term Sheet'!$C$59,"Yes","No"))</f>
        <v>Expired</v>
      </c>
      <c r="I41" t="str" s="51">
        <f>IF(MAX('Term Sheet'!$C$7,EDATE(I6,-12))&gt;='Term Sheet'!$C$57,"Expired",IF(I16&lt;='Term Sheet'!$C$59,"Yes","No"))</f>
        <v>Expired</v>
      </c>
    </row>
    <row r="42">
      <c r="B42" t="s" s="9">
        <v>330</v>
      </c>
      <c r="C42" s="22">
        <f>'Term Sheet'!$C$87-C16</f>
        <v>-2.106787681120675</v>
      </c>
      <c r="D42" s="22">
        <f>'Term Sheet'!$C$87-D16</f>
        <v>-0.6743497383162325</v>
      </c>
      <c r="E42" s="22">
        <f>'Term Sheet'!$C$87-E16</f>
        <v>0.538640301006553</v>
      </c>
      <c r="F42" s="22">
        <f>'Term Sheet'!$C$87-F16</f>
        <v>1.5111121913739378</v>
      </c>
      <c r="G42" s="22">
        <f>'Term Sheet'!$C$87-G16</f>
        <v>2.420357403034581</v>
      </c>
      <c r="H42" s="22">
        <f>'Term Sheet'!$C$87-H16</f>
        <v>3.22245123345549</v>
      </c>
      <c r="I42" s="22">
        <f>'Term Sheet'!$C$87-I16</f>
        <v>3.993028653707906</v>
      </c>
    </row>
    <row r="43">
      <c r="B43" t="s" s="81">
        <v>344</v>
      </c>
    </row>
    <row r="44">
      <c r="B44" t="s" s="9">
        <v>345</v>
      </c>
      <c r="C44" s="11">
        <f>'Debt Schedule'!C60-C11</f>
        <v>-75</v>
      </c>
      <c r="D44" s="11">
        <f>'Debt Schedule'!D60-D11</f>
        <v>-82.75728364131959</v>
      </c>
      <c r="E44" s="11">
        <f>'Debt Schedule'!E60-E11</f>
        <v>-75</v>
      </c>
      <c r="F44" s="11">
        <f>'Debt Schedule'!F60-F11</f>
        <v>-75</v>
      </c>
      <c r="G44" s="11">
        <f>'Debt Schedule'!G60-G11</f>
        <v>-75</v>
      </c>
      <c r="H44" s="11">
        <f>'Debt Schedule'!H60-H11</f>
        <v>-75</v>
      </c>
      <c r="I44" s="11">
        <f>'Debt Schedule'!I60-I11</f>
        <v>-75</v>
      </c>
    </row>
    <row r="45">
      <c r="B45" t="s" s="9">
        <v>346</v>
      </c>
      <c r="C45" s="15">
        <f>'Term Sheet'!$C$80</f>
        <v>260</v>
      </c>
      <c r="D45" s="15">
        <f>'Term Sheet'!$C$80</f>
        <v>260</v>
      </c>
      <c r="E45" s="15">
        <f>'Term Sheet'!$C$80</f>
        <v>260</v>
      </c>
      <c r="F45" s="15">
        <f>'Term Sheet'!$C$80</f>
        <v>260</v>
      </c>
      <c r="G45" s="15">
        <f>'Term Sheet'!$C$80</f>
        <v>260</v>
      </c>
      <c r="H45" s="15">
        <f>'Term Sheet'!$C$80</f>
        <v>260</v>
      </c>
      <c r="I45" s="15">
        <f>'Term Sheet'!$C$80</f>
        <v>260</v>
      </c>
    </row>
    <row r="46">
      <c r="B46" t="s" s="9">
        <v>347</v>
      </c>
      <c r="C46" s="51"/>
      <c r="D46" t="str" s="51">
        <f>IF(AND(D6&gt;='Term Sheet'!$C$81,D44&gt;D45),"Tested","Not tested")</f>
        <v>Not tested</v>
      </c>
      <c r="E46" t="str" s="51">
        <f>IF(AND(E6&gt;='Term Sheet'!$C$81,E44&gt;E45),"Tested","Not tested")</f>
        <v>Not tested</v>
      </c>
      <c r="F46" t="str" s="51">
        <f>IF(AND(F6&gt;='Term Sheet'!$C$81,F44&gt;F45),"Tested","Not tested")</f>
        <v>Not tested</v>
      </c>
      <c r="G46" t="str" s="51">
        <f>IF(AND(G6&gt;='Term Sheet'!$C$81,G44&gt;G45),"Tested","Not tested")</f>
        <v>Not tested</v>
      </c>
      <c r="H46" t="str" s="51">
        <f>IF(AND(H6&gt;='Term Sheet'!$C$81,H44&gt;H45),"Tested","Not tested")</f>
        <v>Not tested</v>
      </c>
      <c r="I46" t="str" s="51">
        <f>IF(AND(I6&gt;='Term Sheet'!$C$81,I44&gt;I45),"Tested","Not tested")</f>
        <v>Not tested</v>
      </c>
    </row>
    <row r="47">
      <c r="B47" t="s" s="9">
        <v>348</v>
      </c>
      <c r="C47" s="11">
        <f>C45-C44</f>
        <v>335</v>
      </c>
      <c r="D47" s="11">
        <f>D45-D44</f>
        <v>342.7572836413196</v>
      </c>
      <c r="E47" s="11">
        <f>E45-E44</f>
        <v>335</v>
      </c>
      <c r="F47" s="11">
        <f>F45-F44</f>
        <v>335</v>
      </c>
      <c r="G47" s="11">
        <f>G45-G44</f>
        <v>335</v>
      </c>
      <c r="H47" s="11">
        <f>H45-H44</f>
        <v>335</v>
      </c>
      <c r="I47" s="11">
        <f>I45-I44</f>
        <v>335</v>
      </c>
    </row>
    <row r="48">
      <c r="B48" t="s" s="9">
        <v>349</v>
      </c>
      <c r="C48" s="15">
        <f>'Debt Schedule'!C61</f>
        <v>325</v>
      </c>
      <c r="D48" s="15">
        <f>'Debt Schedule'!D61</f>
        <v>325</v>
      </c>
      <c r="E48" s="15">
        <f>'Debt Schedule'!E61</f>
        <v>325</v>
      </c>
      <c r="F48" s="15">
        <f>'Debt Schedule'!F61</f>
        <v>325</v>
      </c>
      <c r="G48" s="15">
        <f>'Debt Schedule'!G61</f>
        <v>325</v>
      </c>
      <c r="H48" s="15">
        <f>'Debt Schedule'!H61</f>
        <v>325</v>
      </c>
      <c r="I48" s="15">
        <f>'Debt Schedule'!I61</f>
        <v>325</v>
      </c>
    </row>
    <row r="49">
      <c r="B49" t="s" s="9">
        <v>67</v>
      </c>
      <c r="C49" s="55">
        <f>'Term Sheet'!$C$77</f>
        <v>15</v>
      </c>
      <c r="D49" s="55">
        <f>'Term Sheet'!$C$77</f>
        <v>15</v>
      </c>
      <c r="E49" s="55">
        <f>'Term Sheet'!$C$77</f>
        <v>15</v>
      </c>
      <c r="F49" s="55">
        <f>'Term Sheet'!$C$77</f>
        <v>15</v>
      </c>
      <c r="G49" s="55">
        <f>'Term Sheet'!$C$77</f>
        <v>15</v>
      </c>
      <c r="H49" s="55">
        <f>'Term Sheet'!$C$77</f>
        <v>15</v>
      </c>
      <c r="I49" s="55">
        <f>'Term Sheet'!$C$77</f>
        <v>15</v>
      </c>
    </row>
    <row r="50">
      <c r="B50" t="s" s="9">
        <v>351</v>
      </c>
      <c r="C50" s="22">
        <f>C49-C16</f>
        <v>5.643212318879325</v>
      </c>
      <c r="D50" s="22">
        <f>D49-D16</f>
        <v>7.0756502616837675</v>
      </c>
      <c r="E50" s="22">
        <f>E49-E16</f>
        <v>8.288640301006552</v>
      </c>
      <c r="F50" s="22">
        <f>F49-F16</f>
        <v>9.261112191373938</v>
      </c>
      <c r="G50" s="22">
        <f>G49-G16</f>
        <v>10.170357403034581</v>
      </c>
      <c r="H50" s="22">
        <f>H49-H16</f>
        <v>10.972451233455491</v>
      </c>
      <c r="I50" s="22">
        <f>I49-I16</f>
        <v>11.743028653707906</v>
      </c>
    </row>
    <row r="51">
      <c r="B51" t="s" s="41">
        <v>352</v>
      </c>
      <c r="C51" s="53">
        <f>1-C16/C49</f>
        <v>0.37621415459195495</v>
      </c>
      <c r="D51" s="53">
        <f>1-D16/D49</f>
        <v>0.4717100174455845</v>
      </c>
      <c r="E51" s="53">
        <f>1-E16/E49</f>
        <v>0.5525760200671035</v>
      </c>
      <c r="F51" s="53">
        <f>1-F16/F49</f>
        <v>0.6174074794249291</v>
      </c>
      <c r="G51" s="53">
        <f>1-G16/G49</f>
        <v>0.678023826868972</v>
      </c>
      <c r="H51" s="53">
        <f>1-H16/H49</f>
        <v>0.7314967488970326</v>
      </c>
      <c r="I51" s="53">
        <f>1-I16/I49</f>
        <v>0.7828685769138604</v>
      </c>
    </row>
    <row r="52">
      <c r="B52" t="s" s="9">
        <v>353</v>
      </c>
      <c r="C52" s="11">
        <f>C8-C12/C49</f>
        <v>105.54500000000002</v>
      </c>
      <c r="D52" s="11">
        <f>D8-D12/D49</f>
        <v>157.88983243182741</v>
      </c>
      <c r="E52" s="11">
        <f>E8-E12/E49</f>
        <v>218.52977319937298</v>
      </c>
      <c r="F52" s="11">
        <f>F8-F12/F49</f>
        <v>279.6958765390168</v>
      </c>
      <c r="G52" s="11">
        <f>G8-G12/G49</f>
        <v>348.62441961275</v>
      </c>
      <c r="H52" s="11">
        <f>H8-H12/H49</f>
        <v>419.5087130102401</v>
      </c>
      <c r="I52" s="11">
        <f>I8-I12/I49</f>
        <v>497.9266121389078</v>
      </c>
    </row>
    <row r="54">
      <c r="B54" t="s" s="34">
        <v>318</v>
      </c>
      <c r="C54" s="34"/>
      <c r="D54" s="34"/>
      <c r="E54" s="34"/>
      <c r="F54" s="34"/>
      <c r="G54" s="34"/>
      <c r="H54" s="34"/>
      <c r="I54" s="34"/>
    </row>
    <row r="55">
      <c r="B55" t="s" s="4">
        <v>215</v>
      </c>
      <c r="C55" s="38">
        <f>'Debt Schedule'!K$6</f>
        <v>46198</v>
      </c>
      <c r="D55" s="39">
        <f>'Debt Schedule'!L$6</f>
        <v>46387</v>
      </c>
      <c r="E55" s="39">
        <f>'Debt Schedule'!M$6</f>
        <v>46752</v>
      </c>
      <c r="F55" s="39">
        <f>'Debt Schedule'!N$6</f>
        <v>47118</v>
      </c>
      <c r="G55" s="39">
        <f>'Debt Schedule'!O$6</f>
        <v>47483</v>
      </c>
      <c r="H55" s="39">
        <f>'Debt Schedule'!P$6</f>
        <v>47848</v>
      </c>
      <c r="I55" s="39">
        <f>'Debt Schedule'!Q$6</f>
        <v>48213</v>
      </c>
    </row>
    <row r="56">
      <c r="B56" t="s" s="81">
        <v>321</v>
      </c>
    </row>
    <row r="57">
      <c r="B57" t="s" s="9">
        <v>322</v>
      </c>
      <c r="C57" s="15">
        <f>'Term Sheet'!$C$12</f>
        <v>280.545</v>
      </c>
      <c r="D57" s="15">
        <f>'Debt Schedule'!L22</f>
        <v>338.6334027397261</v>
      </c>
      <c r="E57" s="15">
        <f>'Debt Schedule'!M22</f>
        <v>418.78332054794527</v>
      </c>
      <c r="F57" s="15">
        <f>'Debt Schedule'!N22</f>
        <v>518.9707178082192</v>
      </c>
      <c r="G57" s="15">
        <f>'Debt Schedule'!O22</f>
        <v>635.1880986301371</v>
      </c>
      <c r="H57" s="15">
        <f>'Debt Schedule'!P22</f>
        <v>764.4298410958905</v>
      </c>
      <c r="I57" s="15">
        <f>'Debt Schedule'!Q22</f>
        <v>896.7205265100274</v>
      </c>
    </row>
    <row r="58">
      <c r="B58" t="s" s="9">
        <v>323</v>
      </c>
      <c r="C58" s="11"/>
      <c r="D58" s="11">
        <f>'Debt Schedule'!L11*'Debt Schedule'!L7+'Debt Schedule'!L20</f>
        <v>175.34715922687187</v>
      </c>
      <c r="E58" s="11">
        <f>'Debt Schedule'!M11*'Debt Schedule'!M7+'Debt Schedule'!M20</f>
        <v>418.78332054794527</v>
      </c>
      <c r="F58" s="11">
        <f>'Debt Schedule'!N11*'Debt Schedule'!N7+'Debt Schedule'!N20</f>
        <v>518.9707178082192</v>
      </c>
      <c r="G58" s="11">
        <f>'Debt Schedule'!O11*'Debt Schedule'!O7+'Debt Schedule'!O20</f>
        <v>635.1880986301371</v>
      </c>
      <c r="H58" s="11">
        <f>'Debt Schedule'!P11*'Debt Schedule'!P7+'Debt Schedule'!P20</f>
        <v>764.4298410958905</v>
      </c>
      <c r="I58" s="11">
        <f>'Debt Schedule'!Q11*'Debt Schedule'!Q7+'Debt Schedule'!Q20</f>
        <v>896.7205265100274</v>
      </c>
    </row>
    <row r="59">
      <c r="B59" t="s" s="9">
        <v>324</v>
      </c>
      <c r="C59" s="15">
        <f>'Debt Schedule'!K115</f>
        <v>2700</v>
      </c>
      <c r="D59" s="15">
        <f>'Debt Schedule'!L115</f>
        <v>2735.179759401606</v>
      </c>
      <c r="E59" s="15">
        <f>'Debt Schedule'!M115</f>
        <v>2690.736145462925</v>
      </c>
      <c r="F59" s="15">
        <f>'Debt Schedule'!N115</f>
        <v>2547.822483327448</v>
      </c>
      <c r="G59" s="15">
        <f>'Debt Schedule'!O115</f>
        <v>2272.922943338843</v>
      </c>
      <c r="H59" s="15">
        <f>'Debt Schedule'!P115</f>
        <v>1851.54502204034</v>
      </c>
      <c r="I59" s="15">
        <f>'Debt Schedule'!Q115</f>
        <v>1269.0786580608033</v>
      </c>
    </row>
    <row r="60">
      <c r="B60" t="s" s="9">
        <v>289</v>
      </c>
      <c r="C60" s="15">
        <f>'Debt Schedule'!K109</f>
        <v>75</v>
      </c>
      <c r="D60" s="15">
        <f>'Debt Schedule'!L109</f>
        <v>86.5512913337849</v>
      </c>
      <c r="E60" s="15">
        <f>'Debt Schedule'!M109</f>
        <v>75</v>
      </c>
      <c r="F60" s="15">
        <f>'Debt Schedule'!N109</f>
        <v>75</v>
      </c>
      <c r="G60" s="15">
        <f>'Debt Schedule'!O109</f>
        <v>75</v>
      </c>
      <c r="H60" s="15">
        <f>'Debt Schedule'!P109</f>
        <v>75</v>
      </c>
      <c r="I60" s="15">
        <f>'Debt Schedule'!Q109</f>
        <v>75</v>
      </c>
    </row>
    <row r="61">
      <c r="B61" t="s" s="41">
        <v>297</v>
      </c>
      <c r="C61" s="49">
        <f>C59-C60</f>
        <v>2625</v>
      </c>
      <c r="D61" s="49">
        <f>D59-D60</f>
        <v>2648.6284680678214</v>
      </c>
      <c r="E61" s="49">
        <f>E59-E60</f>
        <v>2615.736145462925</v>
      </c>
      <c r="F61" s="49">
        <f>F59-F60</f>
        <v>2472.822483327448</v>
      </c>
      <c r="G61" s="49">
        <f>G59-G60</f>
        <v>2197.922943338843</v>
      </c>
      <c r="H61" s="49">
        <f>H59-H60</f>
        <v>1776.54502204034</v>
      </c>
      <c r="I61" s="49">
        <f>I59-I60</f>
        <v>1194.0786580608033</v>
      </c>
    </row>
    <row r="62">
      <c r="B62" t="s" s="81">
        <v>325</v>
      </c>
    </row>
    <row r="63">
      <c r="B63" t="s" s="9">
        <v>326</v>
      </c>
      <c r="C63" s="22">
        <f>C59/C57</f>
        <v>9.624124472009838</v>
      </c>
      <c r="D63" s="22">
        <f>D59/D57</f>
        <v>8.077111523176784</v>
      </c>
      <c r="E63" s="22">
        <f>E59/E57</f>
        <v>6.425127299583725</v>
      </c>
      <c r="F63" s="22">
        <f>F59/F57</f>
        <v>4.909376186170435</v>
      </c>
      <c r="G63" s="22">
        <f>G59/G57</f>
        <v>3.578346238288606</v>
      </c>
      <c r="H63" s="22">
        <f>H59/H57</f>
        <v>2.422125514338838</v>
      </c>
      <c r="I63" s="22">
        <f>I59/I57</f>
        <v>1.415244349318028</v>
      </c>
    </row>
    <row r="64">
      <c r="B64" t="s" s="9">
        <v>327</v>
      </c>
      <c r="C64" s="22">
        <f>C61/C57</f>
        <v>9.356787681120675</v>
      </c>
      <c r="D64" s="22">
        <f>D61/D57</f>
        <v>7.821521582451686</v>
      </c>
      <c r="E64" s="22">
        <f>E61/E57</f>
        <v>6.246037072442232</v>
      </c>
      <c r="F64" s="22">
        <f>F61/F57</f>
        <v>4.76485936195201</v>
      </c>
      <c r="G64" s="22">
        <f>G61/G57</f>
        <v>3.460270978122764</v>
      </c>
      <c r="H64" s="22">
        <f>H61/H57</f>
        <v>2.324013174961192</v>
      </c>
      <c r="I64" s="22">
        <f>I61/I57</f>
        <v>1.3316062505093673</v>
      </c>
    </row>
    <row r="65">
      <c r="B65" t="s" s="41">
        <v>328</v>
      </c>
      <c r="C65" s="54">
        <f>'Debt Schedule'!K119</f>
        <v>9.356787681120675</v>
      </c>
      <c r="D65" s="54">
        <f>'Debt Schedule'!L119</f>
        <v>7.821521582451686</v>
      </c>
      <c r="E65" s="54">
        <f>'Debt Schedule'!M119</f>
        <v>6.246037072442232</v>
      </c>
      <c r="F65" s="54">
        <f>'Debt Schedule'!N119</f>
        <v>4.76485936195201</v>
      </c>
      <c r="G65" s="54">
        <f>'Debt Schedule'!O119</f>
        <v>3.460270978122764</v>
      </c>
      <c r="H65" s="54">
        <f>'Debt Schedule'!P119</f>
        <v>2.324013174961192</v>
      </c>
      <c r="I65" s="54">
        <f>'Debt Schedule'!Q119</f>
        <v>1.3316062505093673</v>
      </c>
    </row>
    <row r="66">
      <c r="B66" t="s" s="81">
        <v>333</v>
      </c>
    </row>
    <row r="67">
      <c r="B67" t="s" s="9">
        <v>334</v>
      </c>
      <c r="C67" s="11"/>
      <c r="D67" s="15">
        <f>'Debt Schedule'!L100</f>
        <v>82.85512428445894</v>
      </c>
      <c r="E67" s="15">
        <f>'Debt Schedule'!M100</f>
        <v>162.22849019853012</v>
      </c>
      <c r="F67" s="15">
        <f>'Debt Schedule'!N100</f>
        <v>182.5930745909048</v>
      </c>
      <c r="G67" s="15">
        <f>'Debt Schedule'!O100</f>
        <v>188.33949709731874</v>
      </c>
      <c r="H67" s="15">
        <f>'Debt Schedule'!P100</f>
        <v>161.2543038532502</v>
      </c>
      <c r="I67" s="15">
        <f>'Debt Schedule'!Q100</f>
        <v>122.20476115593445</v>
      </c>
    </row>
    <row r="68">
      <c r="B68" t="s" s="9">
        <v>285</v>
      </c>
      <c r="C68" s="11"/>
      <c r="D68" s="15">
        <f>'Debt Schedule'!L101</f>
        <v>35.17975940160628</v>
      </c>
      <c r="E68" s="15">
        <f>'Debt Schedule'!M101</f>
        <v>67.82394881080663</v>
      </c>
      <c r="F68" s="15">
        <f>'Debt Schedule'!N101</f>
        <v>30.084140486034872</v>
      </c>
      <c r="G68" s="15">
        <f>'Debt Schedule'!O101</f>
        <v>0</v>
      </c>
      <c r="H68" s="15">
        <f>'Debt Schedule'!P101</f>
        <v>0</v>
      </c>
      <c r="I68" s="15">
        <f>'Debt Schedule'!Q101</f>
        <v>0</v>
      </c>
    </row>
    <row r="69">
      <c r="B69" t="s" s="41">
        <v>335</v>
      </c>
      <c r="C69" s="50"/>
      <c r="D69" s="50">
        <f>D58/D67</f>
        <v>2.116310375986746</v>
      </c>
      <c r="E69" s="50">
        <f>E58/E67</f>
        <v>2.581441274805994</v>
      </c>
      <c r="F69" s="50">
        <f>F58/F67</f>
        <v>2.842225637368559</v>
      </c>
      <c r="G69" s="50">
        <f>G58/G67</f>
        <v>3.3725697924207734</v>
      </c>
      <c r="H69" s="50">
        <f>H58/H67</f>
        <v>4.7405236500947066</v>
      </c>
      <c r="I69" s="50">
        <f>I58/I67</f>
        <v>7.337852617426283</v>
      </c>
    </row>
    <row r="70">
      <c r="B70" t="s" s="9">
        <v>336</v>
      </c>
      <c r="C70" s="22"/>
      <c r="D70" s="22">
        <f>D58/(D67+D68)</f>
        <v>1.4855537087937396</v>
      </c>
      <c r="E70" s="22">
        <f>E58/(E67+E68)</f>
        <v>1.8203820066039327</v>
      </c>
      <c r="F70" s="22">
        <f>F58/(F67+F68)</f>
        <v>2.440180146333365</v>
      </c>
      <c r="G70" s="22">
        <f>G58/(G67+G68)</f>
        <v>3.3725697924207734</v>
      </c>
      <c r="H70" s="22">
        <f>H58/(H67+H68)</f>
        <v>4.7405236500947066</v>
      </c>
      <c r="I70" s="22">
        <f>I58/(I67+I68)</f>
        <v>7.337852617426283</v>
      </c>
    </row>
    <row r="71">
      <c r="B71" t="s" s="9">
        <v>337</v>
      </c>
      <c r="C71" s="11"/>
      <c r="D71" s="15">
        <f>'Debt Schedule'!L17</f>
        <v>-10.72834098465003</v>
      </c>
      <c r="E71" s="15">
        <f>'Debt Schedule'!M17</f>
        <v>-16.530920547945207</v>
      </c>
      <c r="F71" s="15">
        <f>'Debt Schedule'!N17</f>
        <v>-19.506486246575346</v>
      </c>
      <c r="G71" s="15">
        <f>'Debt Schedule'!O17</f>
        <v>-23.00803578082192</v>
      </c>
      <c r="H71" s="15">
        <f>'Debt Schedule'!P17</f>
        <v>-27.155794027397263</v>
      </c>
      <c r="I71" s="15">
        <f>'Debt Schedule'!Q17</f>
        <v>-31.500721071780823</v>
      </c>
    </row>
    <row r="72">
      <c r="B72" t="s" s="9">
        <v>338</v>
      </c>
      <c r="C72" s="11"/>
      <c r="D72" s="15">
        <f>'Debt Schedule'!L18</f>
        <v>-3.4889676248897388</v>
      </c>
      <c r="E72" s="15">
        <f>'Debt Schedule'!M18</f>
        <v>-9.648711828493163</v>
      </c>
      <c r="F72" s="15">
        <f>'Debt Schedule'!N18</f>
        <v>-13.01869226703559</v>
      </c>
      <c r="G72" s="15">
        <f>'Debt Schedule'!O18</f>
        <v>-16.919180503117786</v>
      </c>
      <c r="H72" s="15">
        <f>'Debt Schedule'!P18</f>
        <v>-21.237390574273945</v>
      </c>
      <c r="I72" s="15">
        <f>'Debt Schedule'!Q18</f>
        <v>-25.695939945515647</v>
      </c>
    </row>
    <row r="73">
      <c r="B73" t="s" s="9">
        <v>339</v>
      </c>
      <c r="C73" s="11"/>
      <c r="D73" s="11">
        <f>-'Debt Schedule'!L41</f>
        <v>0</v>
      </c>
      <c r="E73" s="11">
        <f>-'Debt Schedule'!M41</f>
        <v>0</v>
      </c>
      <c r="F73" s="11">
        <f>-'Debt Schedule'!N41</f>
        <v>0</v>
      </c>
      <c r="G73" s="11">
        <f>-'Debt Schedule'!O41</f>
        <v>0</v>
      </c>
      <c r="H73" s="11">
        <f>-'Debt Schedule'!P41</f>
        <v>0</v>
      </c>
      <c r="I73" s="11">
        <f>-'Debt Schedule'!Q41</f>
        <v>0</v>
      </c>
    </row>
    <row r="74">
      <c r="B74" t="s" s="41">
        <v>340</v>
      </c>
      <c r="C74" s="50"/>
      <c r="D74" s="50">
        <f>(D58+D71+D72)/(D67+D73)</f>
        <v>1.9447179882820487</v>
      </c>
      <c r="E74" s="50">
        <f>(E58+E71+E72)/(E67+E73)</f>
        <v>2.4200662145782834</v>
      </c>
      <c r="F74" s="50">
        <f>(F58+F71+F72)/(F67+F73)</f>
        <v>2.664096326678749</v>
      </c>
      <c r="G74" s="50">
        <f>(G58+G71+G72)/(G67+G73)</f>
        <v>3.160573812292885</v>
      </c>
      <c r="H74" s="50">
        <f>(H58+H71+H72)/(H67+H73)</f>
        <v>4.440418887336178</v>
      </c>
      <c r="I74" s="50">
        <f>(I58+I71+I72)/(I67+I73)</f>
        <v>6.869813070715718</v>
      </c>
    </row>
    <row r="75">
      <c r="B75" t="s" s="9">
        <v>341</v>
      </c>
      <c r="C75" s="25"/>
      <c r="D75" s="25">
        <f>('Debt Schedule'!L46-('Debt Schedule'!L107-'Term Sheet'!$C$10))/D59</f>
        <v>0.004223229312106368</v>
      </c>
      <c r="E75" s="25">
        <f>('Debt Schedule'!M46-('Debt Schedule'!M107-'Term Sheet'!$C$10))/E59</f>
        <v>0.03743074979147588</v>
      </c>
      <c r="F75" s="25">
        <f>('Debt Schedule'!N46-('Debt Schedule'!N107-'Term Sheet'!$C$10))/F59</f>
        <v>0.06790025747617122</v>
      </c>
      <c r="G75" s="25">
        <f>('Debt Schedule'!O46-('Debt Schedule'!O107-'Term Sheet'!$C$10))/G59</f>
        <v>0.12094538479372599</v>
      </c>
      <c r="H75" s="25">
        <f>('Debt Schedule'!P46-('Debt Schedule'!P107-'Term Sheet'!$C$10))/H59</f>
        <v>0.22758178509435276</v>
      </c>
      <c r="I75" s="25">
        <f>('Debt Schedule'!Q46-('Debt Schedule'!Q107-'Term Sheet'!$C$10))/I59</f>
        <v>0.45896789791545745</v>
      </c>
    </row>
    <row r="76">
      <c r="B76" t="s" s="9">
        <v>342</v>
      </c>
      <c r="C76" s="25"/>
      <c r="D76" s="25">
        <f>1-D59/$C59</f>
        <v>-0.013029540519113425</v>
      </c>
      <c r="E76" s="25">
        <f>1-E59/$C59</f>
        <v>0.003431057235953716</v>
      </c>
      <c r="F76" s="25">
        <f>1-F59/$C59</f>
        <v>0.05636204321205629</v>
      </c>
      <c r="G76" s="25">
        <f>1-G59/$C59</f>
        <v>0.15817668765228032</v>
      </c>
      <c r="H76" s="25">
        <f>1-H59/$C59</f>
        <v>0.3142425844295037</v>
      </c>
      <c r="I76" s="25">
        <f>1-I59/$C59</f>
        <v>0.5299708673848877</v>
      </c>
    </row>
    <row r="77">
      <c r="B77" t="s" s="81">
        <v>457</v>
      </c>
    </row>
    <row r="78">
      <c r="B78" t="s" s="9">
        <v>458</v>
      </c>
      <c r="C78" s="11"/>
      <c r="D78" s="15">
        <f>'Debt Schedule'!L59</f>
        <v>0</v>
      </c>
      <c r="E78" s="15">
        <f>'Debt Schedule'!M59</f>
        <v>0</v>
      </c>
      <c r="F78" s="15">
        <f>'Debt Schedule'!N59</f>
        <v>0</v>
      </c>
      <c r="G78" s="15">
        <f>'Debt Schedule'!O59</f>
        <v>0</v>
      </c>
      <c r="H78" s="15">
        <f>'Debt Schedule'!P59</f>
        <v>0</v>
      </c>
      <c r="I78" s="15">
        <f>'Debt Schedule'!Q59</f>
        <v>0</v>
      </c>
    </row>
    <row r="79">
      <c r="B79" t="s" s="9">
        <v>459</v>
      </c>
      <c r="C79" s="15">
        <f>'Debt Schedule'!K60</f>
        <v>0</v>
      </c>
      <c r="D79" s="15">
        <f>'Debt Schedule'!L60</f>
        <v>0</v>
      </c>
      <c r="E79" s="15">
        <f>'Debt Schedule'!M60</f>
        <v>0</v>
      </c>
      <c r="F79" s="15">
        <f>'Debt Schedule'!N60</f>
        <v>0</v>
      </c>
      <c r="G79" s="15">
        <f>'Debt Schedule'!O60</f>
        <v>0</v>
      </c>
      <c r="H79" s="15">
        <f>'Debt Schedule'!P60</f>
        <v>0</v>
      </c>
      <c r="I79" s="15">
        <f>'Debt Schedule'!Q60</f>
        <v>0</v>
      </c>
    </row>
    <row r="80">
      <c r="B80" t="s" s="9">
        <v>460</v>
      </c>
      <c r="C80" s="11"/>
      <c r="D80" s="11">
        <f>MAX($D79:D79)</f>
        <v>0</v>
      </c>
      <c r="E80" s="11">
        <f>MAX($D79:E79)</f>
        <v>0</v>
      </c>
      <c r="F80" s="11">
        <f>MAX($D79:F79)</f>
        <v>0</v>
      </c>
      <c r="G80" s="11">
        <f>MAX($D79:G79)</f>
        <v>0</v>
      </c>
      <c r="H80" s="11">
        <f>MAX($D79:H79)</f>
        <v>0</v>
      </c>
      <c r="I80" s="11">
        <f>MAX($D79:I79)</f>
        <v>0</v>
      </c>
    </row>
    <row r="81">
      <c r="B81" t="s" s="9">
        <v>461</v>
      </c>
      <c r="C81" s="11">
        <f>C60-'Term Sheet'!$C$10</f>
        <v>0</v>
      </c>
      <c r="D81" s="11">
        <f>D60-'Term Sheet'!$C$10</f>
        <v>11.551291333784903</v>
      </c>
      <c r="E81" s="11">
        <f>E60-'Term Sheet'!$C$10</f>
        <v>0</v>
      </c>
      <c r="F81" s="11">
        <f>F60-'Term Sheet'!$C$10</f>
        <v>0</v>
      </c>
      <c r="G81" s="11">
        <f>G60-'Term Sheet'!$C$10</f>
        <v>0</v>
      </c>
      <c r="H81" s="11">
        <f>H60-'Term Sheet'!$C$10</f>
        <v>0</v>
      </c>
      <c r="I81" s="11">
        <f>I60-'Term Sheet'!$C$10</f>
        <v>0</v>
      </c>
    </row>
    <row r="82">
      <c r="B82" t="s" s="41">
        <v>343</v>
      </c>
      <c r="C82" s="49">
        <f>C60+'Debt Schedule'!K61</f>
        <v>400</v>
      </c>
      <c r="D82" s="49">
        <f>D60+'Debt Schedule'!L61</f>
        <v>411.5512913337849</v>
      </c>
      <c r="E82" s="49">
        <f>E60+'Debt Schedule'!M61</f>
        <v>400</v>
      </c>
      <c r="F82" s="49">
        <f>F60+'Debt Schedule'!N61</f>
        <v>400</v>
      </c>
      <c r="G82" s="49">
        <f>G60+'Debt Schedule'!O61</f>
        <v>400</v>
      </c>
      <c r="H82" s="49">
        <f>H60+'Debt Schedule'!P61</f>
        <v>400</v>
      </c>
      <c r="I82" s="49">
        <f>I60+'Debt Schedule'!Q61</f>
        <v>400</v>
      </c>
    </row>
    <row r="83">
      <c r="B83" t="s" s="81">
        <v>462</v>
      </c>
    </row>
    <row r="84">
      <c r="B84" t="s" s="9">
        <v>329</v>
      </c>
      <c r="C84" s="22">
        <f>'Term Sheet'!$C$21-C65</f>
        <v>-1.8567876811206752</v>
      </c>
      <c r="D84" s="22">
        <f>'Term Sheet'!$C$21-D65</f>
        <v>-0.3215215824516857</v>
      </c>
      <c r="E84" s="22">
        <f>'Term Sheet'!$C$21-E65</f>
        <v>1.253962927557768</v>
      </c>
      <c r="F84" s="22">
        <f>'Term Sheet'!$C$21-F65</f>
        <v>2.73514063804799</v>
      </c>
      <c r="G84" s="22">
        <f>'Term Sheet'!$C$21-G65</f>
        <v>4.0397290218772355</v>
      </c>
      <c r="H84" s="22">
        <f>'Term Sheet'!$C$21-H65</f>
        <v>5.175986825038808</v>
      </c>
      <c r="I84" s="22">
        <f>'Term Sheet'!$C$21-I65</f>
        <v>6.168393749490633</v>
      </c>
    </row>
    <row r="85">
      <c r="B85" t="s" s="9">
        <v>463</v>
      </c>
      <c r="C85" s="51"/>
      <c r="D85" t="str" s="51">
        <f>IF(D65&lt;='Term Sheet'!$C$21,"Yes","No")</f>
        <v>No</v>
      </c>
      <c r="E85" t="str" s="51">
        <f>IF(E65&lt;='Term Sheet'!$C$21,"Yes","No")</f>
        <v>Yes</v>
      </c>
      <c r="F85" t="str" s="51">
        <f>IF(F65&lt;='Term Sheet'!$C$21,"Yes","No")</f>
        <v>Yes</v>
      </c>
      <c r="G85" t="str" s="51">
        <f>IF(G65&lt;='Term Sheet'!$C$21,"Yes","No")</f>
        <v>Yes</v>
      </c>
      <c r="H85" t="str" s="51">
        <f>IF(H65&lt;='Term Sheet'!$C$21,"Yes","No")</f>
        <v>Yes</v>
      </c>
      <c r="I85" t="str" s="51">
        <f>IF(I65&lt;='Term Sheet'!$C$21,"Yes","No")</f>
        <v>Yes</v>
      </c>
    </row>
    <row r="86">
      <c r="B86" t="s" s="9">
        <v>464</v>
      </c>
      <c r="C86" s="25"/>
      <c r="D86" s="29">
        <f>'Debt Schedule'!L49</f>
        <v>0</v>
      </c>
      <c r="E86" s="29">
        <f>'Debt Schedule'!M49</f>
        <v>0.5</v>
      </c>
      <c r="F86" s="29">
        <f>'Debt Schedule'!N49</f>
        <v>0</v>
      </c>
      <c r="G86" s="29">
        <f>'Debt Schedule'!O49</f>
        <v>0</v>
      </c>
      <c r="H86" s="29">
        <f>'Debt Schedule'!P49</f>
        <v>0</v>
      </c>
      <c r="I86" s="29">
        <f>'Debt Schedule'!Q49</f>
        <v>0</v>
      </c>
    </row>
    <row r="87">
      <c r="B87" t="s" s="9">
        <v>465</v>
      </c>
      <c r="C87" s="11"/>
      <c r="D87" s="11">
        <f>-'Debt Schedule'!L52</f>
        <v>0</v>
      </c>
      <c r="E87" s="11">
        <f>-'Debt Schedule'!M52</f>
        <v>0</v>
      </c>
      <c r="F87" s="11">
        <f>-'Debt Schedule'!N52</f>
        <v>0</v>
      </c>
      <c r="G87" s="11">
        <f>-'Debt Schedule'!O52</f>
        <v>0</v>
      </c>
      <c r="H87" s="11">
        <f>-'Debt Schedule'!P52</f>
        <v>0</v>
      </c>
      <c r="I87" s="11">
        <f>-'Debt Schedule'!Q52</f>
        <v>0</v>
      </c>
    </row>
    <row r="88">
      <c r="B88" t="s" s="9">
        <v>466</v>
      </c>
      <c r="C88" s="51"/>
      <c r="D88" t="str" s="51">
        <f>IF(D65&lt;='Term Sheet'!$C$42,"Yes","No")</f>
        <v>No</v>
      </c>
      <c r="E88" t="str" s="51">
        <f>IF(E65&lt;='Term Sheet'!$C$42,"Yes","No")</f>
        <v>Yes</v>
      </c>
      <c r="F88" t="str" s="51">
        <f>IF(F65&lt;='Term Sheet'!$C$42,"Yes","No")</f>
        <v>Yes</v>
      </c>
      <c r="G88" t="str" s="51">
        <f>IF(G65&lt;='Term Sheet'!$C$42,"Yes","No")</f>
        <v>Yes</v>
      </c>
      <c r="H88" t="str" s="51">
        <f>IF(H65&lt;='Term Sheet'!$C$42,"Yes","No")</f>
        <v>Yes</v>
      </c>
      <c r="I88" t="str" s="51">
        <f>IF(I65&lt;='Term Sheet'!$C$42,"Yes","No")</f>
        <v>Yes</v>
      </c>
    </row>
    <row r="89">
      <c r="B89" t="s" s="9">
        <v>331</v>
      </c>
      <c r="C89" s="22">
        <f>'Term Sheet'!$C$59-C65</f>
        <v>-1.3567876811206752</v>
      </c>
      <c r="D89" s="22">
        <f>'Term Sheet'!$C$59-D65</f>
        <v>0.17847841754831428</v>
      </c>
      <c r="E89" s="22">
        <f>'Term Sheet'!$C$59-E65</f>
        <v>1.753962927557768</v>
      </c>
      <c r="F89" s="22">
        <f>'Term Sheet'!$C$59-F65</f>
        <v>3.23514063804799</v>
      </c>
      <c r="G89" s="22">
        <f>'Term Sheet'!$C$59-G65</f>
        <v>4.5397290218772355</v>
      </c>
      <c r="H89" s="22">
        <f>'Term Sheet'!$C$59-H65</f>
        <v>5.675986825038808</v>
      </c>
      <c r="I89" s="22">
        <f>'Term Sheet'!$C$59-I65</f>
        <v>6.668393749490633</v>
      </c>
    </row>
    <row r="90">
      <c r="B90" t="s" s="9">
        <v>467</v>
      </c>
      <c r="C90" s="51"/>
      <c r="D90" t="str" s="51">
        <f>IF(MAX('Term Sheet'!$C$7,EDATE(D55,-12))&gt;='Term Sheet'!$C$57,"Expired",IF(D65&lt;='Term Sheet'!$C$59,"Yes","No"))</f>
        <v>Yes</v>
      </c>
      <c r="E90" t="str" s="51">
        <f>IF(MAX('Term Sheet'!$C$7,EDATE(E55,-12))&gt;='Term Sheet'!$C$57,"Expired",IF(E65&lt;='Term Sheet'!$C$59,"Yes","No"))</f>
        <v>Yes</v>
      </c>
      <c r="F90" t="str" s="51">
        <f>IF(MAX('Term Sheet'!$C$7,EDATE(F55,-12))&gt;='Term Sheet'!$C$57,"Expired",IF(F65&lt;='Term Sheet'!$C$59,"Yes","No"))</f>
        <v>Yes</v>
      </c>
      <c r="G90" t="str" s="51">
        <f>IF(MAX('Term Sheet'!$C$7,EDATE(G55,-12))&gt;='Term Sheet'!$C$57,"Expired",IF(G65&lt;='Term Sheet'!$C$59,"Yes","No"))</f>
        <v>Expired</v>
      </c>
      <c r="H90" t="str" s="51">
        <f>IF(MAX('Term Sheet'!$C$7,EDATE(H55,-12))&gt;='Term Sheet'!$C$57,"Expired",IF(H65&lt;='Term Sheet'!$C$59,"Yes","No"))</f>
        <v>Expired</v>
      </c>
      <c r="I90" t="str" s="51">
        <f>IF(MAX('Term Sheet'!$C$7,EDATE(I55,-12))&gt;='Term Sheet'!$C$57,"Expired",IF(I65&lt;='Term Sheet'!$C$59,"Yes","No"))</f>
        <v>Expired</v>
      </c>
    </row>
    <row r="91">
      <c r="B91" t="s" s="9">
        <v>330</v>
      </c>
      <c r="C91" s="22">
        <f>'Term Sheet'!$C$87-C65</f>
        <v>-2.106787681120675</v>
      </c>
      <c r="D91" s="22">
        <f>'Term Sheet'!$C$87-D65</f>
        <v>-0.5715215824516857</v>
      </c>
      <c r="E91" s="22">
        <f>'Term Sheet'!$C$87-E65</f>
        <v>1.003962927557768</v>
      </c>
      <c r="F91" s="22">
        <f>'Term Sheet'!$C$87-F65</f>
        <v>2.48514063804799</v>
      </c>
      <c r="G91" s="22">
        <f>'Term Sheet'!$C$87-G65</f>
        <v>3.789729021877236</v>
      </c>
      <c r="H91" s="22">
        <f>'Term Sheet'!$C$87-H65</f>
        <v>4.925986825038808</v>
      </c>
      <c r="I91" s="22">
        <f>'Term Sheet'!$C$87-I65</f>
        <v>5.918393749490633</v>
      </c>
    </row>
    <row r="92">
      <c r="B92" t="s" s="81">
        <v>344</v>
      </c>
    </row>
    <row r="93">
      <c r="B93" t="s" s="9">
        <v>345</v>
      </c>
      <c r="C93" s="11">
        <f>'Debt Schedule'!K60-C60</f>
        <v>-75</v>
      </c>
      <c r="D93" s="11">
        <f>'Debt Schedule'!L60-D60</f>
        <v>-86.5512913337849</v>
      </c>
      <c r="E93" s="11">
        <f>'Debt Schedule'!M60-E60</f>
        <v>-75</v>
      </c>
      <c r="F93" s="11">
        <f>'Debt Schedule'!N60-F60</f>
        <v>-75</v>
      </c>
      <c r="G93" s="11">
        <f>'Debt Schedule'!O60-G60</f>
        <v>-75</v>
      </c>
      <c r="H93" s="11">
        <f>'Debt Schedule'!P60-H60</f>
        <v>-75</v>
      </c>
      <c r="I93" s="11">
        <f>'Debt Schedule'!Q60-I60</f>
        <v>-75</v>
      </c>
    </row>
    <row r="94">
      <c r="B94" t="s" s="9">
        <v>346</v>
      </c>
      <c r="C94" s="15">
        <f>'Term Sheet'!$C$80</f>
        <v>260</v>
      </c>
      <c r="D94" s="15">
        <f>'Term Sheet'!$C$80</f>
        <v>260</v>
      </c>
      <c r="E94" s="15">
        <f>'Term Sheet'!$C$80</f>
        <v>260</v>
      </c>
      <c r="F94" s="15">
        <f>'Term Sheet'!$C$80</f>
        <v>260</v>
      </c>
      <c r="G94" s="15">
        <f>'Term Sheet'!$C$80</f>
        <v>260</v>
      </c>
      <c r="H94" s="15">
        <f>'Term Sheet'!$C$80</f>
        <v>260</v>
      </c>
      <c r="I94" s="15">
        <f>'Term Sheet'!$C$80</f>
        <v>260</v>
      </c>
    </row>
    <row r="95">
      <c r="B95" t="s" s="9">
        <v>347</v>
      </c>
      <c r="C95" s="51"/>
      <c r="D95" t="str" s="51">
        <f>IF(AND(D55&gt;='Term Sheet'!$C$81,D93&gt;D94),"Tested","Not tested")</f>
        <v>Not tested</v>
      </c>
      <c r="E95" t="str" s="51">
        <f>IF(AND(E55&gt;='Term Sheet'!$C$81,E93&gt;E94),"Tested","Not tested")</f>
        <v>Not tested</v>
      </c>
      <c r="F95" t="str" s="51">
        <f>IF(AND(F55&gt;='Term Sheet'!$C$81,F93&gt;F94),"Tested","Not tested")</f>
        <v>Not tested</v>
      </c>
      <c r="G95" t="str" s="51">
        <f>IF(AND(G55&gt;='Term Sheet'!$C$81,G93&gt;G94),"Tested","Not tested")</f>
        <v>Not tested</v>
      </c>
      <c r="H95" t="str" s="51">
        <f>IF(AND(H55&gt;='Term Sheet'!$C$81,H93&gt;H94),"Tested","Not tested")</f>
        <v>Not tested</v>
      </c>
      <c r="I95" t="str" s="51">
        <f>IF(AND(I55&gt;='Term Sheet'!$C$81,I93&gt;I94),"Tested","Not tested")</f>
        <v>Not tested</v>
      </c>
    </row>
    <row r="96">
      <c r="B96" t="s" s="9">
        <v>348</v>
      </c>
      <c r="C96" s="11">
        <f>C94-C93</f>
        <v>335</v>
      </c>
      <c r="D96" s="11">
        <f>D94-D93</f>
        <v>346.5512913337849</v>
      </c>
      <c r="E96" s="11">
        <f>E94-E93</f>
        <v>335</v>
      </c>
      <c r="F96" s="11">
        <f>F94-F93</f>
        <v>335</v>
      </c>
      <c r="G96" s="11">
        <f>G94-G93</f>
        <v>335</v>
      </c>
      <c r="H96" s="11">
        <f>H94-H93</f>
        <v>335</v>
      </c>
      <c r="I96" s="11">
        <f>I94-I93</f>
        <v>335</v>
      </c>
    </row>
    <row r="97">
      <c r="B97" t="s" s="9">
        <v>349</v>
      </c>
      <c r="C97" s="15">
        <f>'Debt Schedule'!K61</f>
        <v>325</v>
      </c>
      <c r="D97" s="15">
        <f>'Debt Schedule'!L61</f>
        <v>325</v>
      </c>
      <c r="E97" s="15">
        <f>'Debt Schedule'!M61</f>
        <v>325</v>
      </c>
      <c r="F97" s="15">
        <f>'Debt Schedule'!N61</f>
        <v>325</v>
      </c>
      <c r="G97" s="15">
        <f>'Debt Schedule'!O61</f>
        <v>325</v>
      </c>
      <c r="H97" s="15">
        <f>'Debt Schedule'!P61</f>
        <v>325</v>
      </c>
      <c r="I97" s="15">
        <f>'Debt Schedule'!Q61</f>
        <v>325</v>
      </c>
    </row>
    <row r="98">
      <c r="B98" t="s" s="9">
        <v>67</v>
      </c>
      <c r="C98" s="55">
        <f>'Term Sheet'!$C$77</f>
        <v>15</v>
      </c>
      <c r="D98" s="55">
        <f>'Term Sheet'!$C$77</f>
        <v>15</v>
      </c>
      <c r="E98" s="55">
        <f>'Term Sheet'!$C$77</f>
        <v>15</v>
      </c>
      <c r="F98" s="55">
        <f>'Term Sheet'!$C$77</f>
        <v>15</v>
      </c>
      <c r="G98" s="55">
        <f>'Term Sheet'!$C$77</f>
        <v>15</v>
      </c>
      <c r="H98" s="55">
        <f>'Term Sheet'!$C$77</f>
        <v>15</v>
      </c>
      <c r="I98" s="55">
        <f>'Term Sheet'!$C$77</f>
        <v>15</v>
      </c>
    </row>
    <row r="99">
      <c r="B99" t="s" s="9">
        <v>351</v>
      </c>
      <c r="C99" s="22">
        <f>C98-C65</f>
        <v>5.643212318879325</v>
      </c>
      <c r="D99" s="22">
        <f>D98-D65</f>
        <v>7.178478417548314</v>
      </c>
      <c r="E99" s="22">
        <f>E98-E65</f>
        <v>8.753962927557769</v>
      </c>
      <c r="F99" s="22">
        <f>F98-F65</f>
        <v>10.23514063804799</v>
      </c>
      <c r="G99" s="22">
        <f>G98-G65</f>
        <v>11.539729021877235</v>
      </c>
      <c r="H99" s="22">
        <f>H98-H65</f>
        <v>12.675986825038809</v>
      </c>
      <c r="I99" s="22">
        <f>I98-I65</f>
        <v>13.668393749490633</v>
      </c>
    </row>
    <row r="100">
      <c r="B100" t="s" s="41">
        <v>352</v>
      </c>
      <c r="C100" s="53">
        <f>1-C65/C98</f>
        <v>0.37621415459195495</v>
      </c>
      <c r="D100" s="53">
        <f>1-D65/D98</f>
        <v>0.4785652278365543</v>
      </c>
      <c r="E100" s="53">
        <f>1-E65/E98</f>
        <v>0.5835975285038513</v>
      </c>
      <c r="F100" s="53">
        <f>1-F65/F98</f>
        <v>0.6823427092031993</v>
      </c>
      <c r="G100" s="53">
        <f>1-G65/G98</f>
        <v>0.769315268125149</v>
      </c>
      <c r="H100" s="53">
        <f>1-H65/H98</f>
        <v>0.8450657883359205</v>
      </c>
      <c r="I100" s="53">
        <f>1-I65/I98</f>
        <v>0.9112262499660422</v>
      </c>
    </row>
    <row r="101">
      <c r="B101" t="s" s="9">
        <v>353</v>
      </c>
      <c r="C101" s="11">
        <f>C57-C61/C98</f>
        <v>105.54500000000002</v>
      </c>
      <c r="D101" s="11">
        <f>D57-D61/D98</f>
        <v>162.05817153520465</v>
      </c>
      <c r="E101" s="11">
        <f>E57-E61/E98</f>
        <v>244.40091085041695</v>
      </c>
      <c r="F101" s="11">
        <f>F57-F61/F98</f>
        <v>354.11588558638937</v>
      </c>
      <c r="G101" s="11">
        <f>G57-G61/G98</f>
        <v>488.6599024075476</v>
      </c>
      <c r="H101" s="11">
        <f>H57-H61/H98</f>
        <v>645.9935062932012</v>
      </c>
      <c r="I101" s="11">
        <f>I57-I61/I98</f>
        <v>817.1152826393072</v>
      </c>
    </row>
    <row r="103">
      <c r="B103" t="s" s="34">
        <v>456</v>
      </c>
      <c r="C103" s="34"/>
      <c r="D103" s="34"/>
      <c r="E103" s="34"/>
      <c r="F103" s="34"/>
      <c r="G103" s="34"/>
      <c r="H103" s="34"/>
      <c r="I103" s="34"/>
    </row>
    <row r="104">
      <c r="B104" t="s" s="4">
        <v>215</v>
      </c>
      <c r="C104" s="38">
        <f>'Debt Schedule'!S$6</f>
        <v>46198</v>
      </c>
      <c r="D104" s="39">
        <f>'Debt Schedule'!T$6</f>
        <v>46387</v>
      </c>
      <c r="E104" s="39">
        <f>'Debt Schedule'!U$6</f>
        <v>46752</v>
      </c>
      <c r="F104" s="39">
        <f>'Debt Schedule'!V$6</f>
        <v>47118</v>
      </c>
      <c r="G104" s="39">
        <f>'Debt Schedule'!W$6</f>
        <v>47483</v>
      </c>
      <c r="H104" s="39">
        <f>'Debt Schedule'!X$6</f>
        <v>47848</v>
      </c>
      <c r="I104" s="39">
        <f>'Debt Schedule'!Y$6</f>
        <v>48213</v>
      </c>
    </row>
    <row r="105">
      <c r="B105" t="s" s="81">
        <v>321</v>
      </c>
    </row>
    <row r="106">
      <c r="B106" t="s" s="9">
        <v>322</v>
      </c>
      <c r="C106" s="15">
        <f>'Term Sheet'!$C$12</f>
        <v>280.545</v>
      </c>
      <c r="D106" s="15">
        <f>'Debt Schedule'!T22</f>
        <v>313.15794103212414</v>
      </c>
      <c r="E106" s="15">
        <f>'Debt Schedule'!U22</f>
        <v>360.8368450098976</v>
      </c>
      <c r="F106" s="15">
        <f>'Debt Schedule'!V22</f>
        <v>402.61356717944</v>
      </c>
      <c r="G106" s="15">
        <f>'Debt Schedule'!W22</f>
        <v>444.9918984193532</v>
      </c>
      <c r="H106" s="15">
        <f>'Debt Schedule'!X22</f>
        <v>483.027685513492</v>
      </c>
      <c r="I106" s="15">
        <f>'Debt Schedule'!Y22</f>
        <v>521.258938912441</v>
      </c>
    </row>
    <row r="107">
      <c r="B107" t="s" s="9">
        <v>323</v>
      </c>
      <c r="C107" s="11"/>
      <c r="D107" s="11">
        <f>'Debt Schedule'!T11*'Debt Schedule'!T7+'Debt Schedule'!T20</f>
        <v>162.15575576731908</v>
      </c>
      <c r="E107" s="11">
        <f>'Debt Schedule'!U11*'Debt Schedule'!U7+'Debt Schedule'!U20</f>
        <v>360.8368450098976</v>
      </c>
      <c r="F107" s="11">
        <f>'Debt Schedule'!V11*'Debt Schedule'!V7+'Debt Schedule'!V20</f>
        <v>402.61356717944</v>
      </c>
      <c r="G107" s="11">
        <f>'Debt Schedule'!W11*'Debt Schedule'!W7+'Debt Schedule'!W20</f>
        <v>444.9918984193532</v>
      </c>
      <c r="H107" s="11">
        <f>'Debt Schedule'!X11*'Debt Schedule'!X7+'Debt Schedule'!X20</f>
        <v>483.027685513492</v>
      </c>
      <c r="I107" s="11">
        <f>'Debt Schedule'!Y11*'Debt Schedule'!Y7+'Debt Schedule'!Y20</f>
        <v>521.258938912441</v>
      </c>
    </row>
    <row r="108">
      <c r="B108" t="s" s="9">
        <v>324</v>
      </c>
      <c r="C108" s="15">
        <f>'Debt Schedule'!S115</f>
        <v>2700</v>
      </c>
      <c r="D108" s="15">
        <f>'Debt Schedule'!T115</f>
        <v>2737.989252664915</v>
      </c>
      <c r="E108" s="15">
        <f>'Debt Schedule'!U115</f>
        <v>2773.7206130538757</v>
      </c>
      <c r="F108" s="15">
        <f>'Debt Schedule'!V115</f>
        <v>2771.3685964586716</v>
      </c>
      <c r="G108" s="15">
        <f>'Debt Schedule'!W115</f>
        <v>2728.0869267262037</v>
      </c>
      <c r="H108" s="15">
        <f>'Debt Schedule'!X115</f>
        <v>2653.5728188751564</v>
      </c>
      <c r="I108" s="15">
        <f>'Debt Schedule'!Y115</f>
        <v>2545.0064194545826</v>
      </c>
    </row>
    <row r="109">
      <c r="B109" t="s" s="9">
        <v>289</v>
      </c>
      <c r="C109" s="15">
        <f>'Debt Schedule'!S109</f>
        <v>75</v>
      </c>
      <c r="D109" s="15">
        <f>'Debt Schedule'!T109</f>
        <v>75.0000000000007</v>
      </c>
      <c r="E109" s="15">
        <f>'Debt Schedule'!U109</f>
        <v>75</v>
      </c>
      <c r="F109" s="15">
        <f>'Debt Schedule'!V109</f>
        <v>75</v>
      </c>
      <c r="G109" s="15">
        <f>'Debt Schedule'!W109</f>
        <v>75</v>
      </c>
      <c r="H109" s="15">
        <f>'Debt Schedule'!X109</f>
        <v>75</v>
      </c>
      <c r="I109" s="15">
        <f>'Debt Schedule'!Y109</f>
        <v>75</v>
      </c>
    </row>
    <row r="110">
      <c r="B110" t="s" s="41">
        <v>297</v>
      </c>
      <c r="C110" s="49">
        <f>C108-C109</f>
        <v>2625</v>
      </c>
      <c r="D110" s="49">
        <f>D108-D109</f>
        <v>2662.989252664914</v>
      </c>
      <c r="E110" s="49">
        <f>E108-E109</f>
        <v>2698.7206130538757</v>
      </c>
      <c r="F110" s="49">
        <f>F108-F109</f>
        <v>2696.3685964586716</v>
      </c>
      <c r="G110" s="49">
        <f>G108-G109</f>
        <v>2653.0869267262037</v>
      </c>
      <c r="H110" s="49">
        <f>H108-H109</f>
        <v>2578.5728188751564</v>
      </c>
      <c r="I110" s="49">
        <f>I108-I109</f>
        <v>2470.0064194545826</v>
      </c>
    </row>
    <row r="111">
      <c r="B111" t="s" s="81">
        <v>325</v>
      </c>
    </row>
    <row r="112">
      <c r="B112" t="s" s="9">
        <v>326</v>
      </c>
      <c r="C112" s="22">
        <f>C108/C106</f>
        <v>9.624124472009838</v>
      </c>
      <c r="D112" s="22">
        <f>D108/D106</f>
        <v>8.743157665556527</v>
      </c>
      <c r="E112" s="22">
        <f>E108/E106</f>
        <v>7.686910722705697</v>
      </c>
      <c r="F112" s="22">
        <f>F108/F106</f>
        <v>6.883445622247265</v>
      </c>
      <c r="G112" s="22">
        <f>G108/G106</f>
        <v>6.130644032883715</v>
      </c>
      <c r="H112" s="22">
        <f>H108/H106</f>
        <v>5.493624689554232</v>
      </c>
      <c r="I112" s="22">
        <f>I108/I106</f>
        <v>4.882422591667215</v>
      </c>
    </row>
    <row r="113">
      <c r="B113" t="s" s="9">
        <v>327</v>
      </c>
      <c r="C113" s="22">
        <f>C110/C106</f>
        <v>9.356787681120675</v>
      </c>
      <c r="D113" s="22">
        <f>D110/D106</f>
        <v>8.503661902642735</v>
      </c>
      <c r="E113" s="22">
        <f>E110/E106</f>
        <v>7.479060551535004</v>
      </c>
      <c r="F113" s="22">
        <f>F110/F106</f>
        <v>6.697162779059884</v>
      </c>
      <c r="G113" s="22">
        <f>G110/G106</f>
        <v>5.96210163859203</v>
      </c>
      <c r="H113" s="22">
        <f>H110/H106</f>
        <v>5.338354086544655</v>
      </c>
      <c r="I113" s="22">
        <f>I110/I106</f>
        <v>4.738540167019533</v>
      </c>
    </row>
    <row r="114">
      <c r="B114" t="s" s="41">
        <v>328</v>
      </c>
      <c r="C114" s="54">
        <f>'Debt Schedule'!S119</f>
        <v>9.356787681120675</v>
      </c>
      <c r="D114" s="54">
        <f>'Debt Schedule'!T119</f>
        <v>8.503661902642735</v>
      </c>
      <c r="E114" s="54">
        <f>'Debt Schedule'!U119</f>
        <v>7.479060551535004</v>
      </c>
      <c r="F114" s="54">
        <f>'Debt Schedule'!V119</f>
        <v>6.697162779059884</v>
      </c>
      <c r="G114" s="54">
        <f>'Debt Schedule'!W119</f>
        <v>5.96210163859203</v>
      </c>
      <c r="H114" s="54">
        <f>'Debt Schedule'!X119</f>
        <v>5.338354086544655</v>
      </c>
      <c r="I114" s="54">
        <f>'Debt Schedule'!Y119</f>
        <v>4.738540167019533</v>
      </c>
    </row>
    <row r="115">
      <c r="B115" t="s" s="81">
        <v>333</v>
      </c>
    </row>
    <row r="116">
      <c r="B116" t="s" s="9">
        <v>334</v>
      </c>
      <c r="C116" s="11"/>
      <c r="D116" s="15">
        <f>'Debt Schedule'!T100</f>
        <v>82.90989670264446</v>
      </c>
      <c r="E116" s="15">
        <f>'Debt Schedule'!U100</f>
        <v>164.73251873327226</v>
      </c>
      <c r="F116" s="15">
        <f>'Debt Schedule'!V100</f>
        <v>193.3483120679655</v>
      </c>
      <c r="G116" s="15">
        <f>'Debt Schedule'!W100</f>
        <v>214.74131985190573</v>
      </c>
      <c r="H116" s="15">
        <f>'Debt Schedule'!X100</f>
        <v>210.1590641036077</v>
      </c>
      <c r="I116" s="15">
        <f>'Debt Schedule'!Y100</f>
        <v>203.03723237019608</v>
      </c>
    </row>
    <row r="117">
      <c r="B117" t="s" s="9">
        <v>285</v>
      </c>
      <c r="C117" s="11"/>
      <c r="D117" s="15">
        <f>'Debt Schedule'!T101</f>
        <v>35.17975940160628</v>
      </c>
      <c r="E117" s="15">
        <f>'Debt Schedule'!U101</f>
        <v>68.8612546556945</v>
      </c>
      <c r="F117" s="15">
        <f>'Debt Schedule'!V101</f>
        <v>31.844492847664235</v>
      </c>
      <c r="G117" s="15">
        <f>'Debt Schedule'!W101</f>
        <v>0</v>
      </c>
      <c r="H117" s="15">
        <f>'Debt Schedule'!X101</f>
        <v>0</v>
      </c>
      <c r="I117" s="15">
        <f>'Debt Schedule'!Y101</f>
        <v>0</v>
      </c>
    </row>
    <row r="118">
      <c r="B118" t="s" s="41">
        <v>335</v>
      </c>
      <c r="C118" s="50"/>
      <c r="D118" s="50">
        <f>D107/D116</f>
        <v>1.9558069930890052</v>
      </c>
      <c r="E118" s="50">
        <f>E107/E116</f>
        <v>2.1904408903875803</v>
      </c>
      <c r="F118" s="50">
        <f>F107/F116</f>
        <v>2.0823226376960244</v>
      </c>
      <c r="G118" s="50">
        <f>G107/G116</f>
        <v>2.0722229831046843</v>
      </c>
      <c r="H118" s="50">
        <f>H107/H116</f>
        <v>2.2983909239116187</v>
      </c>
      <c r="I118" s="50">
        <f>I107/I116</f>
        <v>2.567307152621318</v>
      </c>
    </row>
    <row r="119">
      <c r="B119" t="s" s="9">
        <v>336</v>
      </c>
      <c r="C119" s="22"/>
      <c r="D119" s="22">
        <f>D107/(D116+D117)</f>
        <v>1.3731579980567168</v>
      </c>
      <c r="E119" s="22">
        <f>E107/(E116+E117)</f>
        <v>1.5447194493881184</v>
      </c>
      <c r="F119" s="22">
        <f>F107/(F116+F117)</f>
        <v>1.7878615941139075</v>
      </c>
      <c r="G119" s="22">
        <f>G107/(G116+G117)</f>
        <v>2.0722229831046843</v>
      </c>
      <c r="H119" s="22">
        <f>H107/(H116+H117)</f>
        <v>2.2983909239116187</v>
      </c>
      <c r="I119" s="22">
        <f>I107/(I116+I117)</f>
        <v>2.567307152621318</v>
      </c>
    </row>
    <row r="120">
      <c r="B120" t="s" s="9">
        <v>337</v>
      </c>
      <c r="C120" s="11"/>
      <c r="D120" s="15">
        <f>'Debt Schedule'!T17</f>
        <v>-7.9163269913172005</v>
      </c>
      <c r="E120" s="15">
        <f>'Debt Schedule'!U17</f>
        <v>-16.911649597971397</v>
      </c>
      <c r="F120" s="15">
        <f>'Debt Schedule'!V17</f>
        <v>-18.5384439953259</v>
      </c>
      <c r="G120" s="15">
        <f>'Debt Schedule'!W17</f>
        <v>-20.136341348940785</v>
      </c>
      <c r="H120" s="15">
        <f>'Debt Schedule'!X17</f>
        <v>-21.67060399776119</v>
      </c>
      <c r="I120" s="15">
        <f>'Debt Schedule'!Y17</f>
        <v>-23.187546277604476</v>
      </c>
    </row>
    <row r="121">
      <c r="B121" t="s" s="9">
        <v>338</v>
      </c>
      <c r="C121" s="11"/>
      <c r="D121" s="15">
        <f>'Debt Schedule'!T18</f>
        <v>-2.970944133675559</v>
      </c>
      <c r="E121" s="15">
        <f>'Debt Schedule'!U18</f>
        <v>-7.327011804282705</v>
      </c>
      <c r="F121" s="15">
        <f>'Debt Schedule'!V18</f>
        <v>-8.427304733265345</v>
      </c>
      <c r="G121" s="15">
        <f>'Debt Schedule'!W18</f>
        <v>-9.556037907464429</v>
      </c>
      <c r="H121" s="15">
        <f>'Debt Schedule'!X18</f>
        <v>-10.545004027590323</v>
      </c>
      <c r="I121" s="15">
        <f>'Debt Schedule'!Y18</f>
        <v>-11.543883011821492</v>
      </c>
    </row>
    <row r="122">
      <c r="B122" t="s" s="9">
        <v>339</v>
      </c>
      <c r="C122" s="11"/>
      <c r="D122" s="11">
        <f>-'Debt Schedule'!T41</f>
        <v>0</v>
      </c>
      <c r="E122" s="11">
        <f>-'Debt Schedule'!U41</f>
        <v>0</v>
      </c>
      <c r="F122" s="11">
        <f>-'Debt Schedule'!V41</f>
        <v>0</v>
      </c>
      <c r="G122" s="11">
        <f>-'Debt Schedule'!W41</f>
        <v>0</v>
      </c>
      <c r="H122" s="11">
        <f>-'Debt Schedule'!X41</f>
        <v>0</v>
      </c>
      <c r="I122" s="11">
        <f>-'Debt Schedule'!Y41</f>
        <v>0</v>
      </c>
    </row>
    <row r="123">
      <c r="B123" t="s" s="41">
        <v>340</v>
      </c>
      <c r="C123" s="50"/>
      <c r="D123" s="50">
        <f>(D107+D120+D121)/(D116+D122)</f>
        <v>1.824492499186789</v>
      </c>
      <c r="E123" s="50">
        <f>(E107+E120+E121)/(E116+E122)</f>
        <v>2.0433013845472043</v>
      </c>
      <c r="F123" s="50">
        <f>(F107+F120+F121)/(F116+F122)</f>
        <v>1.9428554324218852</v>
      </c>
      <c r="G123" s="50">
        <f>(G107+G120+G121)/(G116+G122)</f>
        <v>1.933952531582442</v>
      </c>
      <c r="H123" s="50">
        <f>(H107+H120+H121)/(H116+H122)</f>
        <v>2.1450993770408666</v>
      </c>
      <c r="I123" s="50">
        <f>(I107+I120+I121)/(I116+I122)</f>
        <v>2.396247742068969</v>
      </c>
    </row>
    <row r="124">
      <c r="B124" t="s" s="9">
        <v>341</v>
      </c>
      <c r="C124" s="25"/>
      <c r="D124" s="25">
        <f>('Debt Schedule'!T46-('Debt Schedule'!T107-'Term Sheet'!$C$10))/D108</f>
        <v>-0.0010261155191074772</v>
      </c>
      <c r="E124" s="25">
        <f>('Debt Schedule'!U46-('Debt Schedule'!U107-'Term Sheet'!$C$10))/E108</f>
        <v>0.011944207398112272</v>
      </c>
      <c r="F124" s="25">
        <f>('Debt Schedule'!V46-('Debt Schedule'!V107-'Term Sheet'!$C$10))/F108</f>
        <v>0.012339213732393649</v>
      </c>
      <c r="G124" s="25">
        <f>('Debt Schedule'!W46-('Debt Schedule'!W107-'Term Sheet'!$C$10))/G108</f>
        <v>0.015865209172337212</v>
      </c>
      <c r="H124" s="25">
        <f>('Debt Schedule'!X46-('Debt Schedule'!X107-'Term Sheet'!$C$10))/H108</f>
        <v>0.028080671958082056</v>
      </c>
      <c r="I124" s="25">
        <f>('Debt Schedule'!Y46-('Debt Schedule'!Y107-'Term Sheet'!$C$10))/I108</f>
        <v>0.04265859550267217</v>
      </c>
    </row>
    <row r="125">
      <c r="B125" t="s" s="9">
        <v>342</v>
      </c>
      <c r="C125" s="25"/>
      <c r="D125" s="25">
        <f>1-D108/$C108</f>
        <v>-0.014070093579598097</v>
      </c>
      <c r="E125" s="25">
        <f>1-E108/$C108</f>
        <v>-0.027303930760694595</v>
      </c>
      <c r="F125" s="25">
        <f>1-F108/$C108</f>
        <v>-0.026432813503211694</v>
      </c>
      <c r="G125" s="25">
        <f>1-G108/$C108</f>
        <v>-0.010402565454149526</v>
      </c>
      <c r="H125" s="25">
        <f>1-H108/$C108</f>
        <v>0.017195252268460637</v>
      </c>
      <c r="I125" s="25">
        <f>1-I108/$C108</f>
        <v>0.05740502983163609</v>
      </c>
    </row>
    <row r="126">
      <c r="B126" t="s" s="81">
        <v>457</v>
      </c>
    </row>
    <row r="127">
      <c r="B127" t="s" s="9">
        <v>458</v>
      </c>
      <c r="C127" s="11"/>
      <c r="D127" s="15">
        <f>'Debt Schedule'!T59</f>
        <v>2.809493263308953</v>
      </c>
      <c r="E127" s="15">
        <f>'Debt Schedule'!U59</f>
        <v>-2.809493263309655</v>
      </c>
      <c r="F127" s="15">
        <f>'Debt Schedule'!V59</f>
        <v>0</v>
      </c>
      <c r="G127" s="15">
        <f>'Debt Schedule'!W59</f>
        <v>0</v>
      </c>
      <c r="H127" s="15">
        <f>'Debt Schedule'!X59</f>
        <v>0</v>
      </c>
      <c r="I127" s="15">
        <f>'Debt Schedule'!Y59</f>
        <v>0</v>
      </c>
    </row>
    <row r="128">
      <c r="B128" t="s" s="9">
        <v>459</v>
      </c>
      <c r="C128" s="15">
        <f>'Debt Schedule'!S60</f>
        <v>0</v>
      </c>
      <c r="D128" s="15">
        <f>'Debt Schedule'!T60</f>
        <v>2.809493263308953</v>
      </c>
      <c r="E128" s="15">
        <f>'Debt Schedule'!U60</f>
        <v>0</v>
      </c>
      <c r="F128" s="15">
        <f>'Debt Schedule'!V60</f>
        <v>0</v>
      </c>
      <c r="G128" s="15">
        <f>'Debt Schedule'!W60</f>
        <v>0</v>
      </c>
      <c r="H128" s="15">
        <f>'Debt Schedule'!X60</f>
        <v>0</v>
      </c>
      <c r="I128" s="15">
        <f>'Debt Schedule'!Y60</f>
        <v>0</v>
      </c>
    </row>
    <row r="129">
      <c r="B129" t="s" s="9">
        <v>460</v>
      </c>
      <c r="C129" s="11"/>
      <c r="D129" s="11">
        <f>MAX($D128:D128)</f>
        <v>2.809493263308953</v>
      </c>
      <c r="E129" s="11">
        <f>MAX($D128:E128)</f>
        <v>2.809493263308953</v>
      </c>
      <c r="F129" s="11">
        <f>MAX($D128:F128)</f>
        <v>2.809493263308953</v>
      </c>
      <c r="G129" s="11">
        <f>MAX($D128:G128)</f>
        <v>2.809493263308953</v>
      </c>
      <c r="H129" s="11">
        <f>MAX($D128:H128)</f>
        <v>2.809493263308953</v>
      </c>
      <c r="I129" s="11">
        <f>MAX($D128:I128)</f>
        <v>2.809493263308953</v>
      </c>
    </row>
    <row r="130">
      <c r="B130" t="s" s="9">
        <v>461</v>
      </c>
      <c r="C130" s="11">
        <f>C109-'Term Sheet'!$C$10</f>
        <v>0</v>
      </c>
      <c r="D130" s="11">
        <f>D109-'Term Sheet'!$C$10</f>
        <v>0.0000000000006963318810448982</v>
      </c>
      <c r="E130" s="11">
        <f>E109-'Term Sheet'!$C$10</f>
        <v>0</v>
      </c>
      <c r="F130" s="11">
        <f>F109-'Term Sheet'!$C$10</f>
        <v>0</v>
      </c>
      <c r="G130" s="11">
        <f>G109-'Term Sheet'!$C$10</f>
        <v>0</v>
      </c>
      <c r="H130" s="11">
        <f>H109-'Term Sheet'!$C$10</f>
        <v>0</v>
      </c>
      <c r="I130" s="11">
        <f>I109-'Term Sheet'!$C$10</f>
        <v>0</v>
      </c>
    </row>
    <row r="131">
      <c r="B131" t="s" s="41">
        <v>343</v>
      </c>
      <c r="C131" s="49">
        <f>C109+'Debt Schedule'!S61</f>
        <v>400</v>
      </c>
      <c r="D131" s="49">
        <f>D109+'Debt Schedule'!T61</f>
        <v>397.1905067366917</v>
      </c>
      <c r="E131" s="49">
        <f>E109+'Debt Schedule'!U61</f>
        <v>400</v>
      </c>
      <c r="F131" s="49">
        <f>F109+'Debt Schedule'!V61</f>
        <v>400</v>
      </c>
      <c r="G131" s="49">
        <f>G109+'Debt Schedule'!W61</f>
        <v>400</v>
      </c>
      <c r="H131" s="49">
        <f>H109+'Debt Schedule'!X61</f>
        <v>400</v>
      </c>
      <c r="I131" s="49">
        <f>I109+'Debt Schedule'!Y61</f>
        <v>400</v>
      </c>
    </row>
    <row r="132">
      <c r="B132" t="s" s="81">
        <v>462</v>
      </c>
    </row>
    <row r="133">
      <c r="B133" t="s" s="9">
        <v>329</v>
      </c>
      <c r="C133" s="22">
        <f>'Term Sheet'!$C$21-C114</f>
        <v>-1.8567876811206752</v>
      </c>
      <c r="D133" s="22">
        <f>'Term Sheet'!$C$21-D114</f>
        <v>-1.003661902642735</v>
      </c>
      <c r="E133" s="22">
        <f>'Term Sheet'!$C$21-E114</f>
        <v>0.02093944846499607</v>
      </c>
      <c r="F133" s="22">
        <f>'Term Sheet'!$C$21-F114</f>
        <v>0.8028372209401162</v>
      </c>
      <c r="G133" s="22">
        <f>'Term Sheet'!$C$21-G114</f>
        <v>1.5378983614079704</v>
      </c>
      <c r="H133" s="22">
        <f>'Term Sheet'!$C$21-H114</f>
        <v>2.161645913455345</v>
      </c>
      <c r="I133" s="22">
        <f>'Term Sheet'!$C$21-I114</f>
        <v>2.761459832980467</v>
      </c>
    </row>
    <row r="134">
      <c r="B134" t="s" s="9">
        <v>463</v>
      </c>
      <c r="C134" s="51"/>
      <c r="D134" t="str" s="51">
        <f>IF(D114&lt;='Term Sheet'!$C$21,"Yes","No")</f>
        <v>No</v>
      </c>
      <c r="E134" t="str" s="51">
        <f>IF(E114&lt;='Term Sheet'!$C$21,"Yes","No")</f>
        <v>Yes</v>
      </c>
      <c r="F134" t="str" s="51">
        <f>IF(F114&lt;='Term Sheet'!$C$21,"Yes","No")</f>
        <v>Yes</v>
      </c>
      <c r="G134" t="str" s="51">
        <f>IF(G114&lt;='Term Sheet'!$C$21,"Yes","No")</f>
        <v>Yes</v>
      </c>
      <c r="H134" t="str" s="51">
        <f>IF(H114&lt;='Term Sheet'!$C$21,"Yes","No")</f>
        <v>Yes</v>
      </c>
      <c r="I134" t="str" s="51">
        <f>IF(I114&lt;='Term Sheet'!$C$21,"Yes","No")</f>
        <v>Yes</v>
      </c>
    </row>
    <row r="135">
      <c r="B135" t="s" s="9">
        <v>464</v>
      </c>
      <c r="C135" s="25"/>
      <c r="D135" s="29">
        <f>'Debt Schedule'!T49</f>
        <v>0</v>
      </c>
      <c r="E135" s="29">
        <f>'Debt Schedule'!U49</f>
        <v>0.5</v>
      </c>
      <c r="F135" s="29">
        <f>'Debt Schedule'!V49</f>
        <v>0</v>
      </c>
      <c r="G135" s="29">
        <f>'Debt Schedule'!W49</f>
        <v>0</v>
      </c>
      <c r="H135" s="29">
        <f>'Debt Schedule'!X49</f>
        <v>0</v>
      </c>
      <c r="I135" s="29">
        <f>'Debt Schedule'!Y49</f>
        <v>0</v>
      </c>
    </row>
    <row r="136">
      <c r="B136" t="s" s="9">
        <v>465</v>
      </c>
      <c r="C136" s="11"/>
      <c r="D136" s="11">
        <f>-'Debt Schedule'!T52</f>
        <v>0</v>
      </c>
      <c r="E136" s="11">
        <f>-'Debt Schedule'!U52</f>
        <v>0</v>
      </c>
      <c r="F136" s="11">
        <f>-'Debt Schedule'!V52</f>
        <v>0</v>
      </c>
      <c r="G136" s="11">
        <f>-'Debt Schedule'!W52</f>
        <v>0</v>
      </c>
      <c r="H136" s="11">
        <f>-'Debt Schedule'!X52</f>
        <v>0</v>
      </c>
      <c r="I136" s="11">
        <f>-'Debt Schedule'!Y52</f>
        <v>0</v>
      </c>
    </row>
    <row r="137">
      <c r="B137" t="s" s="9">
        <v>466</v>
      </c>
      <c r="C137" s="51"/>
      <c r="D137" t="str" s="51">
        <f>IF(D114&lt;='Term Sheet'!$C$42,"Yes","No")</f>
        <v>No</v>
      </c>
      <c r="E137" t="str" s="51">
        <f>IF(E114&lt;='Term Sheet'!$C$42,"Yes","No")</f>
        <v>Yes</v>
      </c>
      <c r="F137" t="str" s="51">
        <f>IF(F114&lt;='Term Sheet'!$C$42,"Yes","No")</f>
        <v>Yes</v>
      </c>
      <c r="G137" t="str" s="51">
        <f>IF(G114&lt;='Term Sheet'!$C$42,"Yes","No")</f>
        <v>Yes</v>
      </c>
      <c r="H137" t="str" s="51">
        <f>IF(H114&lt;='Term Sheet'!$C$42,"Yes","No")</f>
        <v>Yes</v>
      </c>
      <c r="I137" t="str" s="51">
        <f>IF(I114&lt;='Term Sheet'!$C$42,"Yes","No")</f>
        <v>Yes</v>
      </c>
    </row>
    <row r="138">
      <c r="B138" t="s" s="9">
        <v>331</v>
      </c>
      <c r="C138" s="22">
        <f>'Term Sheet'!$C$59-C114</f>
        <v>-1.3567876811206752</v>
      </c>
      <c r="D138" s="22">
        <f>'Term Sheet'!$C$59-D114</f>
        <v>-0.5036619026427349</v>
      </c>
      <c r="E138" s="22">
        <f>'Term Sheet'!$C$59-E114</f>
        <v>0.5209394484649961</v>
      </c>
      <c r="F138" s="22">
        <f>'Term Sheet'!$C$59-F114</f>
        <v>1.3028372209401162</v>
      </c>
      <c r="G138" s="22">
        <f>'Term Sheet'!$C$59-G114</f>
        <v>2.0378983614079704</v>
      </c>
      <c r="H138" s="22">
        <f>'Term Sheet'!$C$59-H114</f>
        <v>2.661645913455345</v>
      </c>
      <c r="I138" s="22">
        <f>'Term Sheet'!$C$59-I114</f>
        <v>3.261459832980467</v>
      </c>
    </row>
    <row r="139">
      <c r="B139" t="s" s="9">
        <v>467</v>
      </c>
      <c r="C139" s="51"/>
      <c r="D139" t="str" s="51">
        <f>IF(MAX('Term Sheet'!$C$7,EDATE(D104,-12))&gt;='Term Sheet'!$C$57,"Expired",IF(D114&lt;='Term Sheet'!$C$59,"Yes","No"))</f>
        <v>No</v>
      </c>
      <c r="E139" t="str" s="51">
        <f>IF(MAX('Term Sheet'!$C$7,EDATE(E104,-12))&gt;='Term Sheet'!$C$57,"Expired",IF(E114&lt;='Term Sheet'!$C$59,"Yes","No"))</f>
        <v>Yes</v>
      </c>
      <c r="F139" t="str" s="51">
        <f>IF(MAX('Term Sheet'!$C$7,EDATE(F104,-12))&gt;='Term Sheet'!$C$57,"Expired",IF(F114&lt;='Term Sheet'!$C$59,"Yes","No"))</f>
        <v>Yes</v>
      </c>
      <c r="G139" t="str" s="51">
        <f>IF(MAX('Term Sheet'!$C$7,EDATE(G104,-12))&gt;='Term Sheet'!$C$57,"Expired",IF(G114&lt;='Term Sheet'!$C$59,"Yes","No"))</f>
        <v>Expired</v>
      </c>
      <c r="H139" t="str" s="51">
        <f>IF(MAX('Term Sheet'!$C$7,EDATE(H104,-12))&gt;='Term Sheet'!$C$57,"Expired",IF(H114&lt;='Term Sheet'!$C$59,"Yes","No"))</f>
        <v>Expired</v>
      </c>
      <c r="I139" t="str" s="51">
        <f>IF(MAX('Term Sheet'!$C$7,EDATE(I104,-12))&gt;='Term Sheet'!$C$57,"Expired",IF(I114&lt;='Term Sheet'!$C$59,"Yes","No"))</f>
        <v>Expired</v>
      </c>
    </row>
    <row r="140">
      <c r="B140" t="s" s="9">
        <v>330</v>
      </c>
      <c r="C140" s="22">
        <f>'Term Sheet'!$C$87-C114</f>
        <v>-2.106787681120675</v>
      </c>
      <c r="D140" s="22">
        <f>'Term Sheet'!$C$87-D114</f>
        <v>-1.253661902642735</v>
      </c>
      <c r="E140" s="22">
        <f>'Term Sheet'!$C$87-E114</f>
        <v>-0.22906055153500393</v>
      </c>
      <c r="F140" s="22">
        <f>'Term Sheet'!$C$87-F114</f>
        <v>0.5528372209401162</v>
      </c>
      <c r="G140" s="22">
        <f>'Term Sheet'!$C$87-G114</f>
        <v>1.2878983614079704</v>
      </c>
      <c r="H140" s="22">
        <f>'Term Sheet'!$C$87-H114</f>
        <v>1.9116459134553452</v>
      </c>
      <c r="I140" s="22">
        <f>'Term Sheet'!$C$87-I114</f>
        <v>2.511459832980467</v>
      </c>
    </row>
    <row r="141">
      <c r="B141" t="s" s="81">
        <v>344</v>
      </c>
    </row>
    <row r="142">
      <c r="B142" t="s" s="9">
        <v>345</v>
      </c>
      <c r="C142" s="11">
        <f>'Debt Schedule'!S60-C109</f>
        <v>-75</v>
      </c>
      <c r="D142" s="11">
        <f>'Debt Schedule'!T60-D109</f>
        <v>-72.19050673669175</v>
      </c>
      <c r="E142" s="11">
        <f>'Debt Schedule'!U60-E109</f>
        <v>-75</v>
      </c>
      <c r="F142" s="11">
        <f>'Debt Schedule'!V60-F109</f>
        <v>-75</v>
      </c>
      <c r="G142" s="11">
        <f>'Debt Schedule'!W60-G109</f>
        <v>-75</v>
      </c>
      <c r="H142" s="11">
        <f>'Debt Schedule'!X60-H109</f>
        <v>-75</v>
      </c>
      <c r="I142" s="11">
        <f>'Debt Schedule'!Y60-I109</f>
        <v>-75</v>
      </c>
    </row>
    <row r="143">
      <c r="B143" t="s" s="9">
        <v>346</v>
      </c>
      <c r="C143" s="15">
        <f>'Term Sheet'!$C$80</f>
        <v>260</v>
      </c>
      <c r="D143" s="15">
        <f>'Term Sheet'!$C$80</f>
        <v>260</v>
      </c>
      <c r="E143" s="15">
        <f>'Term Sheet'!$C$80</f>
        <v>260</v>
      </c>
      <c r="F143" s="15">
        <f>'Term Sheet'!$C$80</f>
        <v>260</v>
      </c>
      <c r="G143" s="15">
        <f>'Term Sheet'!$C$80</f>
        <v>260</v>
      </c>
      <c r="H143" s="15">
        <f>'Term Sheet'!$C$80</f>
        <v>260</v>
      </c>
      <c r="I143" s="15">
        <f>'Term Sheet'!$C$80</f>
        <v>260</v>
      </c>
    </row>
    <row r="144">
      <c r="B144" t="s" s="9">
        <v>347</v>
      </c>
      <c r="C144" s="51"/>
      <c r="D144" t="str" s="51">
        <f>IF(AND(D104&gt;='Term Sheet'!$C$81,D142&gt;D143),"Tested","Not tested")</f>
        <v>Not tested</v>
      </c>
      <c r="E144" t="str" s="51">
        <f>IF(AND(E104&gt;='Term Sheet'!$C$81,E142&gt;E143),"Tested","Not tested")</f>
        <v>Not tested</v>
      </c>
      <c r="F144" t="str" s="51">
        <f>IF(AND(F104&gt;='Term Sheet'!$C$81,F142&gt;F143),"Tested","Not tested")</f>
        <v>Not tested</v>
      </c>
      <c r="G144" t="str" s="51">
        <f>IF(AND(G104&gt;='Term Sheet'!$C$81,G142&gt;G143),"Tested","Not tested")</f>
        <v>Not tested</v>
      </c>
      <c r="H144" t="str" s="51">
        <f>IF(AND(H104&gt;='Term Sheet'!$C$81,H142&gt;H143),"Tested","Not tested")</f>
        <v>Not tested</v>
      </c>
      <c r="I144" t="str" s="51">
        <f>IF(AND(I104&gt;='Term Sheet'!$C$81,I142&gt;I143),"Tested","Not tested")</f>
        <v>Not tested</v>
      </c>
    </row>
    <row r="145">
      <c r="B145" t="s" s="9">
        <v>348</v>
      </c>
      <c r="C145" s="11">
        <f>C143-C142</f>
        <v>335</v>
      </c>
      <c r="D145" s="11">
        <f>D143-D142</f>
        <v>332.19050673669176</v>
      </c>
      <c r="E145" s="11">
        <f>E143-E142</f>
        <v>335</v>
      </c>
      <c r="F145" s="11">
        <f>F143-F142</f>
        <v>335</v>
      </c>
      <c r="G145" s="11">
        <f>G143-G142</f>
        <v>335</v>
      </c>
      <c r="H145" s="11">
        <f>H143-H142</f>
        <v>335</v>
      </c>
      <c r="I145" s="11">
        <f>I143-I142</f>
        <v>335</v>
      </c>
    </row>
    <row r="146">
      <c r="B146" t="s" s="9">
        <v>349</v>
      </c>
      <c r="C146" s="15">
        <f>'Debt Schedule'!S61</f>
        <v>325</v>
      </c>
      <c r="D146" s="15">
        <f>'Debt Schedule'!T61</f>
        <v>322.190506736691</v>
      </c>
      <c r="E146" s="15">
        <f>'Debt Schedule'!U61</f>
        <v>325</v>
      </c>
      <c r="F146" s="15">
        <f>'Debt Schedule'!V61</f>
        <v>325</v>
      </c>
      <c r="G146" s="15">
        <f>'Debt Schedule'!W61</f>
        <v>325</v>
      </c>
      <c r="H146" s="15">
        <f>'Debt Schedule'!X61</f>
        <v>325</v>
      </c>
      <c r="I146" s="15">
        <f>'Debt Schedule'!Y61</f>
        <v>325</v>
      </c>
    </row>
    <row r="147">
      <c r="B147" t="s" s="9">
        <v>67</v>
      </c>
      <c r="C147" s="55">
        <f>'Term Sheet'!$C$77</f>
        <v>15</v>
      </c>
      <c r="D147" s="55">
        <f>'Term Sheet'!$C$77</f>
        <v>15</v>
      </c>
      <c r="E147" s="55">
        <f>'Term Sheet'!$C$77</f>
        <v>15</v>
      </c>
      <c r="F147" s="55">
        <f>'Term Sheet'!$C$77</f>
        <v>15</v>
      </c>
      <c r="G147" s="55">
        <f>'Term Sheet'!$C$77</f>
        <v>15</v>
      </c>
      <c r="H147" s="55">
        <f>'Term Sheet'!$C$77</f>
        <v>15</v>
      </c>
      <c r="I147" s="55">
        <f>'Term Sheet'!$C$77</f>
        <v>15</v>
      </c>
    </row>
    <row r="148">
      <c r="B148" t="s" s="9">
        <v>351</v>
      </c>
      <c r="C148" s="22">
        <f>C147-C114</f>
        <v>5.643212318879325</v>
      </c>
      <c r="D148" s="22">
        <f>D147-D114</f>
        <v>6.496338097357265</v>
      </c>
      <c r="E148" s="22">
        <f>E147-E114</f>
        <v>7.520939448464996</v>
      </c>
      <c r="F148" s="22">
        <f>F147-F114</f>
        <v>8.302837220940116</v>
      </c>
      <c r="G148" s="22">
        <f>G147-G114</f>
        <v>9.03789836140797</v>
      </c>
      <c r="H148" s="22">
        <f>H147-H114</f>
        <v>9.661645913455345</v>
      </c>
      <c r="I148" s="22">
        <f>I147-I114</f>
        <v>10.261459832980467</v>
      </c>
    </row>
    <row r="149">
      <c r="B149" t="s" s="41">
        <v>352</v>
      </c>
      <c r="C149" s="53">
        <f>1-C114/C147</f>
        <v>0.37621415459195495</v>
      </c>
      <c r="D149" s="53">
        <f>1-D114/D147</f>
        <v>0.4330892064904843</v>
      </c>
      <c r="E149" s="53">
        <f>1-E114/E147</f>
        <v>0.5013959632309997</v>
      </c>
      <c r="F149" s="53">
        <f>1-F114/F147</f>
        <v>0.5535224813960078</v>
      </c>
      <c r="G149" s="53">
        <f>1-G114/G147</f>
        <v>0.6025265574271981</v>
      </c>
      <c r="H149" s="53">
        <f>1-H114/H147</f>
        <v>0.6441097275636897</v>
      </c>
      <c r="I149" s="53">
        <f>1-I114/I147</f>
        <v>0.6840973221986978</v>
      </c>
    </row>
    <row r="150">
      <c r="B150" t="s" s="9">
        <v>353</v>
      </c>
      <c r="C150" s="11">
        <f>C106-C110/C147</f>
        <v>105.54500000000002</v>
      </c>
      <c r="D150" s="11">
        <f>D106-D110/D147</f>
        <v>135.62532418779654</v>
      </c>
      <c r="E150" s="11">
        <f>E106-E110/E147</f>
        <v>180.92213747297257</v>
      </c>
      <c r="F150" s="11">
        <f>F106-F110/F147</f>
        <v>222.85566074886188</v>
      </c>
      <c r="G150" s="11">
        <f>G106-G110/G147</f>
        <v>268.1194366376063</v>
      </c>
      <c r="H150" s="11">
        <f>H106-H110/H147</f>
        <v>311.12283092181485</v>
      </c>
      <c r="I150" s="11">
        <f>I106-I110/I147</f>
        <v>356.5918442821354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2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3" width="15.21875" customWidth="1"/>
    <col min="4" max="10" width="16.359375" customWidth="1"/>
  </cols>
  <sheetData>
    <row r="2">
      <c r="B2" t="s" s="1">
        <v>190</v>
      </c>
    </row>
    <row r="3">
      <c r="B3" t="s" s="3">
        <v>1</v>
      </c>
    </row>
    <row r="5">
      <c r="B5" t="s" s="34">
        <v>191</v>
      </c>
      <c r="C5" s="34"/>
      <c r="D5" s="34"/>
      <c r="E5" s="34"/>
      <c r="F5" s="34"/>
      <c r="G5" s="34"/>
      <c r="H5" s="34"/>
      <c r="I5" s="34"/>
      <c r="J5" s="33"/>
    </row>
    <row r="6">
      <c r="B6" t="s" s="9">
        <v>468</v>
      </c>
      <c r="C6" s="18">
        <v>1</v>
      </c>
    </row>
    <row r="7">
      <c r="B7" t="s" s="9">
        <v>193</v>
      </c>
      <c r="C7" t="s" s="51">
        <v>496</v>
      </c>
    </row>
    <row r="9">
      <c r="B9" t="s" s="9">
        <v>194</v>
      </c>
    </row>
    <row r="10">
      <c r="B10" t="s" s="9">
        <v>195</v>
      </c>
    </row>
    <row r="11">
      <c r="B11" t="s" s="9">
        <v>196</v>
      </c>
    </row>
    <row r="12">
      <c r="B12" t="s" s="9">
        <v>197</v>
      </c>
    </row>
    <row r="13">
      <c r="B13" t="s" s="9">
        <v>198</v>
      </c>
    </row>
    <row r="14">
      <c r="B14" t="s" s="9">
        <v>469</v>
      </c>
    </row>
    <row r="15">
      <c r="B15" t="s" s="34">
        <v>199</v>
      </c>
      <c r="C15" s="34"/>
      <c r="D15" s="34"/>
      <c r="E15" s="34"/>
      <c r="F15" s="34"/>
      <c r="G15" s="34"/>
      <c r="H15" s="34"/>
      <c r="I15" s="34"/>
      <c r="J15" s="33"/>
    </row>
    <row r="16">
      <c r="B16" t="s" s="9">
        <v>200</v>
      </c>
      <c r="C16" s="16">
        <f>IF(C6=2,0,'Term Sheet'!$C$28)</f>
        <v>1</v>
      </c>
    </row>
    <row r="17">
      <c r="B17" t="s" s="9">
        <v>201</v>
      </c>
      <c r="C17" s="16">
        <f>IF(C6=3,1,0)</f>
        <v>0</v>
      </c>
    </row>
    <row r="18">
      <c r="B18" t="s" s="9">
        <v>202</v>
      </c>
      <c r="C18" s="56">
        <f>IF(C6=4,C29,IF(C6=5,-C29,IF(C6=6,C30,0)))</f>
        <v>0</v>
      </c>
    </row>
    <row r="20">
      <c r="B20" t="s" s="34">
        <v>203</v>
      </c>
      <c r="C20" s="34"/>
      <c r="D20" s="34"/>
      <c r="E20" s="34"/>
      <c r="F20" s="34"/>
      <c r="G20" s="34"/>
      <c r="H20" s="34"/>
      <c r="I20" s="34"/>
      <c r="J20" s="33"/>
    </row>
    <row r="21">
      <c r="B21" t="s" s="9">
        <v>204</v>
      </c>
      <c r="C21" s="58">
        <v>46752</v>
      </c>
    </row>
    <row r="22">
      <c r="B22" t="s" s="9">
        <v>205</v>
      </c>
      <c r="C22" s="15">
        <f>'Term Sheet'!$C$54</f>
        <v>500</v>
      </c>
    </row>
    <row r="23">
      <c r="B23" t="s" s="9">
        <v>206</v>
      </c>
      <c r="C23" s="59">
        <v>15</v>
      </c>
    </row>
    <row r="24">
      <c r="B24" t="s" s="9">
        <v>207</v>
      </c>
      <c r="C24" s="11">
        <f>C22/C23</f>
        <v>33.333333333333336</v>
      </c>
    </row>
    <row r="25">
      <c r="B25" t="s" s="9">
        <v>208</v>
      </c>
      <c r="C25" s="28">
        <v>0.5</v>
      </c>
    </row>
    <row r="26">
      <c r="B26" t="s" s="9">
        <v>209</v>
      </c>
      <c r="C26" s="28">
        <v>0.1</v>
      </c>
    </row>
    <row r="27">
      <c r="B27" t="s" s="9">
        <v>210</v>
      </c>
      <c r="C27" s="28">
        <v>0.7</v>
      </c>
    </row>
    <row r="28">
      <c r="B28" t="s" s="9">
        <v>211</v>
      </c>
      <c r="C28" s="57">
        <f>C23</f>
        <v>15</v>
      </c>
    </row>
    <row r="29">
      <c r="B29" t="s" s="9">
        <v>212</v>
      </c>
      <c r="C29" s="60">
        <v>0.01</v>
      </c>
    </row>
    <row r="30">
      <c r="B30" t="s" s="9">
        <v>470</v>
      </c>
      <c r="C30" s="82">
        <v>0.02</v>
      </c>
    </row>
    <row r="32">
      <c r="B32" t="s" s="34">
        <v>354</v>
      </c>
      <c r="C32" s="34"/>
      <c r="D32" s="34"/>
      <c r="E32" s="34"/>
      <c r="F32" s="34"/>
      <c r="G32" s="34"/>
      <c r="H32" s="34"/>
      <c r="I32" s="34"/>
      <c r="J32" s="34"/>
    </row>
    <row r="33">
      <c r="B33" t="s" s="1">
        <v>355</v>
      </c>
      <c r="C33" s="1"/>
      <c r="D33" t="s" s="37">
        <v>376</v>
      </c>
      <c r="E33" t="s" s="37">
        <v>377</v>
      </c>
      <c r="F33" t="s" s="37">
        <v>378</v>
      </c>
      <c r="G33" t="s" s="37">
        <v>379</v>
      </c>
      <c r="H33" t="s" s="37">
        <v>380</v>
      </c>
      <c r="I33" t="s" s="37">
        <v>381</v>
      </c>
      <c r="J33" t="s" s="37">
        <v>502</v>
      </c>
    </row>
    <row r="34">
      <c r="B34" t="s" s="61">
        <v>356</v>
      </c>
      <c r="C34" s="61"/>
      <c r="D34" s="61"/>
      <c r="E34" s="62">
        <v>1</v>
      </c>
      <c r="F34" s="62">
        <v>2</v>
      </c>
      <c r="G34" s="62">
        <v>3</v>
      </c>
      <c r="H34" s="62">
        <v>4</v>
      </c>
      <c r="I34" s="62">
        <v>5</v>
      </c>
      <c r="J34" s="62">
        <v>6</v>
      </c>
    </row>
    <row r="35">
      <c r="B35" t="s" s="9">
        <v>357</v>
      </c>
      <c r="D35" s="15">
        <f>'Debt Schedule'!H115</f>
        <v>2384.7734913882696</v>
      </c>
      <c r="E35" s="11">
        <f t="dataTable" ref="E35:J55" dtr="1" r1="C6"/>
        <v>2384.7734913882696</v>
      </c>
      <c r="F35" s="11">
        <v>2366.334534629955</v>
      </c>
      <c r="G35" s="11">
        <v>2925.6900653003017</v>
      </c>
      <c r="H35" s="11">
        <v>2527.475217318052</v>
      </c>
      <c r="I35" s="11">
        <v>2249.1255715860934</v>
      </c>
      <c r="J35" s="11">
        <v>2677.5881309649935</v>
      </c>
    </row>
    <row r="36">
      <c r="B36" t="s" s="9">
        <v>358</v>
      </c>
      <c r="D36" s="15">
        <f>'Debt Schedule'!H117</f>
        <v>2309.7734913882696</v>
      </c>
      <c r="E36" s="11">
        <v>2309.7734913882696</v>
      </c>
      <c r="F36" s="11">
        <v>2291.334534629955</v>
      </c>
      <c r="G36" s="11">
        <v>2850.6900653003017</v>
      </c>
      <c r="H36" s="11">
        <v>2452.475217318052</v>
      </c>
      <c r="I36" s="11">
        <v>2174.1255715860934</v>
      </c>
      <c r="J36" s="11">
        <v>2602.5881309649935</v>
      </c>
    </row>
    <row r="37">
      <c r="B37" t="s" s="9">
        <v>359</v>
      </c>
      <c r="D37" s="55">
        <f>'Debt Schedule'!H118</f>
        <v>4.15832616035263</v>
      </c>
      <c r="E37" s="22">
        <v>4.15832616035263</v>
      </c>
      <c r="F37" s="22">
        <v>4.126174177560723</v>
      </c>
      <c r="G37" s="22">
        <v>4.735196879056153</v>
      </c>
      <c r="H37" s="22">
        <v>4.4071549578061955</v>
      </c>
      <c r="I37" s="22">
        <v>3.9217970746563444</v>
      </c>
      <c r="J37" s="22">
        <v>4.668906632788732</v>
      </c>
    </row>
    <row r="38">
      <c r="B38" t="s" s="9">
        <v>360</v>
      </c>
      <c r="D38" s="55">
        <f>'Debt Schedule'!H119</f>
        <v>4.02754876654451</v>
      </c>
      <c r="E38" s="22">
        <v>4.02754876654451</v>
      </c>
      <c r="F38" s="22">
        <v>3.995396783752604</v>
      </c>
      <c r="G38" s="22">
        <v>4.613810211978429</v>
      </c>
      <c r="H38" s="22">
        <v>4.276377563998076</v>
      </c>
      <c r="I38" s="22">
        <v>3.7910196808482253</v>
      </c>
      <c r="J38" s="22">
        <v>4.538129238980614</v>
      </c>
    </row>
    <row r="39">
      <c r="B39" t="s" s="9">
        <v>471</v>
      </c>
      <c r="D39" s="55">
        <f>'Debt Schedule'!E119</f>
        <v>6.711359698993447</v>
      </c>
      <c r="E39" s="22">
        <v>6.711359698993447</v>
      </c>
      <c r="F39" s="22">
        <v>6.682449760438993</v>
      </c>
      <c r="G39" s="22">
        <v>7.373036553323902</v>
      </c>
      <c r="H39" s="22">
        <v>6.819706155457141</v>
      </c>
      <c r="I39" s="22">
        <v>6.605186239028053</v>
      </c>
      <c r="J39" s="22">
        <v>6.930301267213677</v>
      </c>
    </row>
    <row r="40">
      <c r="B40" t="s" s="9">
        <v>362</v>
      </c>
      <c r="D40" s="55">
        <f>MAX('Debt Schedule'!D119:I119)</f>
        <v>7.9243497383162325</v>
      </c>
      <c r="E40" s="22">
        <v>7.9243497383162325</v>
      </c>
      <c r="F40" s="22">
        <v>7.913246948157706</v>
      </c>
      <c r="G40" s="22">
        <v>7.9243497383162325</v>
      </c>
      <c r="H40" s="22">
        <v>7.9658469968879855</v>
      </c>
      <c r="I40" s="22">
        <v>7.883259766115167</v>
      </c>
      <c r="J40" s="22">
        <v>8.007810649388182</v>
      </c>
    </row>
    <row r="41">
      <c r="B41" t="s" s="9">
        <v>472</v>
      </c>
      <c r="D41" s="55">
        <f>MIN('Credit Stats'!D20:I20)</f>
        <v>2.0918408088826363</v>
      </c>
      <c r="E41" s="22">
        <v>2.0918408088826363</v>
      </c>
      <c r="F41" s="22">
        <v>1.5170524647137924</v>
      </c>
      <c r="G41" s="22">
        <v>2.0918408088826363</v>
      </c>
      <c r="H41" s="22">
        <v>1.7856514659705331</v>
      </c>
      <c r="I41" s="22">
        <v>2.519796672551286</v>
      </c>
      <c r="J41" s="22">
        <v>1.5544815243883419</v>
      </c>
    </row>
    <row r="42">
      <c r="B42" t="s" s="9">
        <v>473</v>
      </c>
      <c r="D42" s="55">
        <f>MIN('Credit Stats'!D21:I21)</f>
        <v>1.4683771846994707</v>
      </c>
      <c r="E42" s="22">
        <v>1.4683771846994707</v>
      </c>
      <c r="F42" s="22">
        <v>1.5170524647137924</v>
      </c>
      <c r="G42" s="22">
        <v>1.4683771846994707</v>
      </c>
      <c r="H42" s="22">
        <v>1.310623236867472</v>
      </c>
      <c r="I42" s="22">
        <v>1.6671293024459661</v>
      </c>
      <c r="J42" s="22">
        <v>1.1816456551150945</v>
      </c>
    </row>
    <row r="43">
      <c r="B43" t="s" s="9">
        <v>474</v>
      </c>
      <c r="D43" s="55">
        <f>MIN('Credit Stats'!D25:I25)</f>
        <v>1.9535432054475086</v>
      </c>
      <c r="E43" s="22">
        <v>1.9535432054475086</v>
      </c>
      <c r="F43" s="22">
        <v>1.4167557694469386</v>
      </c>
      <c r="G43" s="22">
        <v>1.9535432054475086</v>
      </c>
      <c r="H43" s="22">
        <v>1.6675969193408322</v>
      </c>
      <c r="I43" s="22">
        <v>2.3532056779221135</v>
      </c>
      <c r="J43" s="22">
        <v>1.4517102864938463</v>
      </c>
    </row>
    <row r="44">
      <c r="B44" t="s" s="9">
        <v>366</v>
      </c>
      <c r="D44" s="15">
        <f>SUM('Debt Schedule'!D100:H100)</f>
        <v>831.8505390775293</v>
      </c>
      <c r="E44" s="11">
        <v>831.8505390775293</v>
      </c>
      <c r="F44" s="11">
        <v>947.7220789309797</v>
      </c>
      <c r="G44" s="11">
        <v>957.1597854609498</v>
      </c>
      <c r="H44" s="11">
        <v>976.524251903598</v>
      </c>
      <c r="I44" s="11">
        <v>694.2000865026678</v>
      </c>
      <c r="J44" s="11">
        <v>1128.9948994948068</v>
      </c>
    </row>
    <row r="45">
      <c r="B45" t="s" s="9">
        <v>367</v>
      </c>
      <c r="D45" s="15">
        <f>SUM('Debt Schedule'!D101:H101)</f>
        <v>134.5183089310952</v>
      </c>
      <c r="E45" s="11">
        <v>134.5183089310952</v>
      </c>
      <c r="F45" s="11">
        <v>0</v>
      </c>
      <c r="G45" s="11">
        <v>146.7489697930413</v>
      </c>
      <c r="H45" s="11">
        <v>135.72686588364834</v>
      </c>
      <c r="I45" s="11">
        <v>133.33768718581456</v>
      </c>
      <c r="J45" s="11">
        <v>136.75748810375657</v>
      </c>
    </row>
    <row r="46">
      <c r="B46" t="s" s="9">
        <v>475</v>
      </c>
      <c r="D46" s="15">
        <f>MIN('Credit Stats'!D11:I11)</f>
        <v>75</v>
      </c>
      <c r="E46" s="11">
        <v>75</v>
      </c>
      <c r="F46" s="11">
        <v>74.99999999999335</v>
      </c>
      <c r="G46" s="11">
        <v>75</v>
      </c>
      <c r="H46" s="11">
        <v>75</v>
      </c>
      <c r="I46" s="11">
        <v>75</v>
      </c>
      <c r="J46" s="11">
        <v>75</v>
      </c>
    </row>
    <row r="47">
      <c r="B47" t="s" s="9">
        <v>370</v>
      </c>
      <c r="D47" s="15">
        <f>MAX('Credit Stats'!D30:I30)</f>
        <v>0</v>
      </c>
      <c r="E47" s="11">
        <v>0</v>
      </c>
      <c r="F47" s="11">
        <v>23.706172071956036</v>
      </c>
      <c r="G47" s="11">
        <v>0</v>
      </c>
      <c r="H47" s="11">
        <v>6.132595648831919</v>
      </c>
      <c r="I47" s="11">
        <v>0</v>
      </c>
      <c r="J47" s="11">
        <v>20.178585380749325</v>
      </c>
    </row>
    <row r="48">
      <c r="B48" t="s" s="9">
        <v>476</v>
      </c>
      <c r="D48" s="27">
        <f>COUNTIF('Credit Stats'!D36:I36,"No")</f>
        <v>1</v>
      </c>
      <c r="E48" s="16">
        <v>1</v>
      </c>
      <c r="F48" s="16">
        <v>1</v>
      </c>
      <c r="G48" s="16">
        <v>1</v>
      </c>
      <c r="H48" s="16">
        <v>1</v>
      </c>
      <c r="I48" s="16">
        <v>1</v>
      </c>
      <c r="J48" s="16">
        <v>1</v>
      </c>
    </row>
    <row r="49">
      <c r="B49" t="s" s="9">
        <v>477</v>
      </c>
      <c r="D49" s="27">
        <f>COUNTIF('Credit Stats'!D41:F41,"No")</f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1</v>
      </c>
    </row>
    <row r="50">
      <c r="B50" t="s" s="9">
        <v>478</v>
      </c>
      <c r="D50" s="27">
        <f>COUNTIF('Credit Stats'!D46:I46,"Tested")</f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>
      <c r="B51" t="s" s="9">
        <v>479</v>
      </c>
      <c r="D51" s="29">
        <f>MIN('Credit Stats'!D51:I51)</f>
        <v>0.4717100174455845</v>
      </c>
      <c r="E51" s="25">
        <v>0.4717100174455845</v>
      </c>
      <c r="F51" s="25">
        <v>0.47245020345615296</v>
      </c>
      <c r="G51" s="25">
        <v>0.4717100174455845</v>
      </c>
      <c r="H51" s="25">
        <v>0.468943533540801</v>
      </c>
      <c r="I51" s="25">
        <v>0.4744493489256556</v>
      </c>
      <c r="J51" s="25">
        <v>0.4661459567074545</v>
      </c>
    </row>
    <row r="52">
      <c r="B52" t="s" s="9">
        <v>480</v>
      </c>
      <c r="D52" s="55">
        <f>'Debt Schedule'!H131</f>
        <v>2.3735574644539166</v>
      </c>
      <c r="E52" s="22">
        <v>2.3735574644539166</v>
      </c>
      <c r="F52" s="22">
        <v>2.3767714881518818</v>
      </c>
      <c r="G52" s="22">
        <v>2.406873197495215</v>
      </c>
      <c r="H52" s="22">
        <v>2.348683674960806</v>
      </c>
      <c r="I52" s="22">
        <v>2.3972017321062777</v>
      </c>
      <c r="J52" s="22">
        <v>2.322518069815366</v>
      </c>
    </row>
    <row r="53">
      <c r="B53" t="s" s="63">
        <v>481</v>
      </c>
      <c r="C53" s="1"/>
      <c r="D53" s="83">
        <f>'Debt Schedule'!H132</f>
        <v>0.2107179328633042</v>
      </c>
      <c r="E53" s="52">
        <v>0.2107179328633042</v>
      </c>
      <c r="F53" s="52">
        <v>0.2110804030983986</v>
      </c>
      <c r="G53" s="52">
        <v>0.2144568082768712</v>
      </c>
      <c r="H53" s="52">
        <v>0.20789972025952808</v>
      </c>
      <c r="I53" s="52">
        <v>0.21337559668933492</v>
      </c>
      <c r="J53" s="52">
        <v>0.20490994555522946</v>
      </c>
    </row>
    <row r="54">
      <c r="B54" t="s" s="9">
        <v>482</v>
      </c>
      <c r="D54" s="55">
        <f>'Debt Schedule'!H167</f>
        <v>2.3735574644539166</v>
      </c>
      <c r="E54" s="22">
        <v>2.3735574644539166</v>
      </c>
      <c r="F54" s="22">
        <v>2.3767714881518818</v>
      </c>
      <c r="G54" s="22">
        <v>2.406873197495215</v>
      </c>
      <c r="H54" s="22">
        <v>2.348683674960806</v>
      </c>
      <c r="I54" s="22">
        <v>2.3972017321062777</v>
      </c>
      <c r="J54" s="22">
        <v>2.322518069815366</v>
      </c>
    </row>
    <row r="55">
      <c r="B55" t="s" s="63">
        <v>483</v>
      </c>
      <c r="C55" s="1"/>
      <c r="D55" s="83">
        <f>'Debt Schedule'!H168</f>
        <v>0.2107179328633042</v>
      </c>
      <c r="E55" s="52">
        <v>0.2107179328633042</v>
      </c>
      <c r="F55" s="52">
        <v>0.2110804030983986</v>
      </c>
      <c r="G55" s="52">
        <v>0.2144568082768712</v>
      </c>
      <c r="H55" s="52">
        <v>0.20789972025952808</v>
      </c>
      <c r="I55" s="52">
        <v>0.21337559668933492</v>
      </c>
      <c r="J55" s="52">
        <v>0.20490994555522946</v>
      </c>
    </row>
    <row r="56">
      <c r="E56"/>
      <c r="F56"/>
      <c r="G56"/>
      <c r="H56"/>
      <c r="I56"/>
    </row>
    <row r="57">
      <c r="B57" t="s" s="34">
        <v>373</v>
      </c>
      <c r="C57" s="34"/>
      <c r="D57" s="34"/>
      <c r="E57" s="34"/>
      <c r="F57" s="34"/>
      <c r="G57" s="34"/>
      <c r="H57" s="34"/>
      <c r="I57" s="34"/>
      <c r="J57" s="34"/>
    </row>
    <row r="58">
      <c r="B58" t="s" s="1">
        <v>355</v>
      </c>
      <c r="C58" s="1"/>
      <c r="D58" t="s" s="37">
        <v>376</v>
      </c>
      <c r="E58" t="s" s="37">
        <v>377</v>
      </c>
      <c r="F58" t="s" s="37">
        <v>378</v>
      </c>
      <c r="G58" t="s" s="37">
        <v>379</v>
      </c>
      <c r="H58" t="s" s="37">
        <v>380</v>
      </c>
      <c r="I58" t="s" s="37">
        <v>381</v>
      </c>
      <c r="J58" t="s" s="37">
        <v>502</v>
      </c>
    </row>
    <row r="59">
      <c r="B59" t="s" s="61">
        <v>356</v>
      </c>
      <c r="C59" s="61"/>
      <c r="D59" s="61"/>
      <c r="E59" s="62">
        <v>1</v>
      </c>
      <c r="F59" s="62">
        <v>2</v>
      </c>
      <c r="G59" s="62">
        <v>3</v>
      </c>
      <c r="H59" s="62">
        <v>4</v>
      </c>
      <c r="I59" s="62">
        <v>5</v>
      </c>
      <c r="J59" s="62">
        <v>6</v>
      </c>
    </row>
    <row r="60">
      <c r="B60" t="s" s="9">
        <v>357</v>
      </c>
      <c r="D60" s="15">
        <f>'Debt Schedule'!P115</f>
        <v>1851.54502204034</v>
      </c>
      <c r="E60" s="11">
        <f t="dataTable" ref="E60:J80" dtr="1" r1="C6"/>
        <v>1851.54502204034</v>
      </c>
      <c r="F60" s="11">
        <v>1833.221611276568</v>
      </c>
      <c r="G60" s="11">
        <v>2391.967389534174</v>
      </c>
      <c r="H60" s="11">
        <v>1986.1155902622527</v>
      </c>
      <c r="I60" s="11">
        <v>1723.680424539224</v>
      </c>
      <c r="J60" s="11">
        <v>2128.146815229028</v>
      </c>
    </row>
    <row r="61">
      <c r="B61" t="s" s="9">
        <v>358</v>
      </c>
      <c r="D61" s="15">
        <f>'Debt Schedule'!P117</f>
        <v>1776.54502204034</v>
      </c>
      <c r="E61" s="11">
        <v>1776.54502204034</v>
      </c>
      <c r="F61" s="11">
        <v>1758.221611276568</v>
      </c>
      <c r="G61" s="11">
        <v>2316.967389534174</v>
      </c>
      <c r="H61" s="11">
        <v>1911.1155902622527</v>
      </c>
      <c r="I61" s="11">
        <v>1648.680424539224</v>
      </c>
      <c r="J61" s="11">
        <v>2053.146815229028</v>
      </c>
    </row>
    <row r="62">
      <c r="B62" t="s" s="9">
        <v>359</v>
      </c>
      <c r="D62" s="55">
        <f>'Debt Schedule'!P118</f>
        <v>2.422125514338838</v>
      </c>
      <c r="E62" s="22">
        <v>2.422125514338838</v>
      </c>
      <c r="F62" s="22">
        <v>2.398155478400022</v>
      </c>
      <c r="G62" s="22">
        <v>2.9574403036819206</v>
      </c>
      <c r="H62" s="22">
        <v>2.598165957800584</v>
      </c>
      <c r="I62" s="22">
        <v>2.2548575838799634</v>
      </c>
      <c r="J62" s="22">
        <v>2.783966167749425</v>
      </c>
    </row>
    <row r="63">
      <c r="B63" t="s" s="9">
        <v>360</v>
      </c>
      <c r="D63" s="55">
        <f>'Debt Schedule'!P119</f>
        <v>2.324013174961192</v>
      </c>
      <c r="E63" s="22">
        <v>2.324013174961192</v>
      </c>
      <c r="F63" s="22">
        <v>2.300043139022376</v>
      </c>
      <c r="G63" s="22">
        <v>2.864709932964224</v>
      </c>
      <c r="H63" s="22">
        <v>2.500053618422938</v>
      </c>
      <c r="I63" s="22">
        <v>2.1567452445023174</v>
      </c>
      <c r="J63" s="22">
        <v>2.685853828371779</v>
      </c>
    </row>
    <row r="64">
      <c r="B64" t="s" s="9">
        <v>471</v>
      </c>
      <c r="D64" s="55">
        <f>'Debt Schedule'!M119</f>
        <v>6.246037072442232</v>
      </c>
      <c r="E64" s="22">
        <v>6.246037072442232</v>
      </c>
      <c r="F64" s="22">
        <v>6.218673844666319</v>
      </c>
      <c r="G64" s="22">
        <v>6.907908355750651</v>
      </c>
      <c r="H64" s="22">
        <v>6.347503291144638</v>
      </c>
      <c r="I64" s="22">
        <v>6.146321095930651</v>
      </c>
      <c r="J64" s="22">
        <v>6.451486315172895</v>
      </c>
    </row>
    <row r="65">
      <c r="B65" t="s" s="9">
        <v>362</v>
      </c>
      <c r="D65" s="55">
        <f>MAX('Debt Schedule'!L119:Q119)</f>
        <v>7.821521582451686</v>
      </c>
      <c r="E65" s="22">
        <v>7.821521582451686</v>
      </c>
      <c r="F65" s="22">
        <v>7.810428830644384</v>
      </c>
      <c r="G65" s="22">
        <v>7.821521582451686</v>
      </c>
      <c r="H65" s="22">
        <v>7.862390722382966</v>
      </c>
      <c r="I65" s="22">
        <v>7.780935906342414</v>
      </c>
      <c r="J65" s="22">
        <v>7.903839040714583</v>
      </c>
    </row>
    <row r="66">
      <c r="B66" t="s" s="9">
        <v>472</v>
      </c>
      <c r="D66" s="55">
        <f>MIN('Credit Stats'!D69:I69)</f>
        <v>2.116310375986746</v>
      </c>
      <c r="E66" s="22">
        <v>2.116310375986746</v>
      </c>
      <c r="F66" s="22">
        <v>1.535803182389038</v>
      </c>
      <c r="G66" s="22">
        <v>2.116310375986746</v>
      </c>
      <c r="H66" s="22">
        <v>1.8081208613477555</v>
      </c>
      <c r="I66" s="22">
        <v>2.549272306407307</v>
      </c>
      <c r="J66" s="22">
        <v>1.574007835172532</v>
      </c>
    </row>
    <row r="67">
      <c r="B67" t="s" s="9">
        <v>473</v>
      </c>
      <c r="D67" s="55">
        <f>MIN('Credit Stats'!D70:I70)</f>
        <v>1.4855537087937396</v>
      </c>
      <c r="E67" s="22">
        <v>1.4855537087937396</v>
      </c>
      <c r="F67" s="22">
        <v>1.535803182389038</v>
      </c>
      <c r="G67" s="22">
        <v>1.4855537087937396</v>
      </c>
      <c r="H67" s="22">
        <v>1.3268062090703572</v>
      </c>
      <c r="I67" s="22">
        <v>1.6866307540689602</v>
      </c>
      <c r="J67" s="22">
        <v>1.1962437262219878</v>
      </c>
    </row>
    <row r="68">
      <c r="B68" t="s" s="9">
        <v>474</v>
      </c>
      <c r="D68" s="55">
        <f>MIN('Credit Stats'!D74:I74)</f>
        <v>1.9447179882820487</v>
      </c>
      <c r="E68" s="22">
        <v>1.9447179882820487</v>
      </c>
      <c r="F68" s="22">
        <v>1.411278850749954</v>
      </c>
      <c r="G68" s="22">
        <v>1.9447179882820487</v>
      </c>
      <c r="H68" s="22">
        <v>1.661516762356522</v>
      </c>
      <c r="I68" s="22">
        <v>2.342574967997324</v>
      </c>
      <c r="J68" s="22">
        <v>1.4463858352202679</v>
      </c>
    </row>
    <row r="69">
      <c r="B69" t="s" s="9">
        <v>366</v>
      </c>
      <c r="D69" s="15">
        <f>SUM('Debt Schedule'!L100:P100)</f>
        <v>777.2704900244628</v>
      </c>
      <c r="E69" s="11">
        <v>777.2704900244628</v>
      </c>
      <c r="F69" s="11">
        <v>891.7254767761495</v>
      </c>
      <c r="G69" s="11">
        <v>902.0879589691456</v>
      </c>
      <c r="H69" s="11">
        <v>913.725104706961</v>
      </c>
      <c r="I69" s="11">
        <v>647.3638578854222</v>
      </c>
      <c r="J69" s="11">
        <v>1057.9169333073949</v>
      </c>
    </row>
    <row r="70">
      <c r="B70" t="s" s="9">
        <v>367</v>
      </c>
      <c r="D70" s="15">
        <f>SUM('Debt Schedule'!L101:P101)</f>
        <v>133.08784869844777</v>
      </c>
      <c r="E70" s="11">
        <v>133.08784869844777</v>
      </c>
      <c r="F70" s="11">
        <v>0</v>
      </c>
      <c r="G70" s="11">
        <v>145.3160805809332</v>
      </c>
      <c r="H70" s="11">
        <v>134.28270721925733</v>
      </c>
      <c r="I70" s="11">
        <v>131.9177460926671</v>
      </c>
      <c r="J70" s="11">
        <v>135.51045974998303</v>
      </c>
    </row>
    <row r="71">
      <c r="B71" t="s" s="9">
        <v>475</v>
      </c>
      <c r="D71" s="15">
        <f>MIN('Credit Stats'!D60:I60)</f>
        <v>75</v>
      </c>
      <c r="E71" s="11">
        <v>75</v>
      </c>
      <c r="F71" s="11">
        <v>75</v>
      </c>
      <c r="G71" s="11">
        <v>75</v>
      </c>
      <c r="H71" s="11">
        <v>75</v>
      </c>
      <c r="I71" s="11">
        <v>75</v>
      </c>
      <c r="J71" s="11">
        <v>75</v>
      </c>
    </row>
    <row r="72">
      <c r="B72" t="s" s="9">
        <v>370</v>
      </c>
      <c r="D72" s="15">
        <f>MAX('Credit Stats'!D79:I79)</f>
        <v>0</v>
      </c>
      <c r="E72" s="11">
        <v>0</v>
      </c>
      <c r="F72" s="11">
        <v>19.87209177756768</v>
      </c>
      <c r="G72" s="11">
        <v>0</v>
      </c>
      <c r="H72" s="11">
        <v>2.288364588190542</v>
      </c>
      <c r="I72" s="11">
        <v>0</v>
      </c>
      <c r="J72" s="11">
        <v>16.32414966266539</v>
      </c>
    </row>
    <row r="73">
      <c r="B73" t="s" s="9">
        <v>476</v>
      </c>
      <c r="D73" s="27">
        <f>COUNTIF('Credit Stats'!D85:I85,"No")</f>
        <v>1</v>
      </c>
      <c r="E73" s="16">
        <v>1</v>
      </c>
      <c r="F73" s="16">
        <v>1</v>
      </c>
      <c r="G73" s="16">
        <v>1</v>
      </c>
      <c r="H73" s="16">
        <v>1</v>
      </c>
      <c r="I73" s="16">
        <v>1</v>
      </c>
      <c r="J73" s="16">
        <v>1</v>
      </c>
    </row>
    <row r="74">
      <c r="B74" t="s" s="9">
        <v>477</v>
      </c>
      <c r="D74" s="27">
        <f>COUNTIF('Credit Stats'!D90:F90,"No")</f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>
      <c r="B75" t="s" s="9">
        <v>478</v>
      </c>
      <c r="D75" s="27">
        <f>COUNTIF('Credit Stats'!D95:I95,"Tested")</f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>
      <c r="B76" t="s" s="9">
        <v>479</v>
      </c>
      <c r="D76" s="29">
        <f>MIN('Credit Stats'!D100:I100)</f>
        <v>0.4785652278365543</v>
      </c>
      <c r="E76" s="25">
        <v>0.4785652278365543</v>
      </c>
      <c r="F76" s="25">
        <v>0.47930474462370776</v>
      </c>
      <c r="G76" s="25">
        <v>0.4785652278365543</v>
      </c>
      <c r="H76" s="25">
        <v>0.47584061850780224</v>
      </c>
      <c r="I76" s="25">
        <v>0.4812709395771724</v>
      </c>
      <c r="J76" s="25">
        <v>0.4730773972856944</v>
      </c>
    </row>
    <row r="77">
      <c r="B77" t="s" s="9">
        <v>480</v>
      </c>
      <c r="D77" s="55">
        <f>'Debt Schedule'!P131</f>
        <v>3.5591277516517956</v>
      </c>
      <c r="E77" s="22">
        <v>3.5591277516517956</v>
      </c>
      <c r="F77" s="22">
        <v>3.562321634971456</v>
      </c>
      <c r="G77" s="22">
        <v>3.5925296279147845</v>
      </c>
      <c r="H77" s="22">
        <v>3.5356712730134983</v>
      </c>
      <c r="I77" s="22">
        <v>3.581415338302493</v>
      </c>
      <c r="J77" s="22">
        <v>3.510914355966744</v>
      </c>
    </row>
    <row r="78">
      <c r="B78" t="s" s="63">
        <v>481</v>
      </c>
      <c r="C78" s="1"/>
      <c r="D78" s="83">
        <f>'Debt Schedule'!P132</f>
        <v>0.3242314017059704</v>
      </c>
      <c r="E78" s="52">
        <v>0.3242314017059704</v>
      </c>
      <c r="F78" s="52">
        <v>0.32449418428395416</v>
      </c>
      <c r="G78" s="52">
        <v>0.32697057116345896</v>
      </c>
      <c r="H78" s="52">
        <v>0.32229582891066566</v>
      </c>
      <c r="I78" s="52">
        <v>0.3260613377386328</v>
      </c>
      <c r="J78" s="52">
        <v>0.3202420690015806</v>
      </c>
    </row>
    <row r="79">
      <c r="B79" t="s" s="9">
        <v>482</v>
      </c>
      <c r="D79" s="55">
        <f>'Debt Schedule'!P167</f>
        <v>3.604383407842632</v>
      </c>
      <c r="E79" s="22">
        <v>3.604383407842632</v>
      </c>
      <c r="F79" s="22">
        <v>3.6075772911622925</v>
      </c>
      <c r="G79" s="22">
        <v>3.637785284105621</v>
      </c>
      <c r="H79" s="22">
        <v>3.5809269292043346</v>
      </c>
      <c r="I79" s="22">
        <v>3.6266709944933293</v>
      </c>
      <c r="J79" s="22">
        <v>3.556170012157581</v>
      </c>
    </row>
    <row r="80">
      <c r="B80" t="s" s="63">
        <v>483</v>
      </c>
      <c r="C80" s="1"/>
      <c r="D80" s="83">
        <f>'Debt Schedule'!P168</f>
        <v>0.3279378895669589</v>
      </c>
      <c r="E80" s="52">
        <v>0.3279378895669589</v>
      </c>
      <c r="F80" s="52">
        <v>0.3281981001456318</v>
      </c>
      <c r="G80" s="52">
        <v>0.3306503608954898</v>
      </c>
      <c r="H80" s="52">
        <v>0.32602133178262305</v>
      </c>
      <c r="I80" s="52">
        <v>0.3297499622573927</v>
      </c>
      <c r="J80" s="52">
        <v>0.32398788445680626</v>
      </c>
    </row>
    <row r="82">
      <c r="B82" t="s" s="34">
        <v>484</v>
      </c>
      <c r="C82" s="34"/>
      <c r="D82" s="34"/>
      <c r="E82" s="34"/>
      <c r="F82" s="34"/>
      <c r="G82" s="34"/>
      <c r="H82" s="34"/>
      <c r="I82" s="34"/>
      <c r="J82" s="34"/>
    </row>
    <row r="83">
      <c r="B83" t="s" s="1">
        <v>355</v>
      </c>
      <c r="C83" s="1"/>
      <c r="D83" t="s" s="37">
        <v>376</v>
      </c>
      <c r="E83" t="s" s="37">
        <v>377</v>
      </c>
      <c r="F83" t="s" s="37">
        <v>378</v>
      </c>
      <c r="G83" t="s" s="37">
        <v>379</v>
      </c>
      <c r="H83" t="s" s="37">
        <v>380</v>
      </c>
      <c r="I83" t="s" s="37">
        <v>381</v>
      </c>
      <c r="J83" t="s" s="37">
        <v>502</v>
      </c>
    </row>
    <row r="84">
      <c r="B84" t="s" s="61">
        <v>356</v>
      </c>
      <c r="C84" s="61"/>
      <c r="D84" s="61"/>
      <c r="E84" s="62">
        <v>1</v>
      </c>
      <c r="F84" s="62">
        <v>2</v>
      </c>
      <c r="G84" s="62">
        <v>3</v>
      </c>
      <c r="H84" s="62">
        <v>4</v>
      </c>
      <c r="I84" s="62">
        <v>5</v>
      </c>
      <c r="J84" s="62">
        <v>6</v>
      </c>
    </row>
    <row r="85">
      <c r="B85" t="s" s="9">
        <v>357</v>
      </c>
      <c r="D85" s="15">
        <f>'Debt Schedule'!X115</f>
        <v>2653.5728188751564</v>
      </c>
      <c r="E85" s="11">
        <f t="dataTable" ref="E85:J105" dtr="1" r1="C6"/>
        <v>2653.5728188841626</v>
      </c>
      <c r="F85" s="11">
        <v>2634.7778387035573</v>
      </c>
      <c r="G85" s="11">
        <v>3204.9503500506717</v>
      </c>
      <c r="H85" s="11">
        <v>2810.8436695004734</v>
      </c>
      <c r="I85" s="11">
        <v>2512.8470603330966</v>
      </c>
      <c r="J85" s="11">
        <v>2965.7452777722588</v>
      </c>
    </row>
    <row r="86">
      <c r="B86" t="s" s="9">
        <v>358</v>
      </c>
      <c r="D86" s="15">
        <f>'Debt Schedule'!X117</f>
        <v>2578.5728188751564</v>
      </c>
      <c r="E86" s="11">
        <v>2578.5728188841626</v>
      </c>
      <c r="F86" s="11">
        <v>2559.7778387035573</v>
      </c>
      <c r="G86" s="11">
        <v>3129.9503500506717</v>
      </c>
      <c r="H86" s="11">
        <v>2735.8436695004734</v>
      </c>
      <c r="I86" s="11">
        <v>2437.8470603330966</v>
      </c>
      <c r="J86" s="11">
        <v>2890.7452777722588</v>
      </c>
    </row>
    <row r="87">
      <c r="B87" t="s" s="9">
        <v>359</v>
      </c>
      <c r="D87" s="55">
        <f>'Debt Schedule'!X118</f>
        <v>5.493624689554232</v>
      </c>
      <c r="E87" s="22">
        <v>5.493624689572877</v>
      </c>
      <c r="F87" s="22">
        <v>5.454713917490269</v>
      </c>
      <c r="G87" s="22">
        <v>6.076952354157664</v>
      </c>
      <c r="H87" s="22">
        <v>5.819218553719859</v>
      </c>
      <c r="I87" s="22">
        <v>5.202283711050156</v>
      </c>
      <c r="J87" s="22">
        <v>6.139907435366703</v>
      </c>
    </row>
    <row r="88">
      <c r="B88" t="s" s="9">
        <v>360</v>
      </c>
      <c r="D88" s="55">
        <f>'Debt Schedule'!X119</f>
        <v>5.338354086544655</v>
      </c>
      <c r="E88" s="22">
        <v>5.3383540865633</v>
      </c>
      <c r="F88" s="22">
        <v>5.299443314480692</v>
      </c>
      <c r="G88" s="22">
        <v>5.934743777804955</v>
      </c>
      <c r="H88" s="22">
        <v>5.663947950710282</v>
      </c>
      <c r="I88" s="22">
        <v>5.047013108040579</v>
      </c>
      <c r="J88" s="22">
        <v>5.984636832357126</v>
      </c>
    </row>
    <row r="89">
      <c r="B89" t="s" s="9">
        <v>471</v>
      </c>
      <c r="D89" s="55">
        <f>'Debt Schedule'!U119</f>
        <v>7.479060551535004</v>
      </c>
      <c r="E89" s="22">
        <v>7.479060551534863</v>
      </c>
      <c r="F89" s="22">
        <v>7.447585997162972</v>
      </c>
      <c r="G89" s="22">
        <v>8.133961052528136</v>
      </c>
      <c r="H89" s="22">
        <v>7.599254898937876</v>
      </c>
      <c r="I89" s="22">
        <v>7.361575537879275</v>
      </c>
      <c r="J89" s="22">
        <v>7.721010266353819</v>
      </c>
    </row>
    <row r="90">
      <c r="B90" t="s" s="9">
        <v>362</v>
      </c>
      <c r="D90" s="55">
        <f>MAX('Debt Schedule'!T119:Y119)</f>
        <v>8.503661902642735</v>
      </c>
      <c r="E90" s="22">
        <v>8.503661902642735</v>
      </c>
      <c r="F90" s="22">
        <v>8.492056350990033</v>
      </c>
      <c r="G90" s="22">
        <v>8.503661902642806</v>
      </c>
      <c r="H90" s="22">
        <v>8.54836779398688</v>
      </c>
      <c r="I90" s="22">
        <v>8.45956153979285</v>
      </c>
      <c r="J90" s="22">
        <v>8.593311032306081</v>
      </c>
    </row>
    <row r="91">
      <c r="B91" t="s" s="9">
        <v>472</v>
      </c>
      <c r="D91" s="55">
        <f>MIN('Credit Stats'!D118:I118)</f>
        <v>1.9558069930890052</v>
      </c>
      <c r="E91" s="22">
        <v>1.9558069930890054</v>
      </c>
      <c r="F91" s="22">
        <v>1.4167607475536663</v>
      </c>
      <c r="G91" s="22">
        <v>1.8911700338210242</v>
      </c>
      <c r="H91" s="22">
        <v>1.6665843717368738</v>
      </c>
      <c r="I91" s="22">
        <v>2.3574900176587708</v>
      </c>
      <c r="J91" s="22">
        <v>1.4509161001899873</v>
      </c>
    </row>
    <row r="92">
      <c r="B92" t="s" s="9">
        <v>473</v>
      </c>
      <c r="D92" s="55">
        <f>MIN('Credit Stats'!D119:I119)</f>
        <v>1.3731579980567168</v>
      </c>
      <c r="E92" s="22">
        <v>1.3731579980567168</v>
      </c>
      <c r="F92" s="22">
        <v>1.4167607475536663</v>
      </c>
      <c r="G92" s="22">
        <v>1.3731579980567155</v>
      </c>
      <c r="H92" s="22">
        <v>1.224020099718537</v>
      </c>
      <c r="I92" s="22">
        <v>1.5597451697098397</v>
      </c>
      <c r="J92" s="22">
        <v>1.1035455113897397</v>
      </c>
    </row>
    <row r="93">
      <c r="B93" t="s" s="9">
        <v>474</v>
      </c>
      <c r="D93" s="55">
        <f>MIN('Credit Stats'!D123:I123)</f>
        <v>1.824492499186789</v>
      </c>
      <c r="E93" s="22">
        <v>1.8244924991867895</v>
      </c>
      <c r="F93" s="22">
        <v>1.3216382629716366</v>
      </c>
      <c r="G93" s="22">
        <v>1.7754675435965364</v>
      </c>
      <c r="H93" s="22">
        <v>1.554688523070169</v>
      </c>
      <c r="I93" s="22">
        <v>2.1992061943355665</v>
      </c>
      <c r="J93" s="22">
        <v>1.3535003970739514</v>
      </c>
    </row>
    <row r="94">
      <c r="B94" t="s" s="9">
        <v>366</v>
      </c>
      <c r="D94" s="15">
        <f>SUM('Debt Schedule'!T100:X100)</f>
        <v>865.8911114593957</v>
      </c>
      <c r="E94" s="11">
        <v>865.8911114600147</v>
      </c>
      <c r="F94" s="11">
        <v>982.9816378885374</v>
      </c>
      <c r="G94" s="11">
        <v>999.623658248056</v>
      </c>
      <c r="H94" s="11">
        <v>1023.8988419433656</v>
      </c>
      <c r="I94" s="11">
        <v>723.1828914580167</v>
      </c>
      <c r="J94" s="11">
        <v>1182.1888064711102</v>
      </c>
    </row>
    <row r="95">
      <c r="B95" t="s" s="9">
        <v>367</v>
      </c>
      <c r="D95" s="15">
        <f>SUM('Debt Schedule'!T101:X101)</f>
        <v>135.885506904965</v>
      </c>
      <c r="E95" s="11">
        <v>135.88550690496152</v>
      </c>
      <c r="F95" s="11">
        <v>0</v>
      </c>
      <c r="G95" s="11">
        <v>150.15382461169</v>
      </c>
      <c r="H95" s="11">
        <v>138.53698321941698</v>
      </c>
      <c r="I95" s="11">
        <v>134.690832210514</v>
      </c>
      <c r="J95" s="11">
        <v>138.53698321941727</v>
      </c>
    </row>
    <row r="96">
      <c r="B96" t="s" s="9">
        <v>475</v>
      </c>
      <c r="D96" s="15">
        <f>MIN('Credit Stats'!D109:I109)</f>
        <v>75</v>
      </c>
      <c r="E96" s="11">
        <v>75</v>
      </c>
      <c r="F96" s="11">
        <v>74.99999999828604</v>
      </c>
      <c r="G96" s="11">
        <v>74.99999999998427</v>
      </c>
      <c r="H96" s="11">
        <v>74.99999996829287</v>
      </c>
      <c r="I96" s="11">
        <v>75</v>
      </c>
      <c r="J96" s="11">
        <v>74.99999943992208</v>
      </c>
    </row>
    <row r="97">
      <c r="B97" t="s" s="9">
        <v>370</v>
      </c>
      <c r="D97" s="15">
        <f>MAX('Credit Stats'!D128:I128)</f>
        <v>2.809493263308953</v>
      </c>
      <c r="E97" s="11">
        <v>2.8094932633086014</v>
      </c>
      <c r="F97" s="11">
        <v>62.36343415616996</v>
      </c>
      <c r="G97" s="11">
        <v>2.8094932633145344</v>
      </c>
      <c r="H97" s="11">
        <v>16.809498148646536</v>
      </c>
      <c r="I97" s="11">
        <v>0</v>
      </c>
      <c r="J97" s="11">
        <v>127.20829482467572</v>
      </c>
    </row>
    <row r="98">
      <c r="B98" t="s" s="9">
        <v>476</v>
      </c>
      <c r="D98" s="27">
        <f>COUNTIF('Credit Stats'!D134:I134,"No")</f>
        <v>1</v>
      </c>
      <c r="E98" s="16">
        <v>1</v>
      </c>
      <c r="F98" s="16">
        <v>1</v>
      </c>
      <c r="G98" s="16">
        <v>2</v>
      </c>
      <c r="H98" s="16">
        <v>2</v>
      </c>
      <c r="I98" s="16">
        <v>1</v>
      </c>
      <c r="J98" s="16">
        <v>2</v>
      </c>
    </row>
    <row r="99">
      <c r="B99" t="s" s="9">
        <v>477</v>
      </c>
      <c r="D99" s="27">
        <f>COUNTIF('Credit Stats'!D139:F139,"No")</f>
        <v>1</v>
      </c>
      <c r="E99" s="16">
        <v>1</v>
      </c>
      <c r="F99" s="16">
        <v>1</v>
      </c>
      <c r="G99" s="16">
        <v>2</v>
      </c>
      <c r="H99" s="16">
        <v>1</v>
      </c>
      <c r="I99" s="16">
        <v>1</v>
      </c>
      <c r="J99" s="16">
        <v>1</v>
      </c>
    </row>
    <row r="100">
      <c r="B100" t="s" s="9">
        <v>478</v>
      </c>
      <c r="D100" s="27">
        <f>COUNTIF('Credit Stats'!D144:I144,"Tested")</f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</row>
    <row r="101">
      <c r="B101" t="s" s="9">
        <v>479</v>
      </c>
      <c r="D101" s="29">
        <f>MIN('Credit Stats'!D149:I149)</f>
        <v>0.4330892064904843</v>
      </c>
      <c r="E101" s="25">
        <v>0.4330892064904843</v>
      </c>
      <c r="F101" s="25">
        <v>0.4338629099339978</v>
      </c>
      <c r="G101" s="25">
        <v>0.43308920649047955</v>
      </c>
      <c r="H101" s="25">
        <v>0.43010881373420795</v>
      </c>
      <c r="I101" s="25">
        <v>0.4360292306804767</v>
      </c>
      <c r="J101" s="25">
        <v>0.4271125978462612</v>
      </c>
    </row>
    <row r="102">
      <c r="B102" t="s" s="9">
        <v>480</v>
      </c>
      <c r="D102" s="55">
        <f>'Debt Schedule'!X131</f>
        <v>1.98239558864631</v>
      </c>
      <c r="E102" s="22">
        <v>1.9823955886447402</v>
      </c>
      <c r="F102" s="22">
        <v>1.9856716694173693</v>
      </c>
      <c r="G102" s="22">
        <v>2.013887912424875</v>
      </c>
      <c r="H102" s="22">
        <v>1.954982311011662</v>
      </c>
      <c r="I102" s="22">
        <v>2.0069249548570305</v>
      </c>
      <c r="J102" s="22">
        <v>1.9279820069074736</v>
      </c>
    </row>
    <row r="103">
      <c r="B103" t="s" s="63">
        <v>481</v>
      </c>
      <c r="C103" s="1"/>
      <c r="D103" s="83">
        <f>'Debt Schedule'!X132</f>
        <v>0.16343493834633205</v>
      </c>
      <c r="E103" s="52">
        <v>0.1634349383461282</v>
      </c>
      <c r="F103" s="52">
        <v>0.1638599844232025</v>
      </c>
      <c r="G103" s="52">
        <v>0.16749839602691874</v>
      </c>
      <c r="H103" s="52">
        <v>0.15985666772404317</v>
      </c>
      <c r="I103" s="52">
        <v>0.16660424851720101</v>
      </c>
      <c r="J103" s="52">
        <v>0.1562938990774354</v>
      </c>
    </row>
    <row r="104">
      <c r="B104" t="s" s="9">
        <v>482</v>
      </c>
      <c r="D104" s="55">
        <f>'Debt Schedule'!X167</f>
        <v>1.8257533754967576</v>
      </c>
      <c r="E104" s="22">
        <v>1.825753375495188</v>
      </c>
      <c r="F104" s="22">
        <v>1.8290294562678169</v>
      </c>
      <c r="G104" s="22">
        <v>1.8572456992753232</v>
      </c>
      <c r="H104" s="22">
        <v>1.7983400978621098</v>
      </c>
      <c r="I104" s="22">
        <v>1.850282741707478</v>
      </c>
      <c r="J104" s="22">
        <v>1.7713397937579214</v>
      </c>
    </row>
    <row r="105">
      <c r="B105" t="s" s="63">
        <v>483</v>
      </c>
      <c r="C105" s="1"/>
      <c r="D105" s="83">
        <f>'Debt Schedule'!X168</f>
        <v>0.14244200888378455</v>
      </c>
      <c r="E105" s="52">
        <v>0.14244200888356717</v>
      </c>
      <c r="F105" s="52">
        <v>0.14289516968949711</v>
      </c>
      <c r="G105" s="52">
        <v>0.14677221451834033</v>
      </c>
      <c r="H105" s="52">
        <v>0.1386250592729834</v>
      </c>
      <c r="I105" s="52">
        <v>0.14581975740312636</v>
      </c>
      <c r="J105" s="52">
        <v>0.13482105632121888</v>
      </c>
    </row>
    <row r="107">
      <c r="B107" t="s" s="34">
        <v>485</v>
      </c>
      <c r="C107" s="34"/>
      <c r="D107" s="34"/>
      <c r="E107" s="34"/>
      <c r="F107" s="34"/>
      <c r="G107" s="34"/>
      <c r="H107" s="34"/>
      <c r="I107" s="34"/>
    </row>
    <row r="108">
      <c r="B108" t="s" s="4">
        <v>486</v>
      </c>
      <c r="C108" t="s" s="5">
        <v>497</v>
      </c>
      <c r="D108" s="39">
        <f>'Debt Schedule'!T6</f>
        <v>46387</v>
      </c>
      <c r="E108" s="39">
        <f>'Debt Schedule'!U6</f>
        <v>46752</v>
      </c>
      <c r="F108" s="39">
        <f>'Debt Schedule'!V6</f>
        <v>47118</v>
      </c>
      <c r="G108" s="39">
        <f>'Debt Schedule'!W6</f>
        <v>47483</v>
      </c>
      <c r="H108" s="39">
        <f>'Debt Schedule'!X6</f>
        <v>47848</v>
      </c>
      <c r="I108" s="39">
        <f>'Debt Schedule'!Y6</f>
        <v>48213</v>
      </c>
    </row>
    <row r="109">
      <c r="B109" t="s" s="81">
        <v>324</v>
      </c>
      <c r="C109" s="84"/>
      <c r="D109" s="85">
        <f>'Credit Stats'!D108</f>
        <v>2737.989252664915</v>
      </c>
      <c r="E109" s="85">
        <f>'Credit Stats'!E108</f>
        <v>2773.7206130538757</v>
      </c>
      <c r="F109" s="85">
        <f>'Credit Stats'!F108</f>
        <v>2771.3685964586716</v>
      </c>
      <c r="G109" s="85">
        <f>'Credit Stats'!G108</f>
        <v>2728.0869267262037</v>
      </c>
      <c r="H109" s="85">
        <f>'Credit Stats'!H108</f>
        <v>2653.5728188751564</v>
      </c>
      <c r="I109" s="85">
        <f>'Credit Stats'!I108</f>
        <v>2545.0064194545826</v>
      </c>
    </row>
    <row r="110">
      <c r="B110" t="s" s="9">
        <v>487</v>
      </c>
      <c r="C110" s="18">
        <v>1</v>
      </c>
      <c r="D110" s="11">
        <f t="dataTable" ref="D110:I112" r1="C6"/>
        <v>2737.9892526649146</v>
      </c>
      <c r="E110" s="11">
        <v>2773.7206130538248</v>
      </c>
      <c r="F110" s="11">
        <v>2771.3685964585525</v>
      </c>
      <c r="G110" s="11">
        <v>2728.086926726352</v>
      </c>
      <c r="H110" s="11">
        <v>2653.5728188841626</v>
      </c>
      <c r="I110" s="11">
        <v>2545.0064194715264</v>
      </c>
    </row>
    <row r="111">
      <c r="B111" t="s" s="9">
        <v>488</v>
      </c>
      <c r="C111" s="18">
        <v>2</v>
      </c>
      <c r="D111" s="11">
        <v>2734.354882004812</v>
      </c>
      <c r="E111" s="11">
        <v>2762.36343415617</v>
      </c>
      <c r="F111" s="11">
        <v>2755.374647920774</v>
      </c>
      <c r="G111" s="11">
        <v>2710.7123330436516</v>
      </c>
      <c r="H111" s="11">
        <v>2634.7778387035573</v>
      </c>
      <c r="I111" s="11">
        <v>2524.69002240326</v>
      </c>
    </row>
    <row r="112">
      <c r="B112" t="s" s="9">
        <v>489</v>
      </c>
      <c r="C112" s="18">
        <v>6</v>
      </c>
      <c r="D112" s="11">
        <v>2766.0635895256096</v>
      </c>
      <c r="E112" s="11">
        <v>2861.0249848001413</v>
      </c>
      <c r="F112" s="11">
        <v>2932.0834333628736</v>
      </c>
      <c r="G112" s="11">
        <v>2961.572896371296</v>
      </c>
      <c r="H112" s="11">
        <v>2965.745277714393</v>
      </c>
      <c r="I112" s="11">
        <v>2942.0572810109534</v>
      </c>
    </row>
    <row r="113">
      <c r="B113" t="s" s="81">
        <v>393</v>
      </c>
      <c r="C113" s="84"/>
      <c r="D113" s="85">
        <f>'Credit Stats'!D110</f>
        <v>2662.989252664914</v>
      </c>
      <c r="E113" s="85">
        <f>'Credit Stats'!E110</f>
        <v>2698.7206130538757</v>
      </c>
      <c r="F113" s="85">
        <f>'Credit Stats'!F110</f>
        <v>2696.3685964586716</v>
      </c>
      <c r="G113" s="85">
        <f>'Credit Stats'!G110</f>
        <v>2653.0869267262037</v>
      </c>
      <c r="H113" s="85">
        <f>'Credit Stats'!H110</f>
        <v>2578.5728188751564</v>
      </c>
      <c r="I113" s="85">
        <f>'Credit Stats'!I110</f>
        <v>2470.0064194545826</v>
      </c>
    </row>
    <row r="114">
      <c r="B114" t="s" s="9">
        <v>487</v>
      </c>
      <c r="C114" s="18">
        <v>1</v>
      </c>
      <c r="D114" s="11">
        <f t="dataTable" ref="D114:I116" r1="C6"/>
        <v>2662.989252664914</v>
      </c>
      <c r="E114" s="11">
        <v>2698.7206130538248</v>
      </c>
      <c r="F114" s="11">
        <v>2696.3685964585525</v>
      </c>
      <c r="G114" s="11">
        <v>2653.086926726352</v>
      </c>
      <c r="H114" s="11">
        <v>2578.5728188841626</v>
      </c>
      <c r="I114" s="11">
        <v>2470.0064194715264</v>
      </c>
    </row>
    <row r="115">
      <c r="B115" t="s" s="9">
        <v>488</v>
      </c>
      <c r="C115" s="18">
        <v>2</v>
      </c>
      <c r="D115" s="11">
        <v>2659.354882004812</v>
      </c>
      <c r="E115" s="11">
        <v>2687.363434156179</v>
      </c>
      <c r="F115" s="11">
        <v>2680.374647922488</v>
      </c>
      <c r="G115" s="11">
        <v>2635.7123330436516</v>
      </c>
      <c r="H115" s="11">
        <v>2559.7778387035573</v>
      </c>
      <c r="I115" s="11">
        <v>2449.69002240326</v>
      </c>
    </row>
    <row r="116">
      <c r="B116" t="s" s="9">
        <v>489</v>
      </c>
      <c r="C116" s="18">
        <v>6</v>
      </c>
      <c r="D116" s="11">
        <v>2691.0635895256096</v>
      </c>
      <c r="E116" s="11">
        <v>2786.0249848001413</v>
      </c>
      <c r="F116" s="11">
        <v>2857.083433362878</v>
      </c>
      <c r="G116" s="11">
        <v>2886.5728963717625</v>
      </c>
      <c r="H116" s="11">
        <v>2890.745277714393</v>
      </c>
      <c r="I116" s="11">
        <v>2867.0572810109534</v>
      </c>
    </row>
    <row r="117">
      <c r="B117" t="s" s="81">
        <v>298</v>
      </c>
      <c r="C117" s="84"/>
      <c r="D117" s="86">
        <f>'Credit Stats'!D112</f>
        <v>8.743157665556527</v>
      </c>
      <c r="E117" s="86">
        <f>'Credit Stats'!E112</f>
        <v>7.686910722705697</v>
      </c>
      <c r="F117" s="86">
        <f>'Credit Stats'!F112</f>
        <v>6.883445622247265</v>
      </c>
      <c r="G117" s="86">
        <f>'Credit Stats'!G112</f>
        <v>6.130644032883715</v>
      </c>
      <c r="H117" s="86">
        <f>'Credit Stats'!H112</f>
        <v>5.493624689554232</v>
      </c>
      <c r="I117" s="86">
        <f>'Credit Stats'!I112</f>
        <v>4.882422591667215</v>
      </c>
    </row>
    <row r="118">
      <c r="B118" t="s" s="9">
        <v>487</v>
      </c>
      <c r="C118" s="18">
        <v>1</v>
      </c>
      <c r="D118" s="22">
        <f t="dataTable" ref="D118:I120" r1="C6"/>
        <v>8.743157665556526</v>
      </c>
      <c r="E118" s="22">
        <v>7.686910722705556</v>
      </c>
      <c r="F118" s="22">
        <v>6.8834456222469695</v>
      </c>
      <c r="G118" s="22">
        <v>6.130644032884048</v>
      </c>
      <c r="H118" s="22">
        <v>5.493624689572877</v>
      </c>
      <c r="I118" s="22">
        <v>4.882422591699721</v>
      </c>
    </row>
    <row r="119">
      <c r="B119" t="s" s="9">
        <v>488</v>
      </c>
      <c r="C119" s="18">
        <v>2</v>
      </c>
      <c r="D119" s="22">
        <v>8.731552113903822</v>
      </c>
      <c r="E119" s="22">
        <v>7.65543616833364</v>
      </c>
      <c r="F119" s="22">
        <v>6.843720312814836</v>
      </c>
      <c r="G119" s="22">
        <v>6.0915992912956805</v>
      </c>
      <c r="H119" s="22">
        <v>5.454713917490269</v>
      </c>
      <c r="I119" s="22">
        <v>4.843446958762558</v>
      </c>
    </row>
    <row r="120">
      <c r="B120" t="s" s="9">
        <v>489</v>
      </c>
      <c r="C120" s="18">
        <v>6</v>
      </c>
      <c r="D120" s="22">
        <v>8.83280679521987</v>
      </c>
      <c r="E120" s="22">
        <v>7.928860437524512</v>
      </c>
      <c r="F120" s="22">
        <v>7.282624512392747</v>
      </c>
      <c r="G120" s="22">
        <v>6.655341157650374</v>
      </c>
      <c r="H120" s="22">
        <v>6.139907435246905</v>
      </c>
      <c r="I120" s="22">
        <v>5.644137800589639</v>
      </c>
    </row>
    <row r="121">
      <c r="B121" t="s" s="81">
        <v>350</v>
      </c>
      <c r="C121" s="84"/>
      <c r="D121" s="86">
        <f>'Credit Stats'!D114</f>
        <v>8.503661902642735</v>
      </c>
      <c r="E121" s="86">
        <f>'Credit Stats'!E114</f>
        <v>7.479060551535004</v>
      </c>
      <c r="F121" s="86">
        <f>'Credit Stats'!F114</f>
        <v>6.697162779059884</v>
      </c>
      <c r="G121" s="86">
        <f>'Credit Stats'!G114</f>
        <v>5.96210163859203</v>
      </c>
      <c r="H121" s="86">
        <f>'Credit Stats'!H114</f>
        <v>5.338354086544655</v>
      </c>
      <c r="I121" s="86">
        <f>'Credit Stats'!I114</f>
        <v>4.738540167019533</v>
      </c>
    </row>
    <row r="122">
      <c r="B122" t="s" s="9">
        <v>487</v>
      </c>
      <c r="C122" s="18">
        <v>1</v>
      </c>
      <c r="D122" s="22">
        <f t="dataTable" ref="D122:I124" r1="C6"/>
        <v>8.503661902642735</v>
      </c>
      <c r="E122" s="22">
        <v>7.479060551534863</v>
      </c>
      <c r="F122" s="22">
        <v>6.697162779059588</v>
      </c>
      <c r="G122" s="22">
        <v>5.962101638592363</v>
      </c>
      <c r="H122" s="22">
        <v>5.3383540865633</v>
      </c>
      <c r="I122" s="22">
        <v>4.738540167052038</v>
      </c>
    </row>
    <row r="123">
      <c r="B123" t="s" s="9">
        <v>488</v>
      </c>
      <c r="C123" s="18">
        <v>2</v>
      </c>
      <c r="D123" s="22">
        <v>8.492056350990033</v>
      </c>
      <c r="E123" s="22">
        <v>7.447585997162972</v>
      </c>
      <c r="F123" s="22">
        <v>6.657437469631711</v>
      </c>
      <c r="G123" s="22">
        <v>5.923056897003995</v>
      </c>
      <c r="H123" s="22">
        <v>5.299443314480692</v>
      </c>
      <c r="I123" s="22">
        <v>4.699564534114876</v>
      </c>
    </row>
    <row r="124">
      <c r="B124" t="s" s="9">
        <v>489</v>
      </c>
      <c r="C124" s="18">
        <v>6</v>
      </c>
      <c r="D124" s="22">
        <v>8.593311032306081</v>
      </c>
      <c r="E124" s="22">
        <v>7.721010266353819</v>
      </c>
      <c r="F124" s="22">
        <v>7.096341669205376</v>
      </c>
      <c r="G124" s="22">
        <v>6.4867987633597375</v>
      </c>
      <c r="H124" s="22">
        <v>5.984636832237328</v>
      </c>
      <c r="I124" s="22">
        <v>5.500255375941957</v>
      </c>
    </row>
    <row r="125">
      <c r="B125" t="s" s="81">
        <v>335</v>
      </c>
      <c r="C125" s="84"/>
      <c r="D125" s="86">
        <f>'Credit Stats'!D118</f>
        <v>1.9558069930890052</v>
      </c>
      <c r="E125" s="86">
        <f>'Credit Stats'!E118</f>
        <v>2.1904408903875803</v>
      </c>
      <c r="F125" s="86">
        <f>'Credit Stats'!F118</f>
        <v>2.0823226376960244</v>
      </c>
      <c r="G125" s="86">
        <f>'Credit Stats'!G118</f>
        <v>2.0722229831046843</v>
      </c>
      <c r="H125" s="86">
        <f>'Credit Stats'!H118</f>
        <v>2.2983909239116187</v>
      </c>
      <c r="I125" s="86">
        <f>'Credit Stats'!I118</f>
        <v>2.567307152621318</v>
      </c>
    </row>
    <row r="126">
      <c r="B126" t="s" s="9">
        <v>487</v>
      </c>
      <c r="C126" s="18">
        <v>1</v>
      </c>
      <c r="D126" s="22">
        <f t="dataTable" ref="D126:I128" r1="C6"/>
        <v>1.9558069930890054</v>
      </c>
      <c r="E126" s="22">
        <v>2.1904408903876</v>
      </c>
      <c r="F126" s="22">
        <v>2.0823226376960964</v>
      </c>
      <c r="G126" s="22">
        <v>2.0722229831047647</v>
      </c>
      <c r="H126" s="22">
        <v>2.298390923904668</v>
      </c>
      <c r="I126" s="22">
        <v>2.5673071526024787</v>
      </c>
    </row>
    <row r="127">
      <c r="B127" t="s" s="9">
        <v>488</v>
      </c>
      <c r="C127" s="18">
        <v>2</v>
      </c>
      <c r="D127" s="22">
        <v>1.4167607475536663</v>
      </c>
      <c r="E127" s="22">
        <v>1.5975353218507784</v>
      </c>
      <c r="F127" s="22">
        <v>1.8254479714237297</v>
      </c>
      <c r="G127" s="22">
        <v>2.08563222237443</v>
      </c>
      <c r="H127" s="22">
        <v>2.314030595716356</v>
      </c>
      <c r="I127" s="22">
        <v>2.586690168513358</v>
      </c>
    </row>
    <row r="128">
      <c r="B128" t="s" s="9">
        <v>489</v>
      </c>
      <c r="C128" s="18">
        <v>6</v>
      </c>
      <c r="D128" s="22">
        <v>1.4509161001899873</v>
      </c>
      <c r="E128" s="22">
        <v>1.6031581981295078</v>
      </c>
      <c r="F128" s="22">
        <v>1.5136354635491531</v>
      </c>
      <c r="G128" s="22">
        <v>1.53969801102752</v>
      </c>
      <c r="H128" s="22">
        <v>1.663630387203006</v>
      </c>
      <c r="I128" s="22">
        <v>1.801073877970492</v>
      </c>
    </row>
    <row r="129">
      <c r="B129" t="s" s="81">
        <v>336</v>
      </c>
      <c r="C129" s="84"/>
      <c r="D129" s="86">
        <f>'Credit Stats'!D119</f>
        <v>1.3731579980567168</v>
      </c>
      <c r="E129" s="86">
        <f>'Credit Stats'!E119</f>
        <v>1.5447194493881184</v>
      </c>
      <c r="F129" s="86">
        <f>'Credit Stats'!F119</f>
        <v>1.7878615941139075</v>
      </c>
      <c r="G129" s="86">
        <f>'Credit Stats'!G119</f>
        <v>2.0722229831046843</v>
      </c>
      <c r="H129" s="86">
        <f>'Credit Stats'!H119</f>
        <v>2.2983909239116187</v>
      </c>
      <c r="I129" s="86">
        <f>'Credit Stats'!I119</f>
        <v>2.567307152621318</v>
      </c>
    </row>
    <row r="130">
      <c r="B130" t="s" s="9">
        <v>487</v>
      </c>
      <c r="C130" s="18">
        <v>1</v>
      </c>
      <c r="D130" s="22">
        <f t="dataTable" ref="D130:I132" r1="C6"/>
        <v>1.3731579980567168</v>
      </c>
      <c r="E130" s="22">
        <v>1.5447194493881344</v>
      </c>
      <c r="F130" s="22">
        <v>1.7878615941139808</v>
      </c>
      <c r="G130" s="22">
        <v>2.0722229831047647</v>
      </c>
      <c r="H130" s="22">
        <v>2.298390923904668</v>
      </c>
      <c r="I130" s="22">
        <v>2.5673071526024787</v>
      </c>
    </row>
    <row r="131">
      <c r="B131" t="s" s="9">
        <v>488</v>
      </c>
      <c r="C131" s="18">
        <v>2</v>
      </c>
      <c r="D131" s="22">
        <v>1.4167607475536663</v>
      </c>
      <c r="E131" s="22">
        <v>1.5975353218507784</v>
      </c>
      <c r="F131" s="22">
        <v>1.8254479714237297</v>
      </c>
      <c r="G131" s="22">
        <v>2.08563222237443</v>
      </c>
      <c r="H131" s="22">
        <v>2.314030595716356</v>
      </c>
      <c r="I131" s="22">
        <v>2.586690168513358</v>
      </c>
    </row>
    <row r="132">
      <c r="B132" t="s" s="9">
        <v>489</v>
      </c>
      <c r="C132" s="18">
        <v>6</v>
      </c>
      <c r="D132" s="22">
        <v>1.1035455113897397</v>
      </c>
      <c r="E132" s="22">
        <v>1.2259859204909005</v>
      </c>
      <c r="F132" s="22">
        <v>1.341583405874213</v>
      </c>
      <c r="G132" s="22">
        <v>1.53969801102752</v>
      </c>
      <c r="H132" s="22">
        <v>1.663630387203006</v>
      </c>
      <c r="I132" s="22">
        <v>1.801073877970492</v>
      </c>
    </row>
    <row r="133">
      <c r="B133" t="s" s="81">
        <v>459</v>
      </c>
      <c r="C133" s="84"/>
      <c r="D133" s="85">
        <f>'Credit Stats'!D128</f>
        <v>2.809493263308953</v>
      </c>
      <c r="E133" s="85">
        <f>'Credit Stats'!E128</f>
        <v>0</v>
      </c>
      <c r="F133" s="85">
        <f>'Credit Stats'!F128</f>
        <v>0</v>
      </c>
      <c r="G133" s="85">
        <f>'Credit Stats'!G128</f>
        <v>0</v>
      </c>
      <c r="H133" s="85">
        <f>'Credit Stats'!H128</f>
        <v>0</v>
      </c>
      <c r="I133" s="85">
        <f>'Credit Stats'!I128</f>
        <v>0</v>
      </c>
    </row>
    <row r="134">
      <c r="B134" t="s" s="9">
        <v>487</v>
      </c>
      <c r="C134" s="18">
        <v>1</v>
      </c>
      <c r="D134" s="11">
        <f t="dataTable" ref="D134:I136" r1="C6"/>
        <v>2.8094932633086014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</row>
    <row r="135">
      <c r="B135" t="s" s="9">
        <v>488</v>
      </c>
      <c r="C135" s="18">
        <v>2</v>
      </c>
      <c r="D135" s="11">
        <v>34.354882004812005</v>
      </c>
      <c r="E135" s="11">
        <v>62.36343415616996</v>
      </c>
      <c r="F135" s="11">
        <v>55.37464792077409</v>
      </c>
      <c r="G135" s="11">
        <v>10.712333085712636</v>
      </c>
      <c r="H135" s="11">
        <v>0</v>
      </c>
      <c r="I135" s="11">
        <v>0</v>
      </c>
    </row>
    <row r="136">
      <c r="B136" t="s" s="9">
        <v>489</v>
      </c>
      <c r="C136" s="18">
        <v>6</v>
      </c>
      <c r="D136" s="11">
        <v>30.883830124003424</v>
      </c>
      <c r="E136" s="11">
        <v>56.60016819849432</v>
      </c>
      <c r="F136" s="11">
        <v>93.54645014345569</v>
      </c>
      <c r="G136" s="11">
        <v>123.03591315187961</v>
      </c>
      <c r="H136" s="11">
        <v>127.20829464277406</v>
      </c>
      <c r="I136" s="11">
        <v>103.5203009357374</v>
      </c>
    </row>
    <row r="137">
      <c r="B137" t="s" s="81">
        <v>460</v>
      </c>
      <c r="C137" s="84"/>
      <c r="D137" s="85">
        <f>'Credit Stats'!D129</f>
        <v>2.809493263308953</v>
      </c>
      <c r="E137" s="85">
        <f>'Credit Stats'!E129</f>
        <v>2.809493263308953</v>
      </c>
      <c r="F137" s="85">
        <f>'Credit Stats'!F129</f>
        <v>2.809493263308953</v>
      </c>
      <c r="G137" s="85">
        <f>'Credit Stats'!G129</f>
        <v>2.809493263308953</v>
      </c>
      <c r="H137" s="85">
        <f>'Credit Stats'!H129</f>
        <v>2.809493263308953</v>
      </c>
      <c r="I137" s="85">
        <f>'Credit Stats'!I129</f>
        <v>2.809493263308953</v>
      </c>
    </row>
    <row r="138">
      <c r="B138" t="s" s="9">
        <v>487</v>
      </c>
      <c r="C138" s="18">
        <v>1</v>
      </c>
      <c r="D138" s="11">
        <f t="dataTable" ref="D138:I140" r1="C6"/>
        <v>2.8094932633086014</v>
      </c>
      <c r="E138" s="11">
        <v>2.8094932633086014</v>
      </c>
      <c r="F138" s="11">
        <v>2.8094932633086014</v>
      </c>
      <c r="G138" s="11">
        <v>2.8094932633086014</v>
      </c>
      <c r="H138" s="11">
        <v>2.8094932633086014</v>
      </c>
      <c r="I138" s="11">
        <v>2.8094932633086014</v>
      </c>
    </row>
    <row r="139">
      <c r="B139" t="s" s="9">
        <v>488</v>
      </c>
      <c r="C139" s="18">
        <v>2</v>
      </c>
      <c r="D139" s="11">
        <v>34.354882004812005</v>
      </c>
      <c r="E139" s="11">
        <v>62.36343415616996</v>
      </c>
      <c r="F139" s="11">
        <v>62.36343415616996</v>
      </c>
      <c r="G139" s="11">
        <v>62.36343415616996</v>
      </c>
      <c r="H139" s="11">
        <v>62.36343415616996</v>
      </c>
      <c r="I139" s="11">
        <v>62.36343415616996</v>
      </c>
    </row>
    <row r="140">
      <c r="B140" t="s" s="9">
        <v>489</v>
      </c>
      <c r="C140" s="18">
        <v>6</v>
      </c>
      <c r="D140" s="11">
        <v>30.883830124003424</v>
      </c>
      <c r="E140" s="11">
        <v>56.60016819849432</v>
      </c>
      <c r="F140" s="11">
        <v>93.54645014345569</v>
      </c>
      <c r="G140" s="11">
        <v>123.03591315187961</v>
      </c>
      <c r="H140" s="11">
        <v>127.20829464277406</v>
      </c>
      <c r="I140" s="11">
        <v>127.20829464277406</v>
      </c>
    </row>
    <row r="141">
      <c r="B141" t="s" s="81">
        <v>461</v>
      </c>
      <c r="C141" s="84"/>
      <c r="D141" s="85">
        <f>'Credit Stats'!D130</f>
        <v>0.0000000000006963318810448982</v>
      </c>
      <c r="E141" s="85">
        <f>'Credit Stats'!E130</f>
        <v>0</v>
      </c>
      <c r="F141" s="85">
        <f>'Credit Stats'!F130</f>
        <v>0</v>
      </c>
      <c r="G141" s="85">
        <f>'Credit Stats'!G130</f>
        <v>0</v>
      </c>
      <c r="H141" s="85">
        <f>'Credit Stats'!H130</f>
        <v>0</v>
      </c>
      <c r="I141" s="85">
        <f>'Credit Stats'!I130</f>
        <v>0</v>
      </c>
    </row>
    <row r="142">
      <c r="B142" t="s" s="9">
        <v>487</v>
      </c>
      <c r="C142" s="18">
        <v>1</v>
      </c>
      <c r="D142" s="11">
        <f t="dataTable" ref="D142:I144" r1="C6"/>
        <v>0.0000000000003552713678800501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</row>
    <row r="143">
      <c r="B143" t="s" s="9">
        <v>488</v>
      </c>
      <c r="C143" s="18">
        <v>2</v>
      </c>
      <c r="D143" s="11">
        <v>0</v>
      </c>
      <c r="E143" s="11">
        <v>-0.000000000009237055564881302</v>
      </c>
      <c r="F143" s="11">
        <v>-0.0000000017139569763457985</v>
      </c>
      <c r="G143" s="11">
        <v>0</v>
      </c>
      <c r="H143" s="11">
        <v>0</v>
      </c>
      <c r="I143" s="11">
        <v>0</v>
      </c>
    </row>
    <row r="144">
      <c r="B144" t="s" s="9">
        <v>489</v>
      </c>
      <c r="C144" s="18">
        <v>6</v>
      </c>
      <c r="D144" s="11">
        <v>0</v>
      </c>
      <c r="E144" s="11">
        <v>0</v>
      </c>
      <c r="F144" s="11">
        <v>-0.000000000004661160346586257</v>
      </c>
      <c r="G144" s="11">
        <v>-0.0000000004666844688472338</v>
      </c>
      <c r="H144" s="11">
        <v>0</v>
      </c>
      <c r="I144" s="11">
        <v>0</v>
      </c>
    </row>
    <row r="145">
      <c r="B145" t="s" s="81">
        <v>490</v>
      </c>
      <c r="C145" s="84"/>
      <c r="D145" t="str" s="87">
        <f>'Credit Stats'!D134</f>
        <v>No</v>
      </c>
      <c r="E145" t="str" s="87">
        <f>'Credit Stats'!E134</f>
        <v>Yes</v>
      </c>
      <c r="F145" t="str" s="87">
        <f>'Credit Stats'!F134</f>
        <v>Yes</v>
      </c>
      <c r="G145" t="str" s="87">
        <f>'Credit Stats'!G134</f>
        <v>Yes</v>
      </c>
      <c r="H145" t="str" s="87">
        <f>'Credit Stats'!H134</f>
        <v>Yes</v>
      </c>
      <c r="I145" t="str" s="87">
        <f>'Credit Stats'!I134</f>
        <v>Yes</v>
      </c>
    </row>
    <row r="146">
      <c r="B146" t="s" s="9">
        <v>487</v>
      </c>
      <c r="C146" s="18">
        <v>1</v>
      </c>
      <c r="D146" t="str" s="51">
        <f t="dataTable" ref="D146:I148" r1="C6"/>
        <v>No</v>
      </c>
      <c r="E146" t="str" s="51">
        <v>Yes</v>
      </c>
      <c r="F146" t="str" s="51">
        <v>Yes</v>
      </c>
      <c r="G146" t="str" s="51">
        <v>Yes</v>
      </c>
      <c r="H146" t="str" s="51">
        <v>Yes</v>
      </c>
      <c r="I146" t="str" s="51">
        <v>Yes</v>
      </c>
    </row>
    <row r="147">
      <c r="B147" t="s" s="9">
        <v>488</v>
      </c>
      <c r="C147" s="18">
        <v>2</v>
      </c>
      <c r="D147" t="str" s="51">
        <v>No</v>
      </c>
      <c r="E147" t="str" s="51">
        <v>Yes</v>
      </c>
      <c r="F147" t="str" s="51">
        <v>Yes</v>
      </c>
      <c r="G147" t="str" s="51">
        <v>Yes</v>
      </c>
      <c r="H147" t="str" s="51">
        <v>Yes</v>
      </c>
      <c r="I147" t="str" s="51">
        <v>Yes</v>
      </c>
    </row>
    <row r="148">
      <c r="B148" t="s" s="9">
        <v>489</v>
      </c>
      <c r="C148" s="18">
        <v>6</v>
      </c>
      <c r="D148" t="str" s="51">
        <v>No</v>
      </c>
      <c r="E148" t="str" s="51">
        <v>No</v>
      </c>
      <c r="F148" t="str" s="51">
        <v>Yes</v>
      </c>
      <c r="G148" t="str" s="51">
        <v>Yes</v>
      </c>
      <c r="H148" t="str" s="51">
        <v>Yes</v>
      </c>
      <c r="I148" t="str" s="51">
        <v>Yes</v>
      </c>
    </row>
    <row r="149">
      <c r="B149" t="s" s="81">
        <v>491</v>
      </c>
      <c r="C149" s="84"/>
      <c r="D149" t="str" s="87">
        <f>'Credit Stats'!D137</f>
        <v>No</v>
      </c>
      <c r="E149" t="str" s="87">
        <f>'Credit Stats'!E137</f>
        <v>Yes</v>
      </c>
      <c r="F149" t="str" s="87">
        <f>'Credit Stats'!F137</f>
        <v>Yes</v>
      </c>
      <c r="G149" t="str" s="87">
        <f>'Credit Stats'!G137</f>
        <v>Yes</v>
      </c>
      <c r="H149" t="str" s="87">
        <f>'Credit Stats'!H137</f>
        <v>Yes</v>
      </c>
      <c r="I149" t="str" s="87">
        <f>'Credit Stats'!I137</f>
        <v>Yes</v>
      </c>
    </row>
    <row r="150">
      <c r="B150" t="s" s="9">
        <v>487</v>
      </c>
      <c r="C150" s="18">
        <v>1</v>
      </c>
      <c r="D150" t="str" s="51">
        <f t="dataTable" ref="D150:I152" r1="C6"/>
        <v>No</v>
      </c>
      <c r="E150" t="str" s="51">
        <v>Yes</v>
      </c>
      <c r="F150" t="str" s="51">
        <v>Yes</v>
      </c>
      <c r="G150" t="str" s="51">
        <v>Yes</v>
      </c>
      <c r="H150" t="str" s="51">
        <v>Yes</v>
      </c>
      <c r="I150" t="str" s="51">
        <v>Yes</v>
      </c>
    </row>
    <row r="151">
      <c r="B151" t="s" s="9">
        <v>488</v>
      </c>
      <c r="C151" s="18">
        <v>2</v>
      </c>
      <c r="D151" t="str" s="51">
        <v>No</v>
      </c>
      <c r="E151" t="str" s="51">
        <v>Yes</v>
      </c>
      <c r="F151" t="str" s="51">
        <v>Yes</v>
      </c>
      <c r="G151" t="str" s="51">
        <v>Yes</v>
      </c>
      <c r="H151" t="str" s="51">
        <v>Yes</v>
      </c>
      <c r="I151" t="str" s="51">
        <v>Yes</v>
      </c>
    </row>
    <row r="152">
      <c r="B152" t="s" s="9">
        <v>489</v>
      </c>
      <c r="C152" s="18">
        <v>6</v>
      </c>
      <c r="D152" t="str" s="51">
        <v>No</v>
      </c>
      <c r="E152" t="str" s="51">
        <v>No</v>
      </c>
      <c r="F152" t="str" s="51">
        <v>Yes</v>
      </c>
      <c r="G152" t="str" s="51">
        <v>Yes</v>
      </c>
      <c r="H152" t="str" s="51">
        <v>Yes</v>
      </c>
      <c r="I152" t="str" s="51">
        <v>Yes</v>
      </c>
    </row>
    <row r="153">
      <c r="B153" t="s" s="81">
        <v>492</v>
      </c>
      <c r="C153" s="84"/>
      <c r="D153" t="str" s="87">
        <f>'Credit Stats'!D139</f>
        <v>No</v>
      </c>
      <c r="E153" t="str" s="87">
        <f>'Credit Stats'!E139</f>
        <v>Yes</v>
      </c>
      <c r="F153" t="str" s="87">
        <f>'Credit Stats'!F139</f>
        <v>Yes</v>
      </c>
      <c r="G153" t="str" s="87">
        <f>'Credit Stats'!G139</f>
        <v>Expired</v>
      </c>
      <c r="H153" t="str" s="87">
        <f>'Credit Stats'!H139</f>
        <v>Expired</v>
      </c>
      <c r="I153" t="str" s="87">
        <f>'Credit Stats'!I139</f>
        <v>Expired</v>
      </c>
    </row>
    <row r="154">
      <c r="B154" t="s" s="9">
        <v>487</v>
      </c>
      <c r="C154" s="18">
        <v>1</v>
      </c>
      <c r="D154" t="str" s="51">
        <f t="dataTable" ref="D154:I156" r1="C6"/>
        <v>No</v>
      </c>
      <c r="E154" t="str" s="51">
        <v>Yes</v>
      </c>
      <c r="F154" t="str" s="51">
        <v>Yes</v>
      </c>
      <c r="G154" t="str" s="51">
        <v>Expired</v>
      </c>
      <c r="H154" t="str" s="51">
        <v>Expired</v>
      </c>
      <c r="I154" t="str" s="51">
        <v>Expired</v>
      </c>
    </row>
    <row r="155">
      <c r="B155" t="s" s="9">
        <v>488</v>
      </c>
      <c r="C155" s="18">
        <v>2</v>
      </c>
      <c r="D155" t="str" s="51">
        <v>No</v>
      </c>
      <c r="E155" t="str" s="51">
        <v>Yes</v>
      </c>
      <c r="F155" t="str" s="51">
        <v>Yes</v>
      </c>
      <c r="G155" t="str" s="51">
        <v>Expired</v>
      </c>
      <c r="H155" t="str" s="51">
        <v>Expired</v>
      </c>
      <c r="I155" t="str" s="51">
        <v>Expired</v>
      </c>
    </row>
    <row r="156">
      <c r="B156" t="s" s="9">
        <v>489</v>
      </c>
      <c r="C156" s="18">
        <v>6</v>
      </c>
      <c r="D156" t="str" s="51">
        <v>No</v>
      </c>
      <c r="E156" t="str" s="51">
        <v>Yes</v>
      </c>
      <c r="F156" t="str" s="51">
        <v>Yes</v>
      </c>
      <c r="G156" t="str" s="51">
        <v>Expired</v>
      </c>
      <c r="H156" t="str" s="51">
        <v>Expired</v>
      </c>
      <c r="I156" t="str" s="51">
        <v>Expired</v>
      </c>
    </row>
    <row r="157">
      <c r="B157" t="s" s="81">
        <v>493</v>
      </c>
      <c r="C157" s="84"/>
      <c r="D157" t="str" s="87">
        <f>'Credit Stats'!D144</f>
        <v>Not tested</v>
      </c>
      <c r="E157" t="str" s="87">
        <f>'Credit Stats'!E144</f>
        <v>Not tested</v>
      </c>
      <c r="F157" t="str" s="87">
        <f>'Credit Stats'!F144</f>
        <v>Not tested</v>
      </c>
      <c r="G157" t="str" s="87">
        <f>'Credit Stats'!G144</f>
        <v>Not tested</v>
      </c>
      <c r="H157" t="str" s="87">
        <f>'Credit Stats'!H144</f>
        <v>Not tested</v>
      </c>
      <c r="I157" t="str" s="87">
        <f>'Credit Stats'!I144</f>
        <v>Not tested</v>
      </c>
    </row>
    <row r="158">
      <c r="B158" t="s" s="9">
        <v>487</v>
      </c>
      <c r="C158" s="18">
        <v>1</v>
      </c>
      <c r="D158" t="str" s="51">
        <f t="dataTable" ref="D158:I160" r1="C6"/>
        <v>Not tested</v>
      </c>
      <c r="E158" t="str" s="51">
        <v>Not tested</v>
      </c>
      <c r="F158" t="str" s="51">
        <v>Not tested</v>
      </c>
      <c r="G158" t="str" s="51">
        <v>Not tested</v>
      </c>
      <c r="H158" t="str" s="51">
        <v>Not tested</v>
      </c>
      <c r="I158" t="str" s="51">
        <v>Not tested</v>
      </c>
    </row>
    <row r="159">
      <c r="B159" t="s" s="9">
        <v>488</v>
      </c>
      <c r="C159" s="18">
        <v>2</v>
      </c>
      <c r="D159" t="str" s="51">
        <v>Not tested</v>
      </c>
      <c r="E159" t="str" s="51">
        <v>Not tested</v>
      </c>
      <c r="F159" t="str" s="51">
        <v>Not tested</v>
      </c>
      <c r="G159" t="str" s="51">
        <v>Not tested</v>
      </c>
      <c r="H159" t="str" s="51">
        <v>Not tested</v>
      </c>
      <c r="I159" t="str" s="51">
        <v>Not tested</v>
      </c>
    </row>
    <row r="160">
      <c r="B160" t="s" s="9">
        <v>489</v>
      </c>
      <c r="C160" s="18">
        <v>6</v>
      </c>
      <c r="D160" t="str" s="51">
        <v>Not tested</v>
      </c>
      <c r="E160" t="str" s="51">
        <v>Not tested</v>
      </c>
      <c r="F160" t="str" s="51">
        <v>Not tested</v>
      </c>
      <c r="G160" t="str" s="51">
        <v>Not tested</v>
      </c>
      <c r="H160" t="str" s="51">
        <v>Not tested</v>
      </c>
      <c r="I160" t="str" s="51">
        <v>Not tested</v>
      </c>
    </row>
    <row r="161">
      <c r="B161" t="s" s="81">
        <v>494</v>
      </c>
      <c r="C161" s="84"/>
      <c r="D161" s="88">
        <f>'Credit Stats'!D149</f>
        <v>0.4330892064904843</v>
      </c>
      <c r="E161" s="88">
        <f>'Credit Stats'!E149</f>
        <v>0.5013959632309997</v>
      </c>
      <c r="F161" s="88">
        <f>'Credit Stats'!F149</f>
        <v>0.5535224813960078</v>
      </c>
      <c r="G161" s="88">
        <f>'Credit Stats'!G149</f>
        <v>0.6025265574271981</v>
      </c>
      <c r="H161" s="88">
        <f>'Credit Stats'!H149</f>
        <v>0.6441097275636897</v>
      </c>
      <c r="I161" s="88">
        <f>'Credit Stats'!I149</f>
        <v>0.6840973221986978</v>
      </c>
    </row>
    <row r="162">
      <c r="B162" t="s" s="9">
        <v>487</v>
      </c>
      <c r="C162" s="18">
        <v>1</v>
      </c>
      <c r="D162" s="25">
        <f t="dataTable" ref="D162:I164" r1="C6"/>
        <v>0.4330892064904843</v>
      </c>
      <c r="E162" s="25">
        <v>0.5013959632310092</v>
      </c>
      <c r="F162" s="25">
        <v>0.5535224813960274</v>
      </c>
      <c r="G162" s="25">
        <v>0.6025265574271759</v>
      </c>
      <c r="H162" s="25">
        <v>0.6441097275624467</v>
      </c>
      <c r="I162" s="25">
        <v>0.6840973221965307</v>
      </c>
    </row>
    <row r="163">
      <c r="B163" t="s" s="9">
        <v>488</v>
      </c>
      <c r="C163" s="18">
        <v>2</v>
      </c>
      <c r="D163" s="25">
        <v>0.4338629099339978</v>
      </c>
      <c r="E163" s="25">
        <v>0.5034942668558019</v>
      </c>
      <c r="F163" s="25">
        <v>0.5561708353578859</v>
      </c>
      <c r="G163" s="25">
        <v>0.6051295401997336</v>
      </c>
      <c r="H163" s="25">
        <v>0.6467037790346205</v>
      </c>
      <c r="I163" s="25">
        <v>0.6866956977256748</v>
      </c>
    </row>
    <row r="164">
      <c r="B164" t="s" s="9">
        <v>489</v>
      </c>
      <c r="C164" s="18">
        <v>6</v>
      </c>
      <c r="D164" s="25">
        <v>0.4271125978462612</v>
      </c>
      <c r="E164" s="25">
        <v>0.4852659822430787</v>
      </c>
      <c r="F164" s="25">
        <v>0.5269105553863083</v>
      </c>
      <c r="G164" s="25">
        <v>0.5675467491093509</v>
      </c>
      <c r="H164" s="25">
        <v>0.6010242111841781</v>
      </c>
      <c r="I164" s="25">
        <v>0.6333163082705362</v>
      </c>
    </row>
    <row r="166">
      <c r="B166" t="s" s="34">
        <v>495</v>
      </c>
      <c r="C166" s="34"/>
      <c r="D166" s="34"/>
      <c r="E166" s="34"/>
      <c r="F166" s="34"/>
      <c r="G166" s="34"/>
      <c r="H166" s="34"/>
      <c r="I166" s="34"/>
    </row>
    <row r="167" ht="26" customHeight="1">
      <c r="B167" t="s" s="68">
        <v>355</v>
      </c>
      <c r="C167" t="s" s="69">
        <v>497</v>
      </c>
      <c r="D167" t="s" s="69">
        <v>530</v>
      </c>
      <c r="E167" t="s" s="69">
        <v>499</v>
      </c>
      <c r="F167" t="s" s="69">
        <v>500</v>
      </c>
      <c r="G167" t="s" s="69">
        <v>501</v>
      </c>
      <c r="H167" s="68"/>
      <c r="I167" s="68"/>
    </row>
    <row r="168">
      <c r="B168" t="s" s="3">
        <v>376</v>
      </c>
      <c r="D168" s="89">
        <f>'Debt Schedule'!X132</f>
        <v>0.16343493834633205</v>
      </c>
      <c r="E168" s="90">
        <f>'Debt Schedule'!X131</f>
        <v>1.98239558864631</v>
      </c>
      <c r="F168" s="89">
        <f>'Debt Schedule'!X168</f>
        <v>0.14244200888378455</v>
      </c>
      <c r="G168" s="90">
        <f>'Debt Schedule'!X167</f>
        <v>1.8257533754967576</v>
      </c>
    </row>
    <row r="169">
      <c r="B169" t="s" s="9">
        <v>487</v>
      </c>
      <c r="C169" s="91">
        <v>1</v>
      </c>
      <c r="D169" s="24">
        <f t="dataTable" ref="D169:G171" r1="C6"/>
        <v>0.1634349383461282</v>
      </c>
      <c r="E169" s="21">
        <v>1.9823955886447402</v>
      </c>
      <c r="F169" s="24">
        <v>0.14244200888356717</v>
      </c>
      <c r="G169" s="21">
        <v>1.825753375495188</v>
      </c>
    </row>
    <row r="170">
      <c r="B170" t="s" s="9">
        <v>488</v>
      </c>
      <c r="C170" s="91">
        <v>2</v>
      </c>
      <c r="D170" s="24">
        <v>0.1638599844232025</v>
      </c>
      <c r="E170" s="21">
        <v>1.9856716694173693</v>
      </c>
      <c r="F170" s="24">
        <v>0.14289516968949711</v>
      </c>
      <c r="G170" s="21">
        <v>1.8290294562678169</v>
      </c>
    </row>
    <row r="171">
      <c r="B171" t="s" s="9">
        <v>489</v>
      </c>
      <c r="C171" s="91">
        <v>6</v>
      </c>
      <c r="D171" s="24">
        <v>0.15629389907877367</v>
      </c>
      <c r="E171" s="21">
        <v>1.92798200691756</v>
      </c>
      <c r="F171" s="24">
        <v>0.1348210563226484</v>
      </c>
      <c r="G171" s="21">
        <v>1.7713397937680078</v>
      </c>
    </row>
    <row r="173">
      <c r="B173" t="s" s="34">
        <v>374</v>
      </c>
      <c r="C173" s="34"/>
      <c r="D173" s="34"/>
      <c r="E173" s="34"/>
      <c r="F173" s="34"/>
      <c r="G173" s="34"/>
      <c r="H173" s="34"/>
      <c r="I173" s="34"/>
      <c r="J173" s="34"/>
    </row>
    <row r="174">
      <c r="B174" t="s" s="4">
        <v>375</v>
      </c>
      <c r="C174" s="4"/>
      <c r="D174" s="4"/>
      <c r="E174" t="s" s="5">
        <v>377</v>
      </c>
      <c r="F174" t="s" s="5">
        <v>378</v>
      </c>
      <c r="G174" t="s" s="5">
        <v>379</v>
      </c>
      <c r="H174" t="s" s="5">
        <v>380</v>
      </c>
      <c r="I174" t="s" s="5">
        <v>381</v>
      </c>
      <c r="J174" t="s" s="5">
        <v>502</v>
      </c>
    </row>
    <row r="175">
      <c r="B175" t="s" s="81">
        <v>317</v>
      </c>
    </row>
    <row r="176">
      <c r="B176" t="s" s="9">
        <v>360</v>
      </c>
      <c r="E176" s="65">
        <f>E38-$E38</f>
        <v>0</v>
      </c>
      <c r="F176" s="65">
        <f>F38-$E38</f>
        <v>-0.0321519827919059</v>
      </c>
      <c r="G176" s="65">
        <f>G38-$E38</f>
        <v>0.5862614454339194</v>
      </c>
      <c r="H176" s="65">
        <f>H38-$E38</f>
        <v>0.2488287974535659</v>
      </c>
      <c r="I176" s="65">
        <f>I38-$E38</f>
        <v>-0.23652908569628472</v>
      </c>
      <c r="J176" s="65">
        <f>J38-$E38</f>
        <v>0.5105804724361036</v>
      </c>
    </row>
    <row r="177">
      <c r="B177" t="s" s="9">
        <v>472</v>
      </c>
      <c r="E177" s="65">
        <f>E41-$E41</f>
        <v>0</v>
      </c>
      <c r="F177" s="65">
        <f>F41-$E41</f>
        <v>-0.574788344168844</v>
      </c>
      <c r="G177" s="65">
        <f>G41-$E41</f>
        <v>0</v>
      </c>
      <c r="H177" s="65">
        <f>H41-$E41</f>
        <v>-0.3061893429121032</v>
      </c>
      <c r="I177" s="65">
        <f>I41-$E41</f>
        <v>0.4279558636686498</v>
      </c>
      <c r="J177" s="65">
        <f>J41-$E41</f>
        <v>-0.5373592844942945</v>
      </c>
    </row>
    <row r="178">
      <c r="B178" t="s" s="9">
        <v>473</v>
      </c>
      <c r="E178" s="65">
        <f>E42-$E42</f>
        <v>0</v>
      </c>
      <c r="F178" s="65">
        <f>F42-$E42</f>
        <v>0.04867528001432175</v>
      </c>
      <c r="G178" s="65">
        <f>G42-$E42</f>
        <v>0</v>
      </c>
      <c r="H178" s="65">
        <f>H42-$E42</f>
        <v>-0.1577539478319987</v>
      </c>
      <c r="I178" s="65">
        <f>I42-$E42</f>
        <v>0.19875211774649548</v>
      </c>
      <c r="J178" s="65">
        <f>J42-$E42</f>
        <v>-0.2867315295843762</v>
      </c>
    </row>
    <row r="179">
      <c r="B179" t="s" s="9">
        <v>370</v>
      </c>
      <c r="E179" s="66">
        <f>E47-$E47</f>
        <v>0</v>
      </c>
      <c r="F179" s="66">
        <f>F47-$E47</f>
        <v>23.706172071956036</v>
      </c>
      <c r="G179" s="66">
        <f>G47-$E47</f>
        <v>0</v>
      </c>
      <c r="H179" s="66">
        <f>H47-$E47</f>
        <v>6.132595648831919</v>
      </c>
      <c r="I179" s="66">
        <f>I47-$E47</f>
        <v>0</v>
      </c>
      <c r="J179" s="66">
        <f>J47-$E47</f>
        <v>20.178585380749325</v>
      </c>
    </row>
    <row r="180">
      <c r="B180" t="s" s="9">
        <v>481</v>
      </c>
      <c r="E180" s="67">
        <f>E53-$E53</f>
        <v>0</v>
      </c>
      <c r="F180" s="67">
        <f>F53-$E53</f>
        <v>0.000362470235094392</v>
      </c>
      <c r="G180" s="67">
        <f>G53-$E53</f>
        <v>0.003738875413566989</v>
      </c>
      <c r="H180" s="67">
        <f>H53-$E53</f>
        <v>-0.002818212603776127</v>
      </c>
      <c r="I180" s="67">
        <f>I53-$E53</f>
        <v>0.0026576638260307206</v>
      </c>
      <c r="J180" s="67">
        <f>J53-$E53</f>
        <v>-0.005807987308074747</v>
      </c>
    </row>
    <row r="181">
      <c r="B181" t="s" s="81">
        <v>318</v>
      </c>
    </row>
    <row r="182">
      <c r="B182" t="s" s="9">
        <v>360</v>
      </c>
      <c r="E182" s="65">
        <f>E63-$E63</f>
        <v>0</v>
      </c>
      <c r="F182" s="65">
        <f>F63-$E63</f>
        <v>-0.023970035938816192</v>
      </c>
      <c r="G182" s="65">
        <f>G63-$E63</f>
        <v>0.540696758003032</v>
      </c>
      <c r="H182" s="65">
        <f>H63-$E63</f>
        <v>0.17604044346174597</v>
      </c>
      <c r="I182" s="65">
        <f>I63-$E63</f>
        <v>-0.16726793045887467</v>
      </c>
      <c r="J182" s="65">
        <f>J63-$E63</f>
        <v>0.3618406534105869</v>
      </c>
    </row>
    <row r="183">
      <c r="B183" t="s" s="9">
        <v>472</v>
      </c>
      <c r="E183" s="65">
        <f>E66-$E66</f>
        <v>0</v>
      </c>
      <c r="F183" s="65">
        <f>F66-$E66</f>
        <v>-0.5805071935977082</v>
      </c>
      <c r="G183" s="65">
        <f>G66-$E66</f>
        <v>0</v>
      </c>
      <c r="H183" s="65">
        <f>H66-$E66</f>
        <v>-0.3081895146389906</v>
      </c>
      <c r="I183" s="65">
        <f>I66-$E66</f>
        <v>0.43296193042056075</v>
      </c>
      <c r="J183" s="65">
        <f>J66-$E66</f>
        <v>-0.5423025408142141</v>
      </c>
    </row>
    <row r="184">
      <c r="B184" t="s" s="9">
        <v>473</v>
      </c>
      <c r="E184" s="65">
        <f>E67-$E67</f>
        <v>0</v>
      </c>
      <c r="F184" s="65">
        <f>F67-$E67</f>
        <v>0.0502494735952983</v>
      </c>
      <c r="G184" s="65">
        <f>G67-$E67</f>
        <v>0</v>
      </c>
      <c r="H184" s="65">
        <f>H67-$E67</f>
        <v>-0.15874749972338242</v>
      </c>
      <c r="I184" s="65">
        <f>I67-$E67</f>
        <v>0.20107704527522063</v>
      </c>
      <c r="J184" s="65">
        <f>J67-$E67</f>
        <v>-0.2893099825717518</v>
      </c>
    </row>
    <row r="185">
      <c r="B185" t="s" s="9">
        <v>370</v>
      </c>
      <c r="E185" s="66">
        <f>E72-$E72</f>
        <v>0</v>
      </c>
      <c r="F185" s="66">
        <f>F72-$E72</f>
        <v>19.87209177756768</v>
      </c>
      <c r="G185" s="66">
        <f>G72-$E72</f>
        <v>0</v>
      </c>
      <c r="H185" s="66">
        <f>H72-$E72</f>
        <v>2.288364588190542</v>
      </c>
      <c r="I185" s="66">
        <f>I72-$E72</f>
        <v>0</v>
      </c>
      <c r="J185" s="66">
        <f>J72-$E72</f>
        <v>16.32414966266539</v>
      </c>
    </row>
    <row r="186">
      <c r="B186" t="s" s="9">
        <v>481</v>
      </c>
      <c r="E186" s="67">
        <f>E78-$E78</f>
        <v>0</v>
      </c>
      <c r="F186" s="67">
        <f>F78-$E78</f>
        <v>0.0002627825779837334</v>
      </c>
      <c r="G186" s="67">
        <f>G78-$E78</f>
        <v>0.002739169457488533</v>
      </c>
      <c r="H186" s="67">
        <f>H78-$E78</f>
        <v>-0.001935572795304763</v>
      </c>
      <c r="I186" s="67">
        <f>I78-$E78</f>
        <v>0.0018299360326623493</v>
      </c>
      <c r="J186" s="67">
        <f>J78-$E78</f>
        <v>-0.003989332704389836</v>
      </c>
    </row>
    <row r="187">
      <c r="B187" t="s" s="81">
        <v>456</v>
      </c>
    </row>
    <row r="188">
      <c r="B188" t="s" s="9">
        <v>360</v>
      </c>
      <c r="E188" s="65">
        <f>E88-$E88</f>
        <v>0</v>
      </c>
      <c r="F188" s="65">
        <f>F88-$E88</f>
        <v>-0.03891077208260807</v>
      </c>
      <c r="G188" s="65">
        <f>G88-$E88</f>
        <v>0.5963896912416544</v>
      </c>
      <c r="H188" s="65">
        <f>H88-$E88</f>
        <v>0.325593864146982</v>
      </c>
      <c r="I188" s="65">
        <f>I88-$E88</f>
        <v>-0.29134097852272145</v>
      </c>
      <c r="J188" s="65">
        <f>J88-$E88</f>
        <v>0.646282745793826</v>
      </c>
    </row>
    <row r="189">
      <c r="B189" t="s" s="9">
        <v>472</v>
      </c>
      <c r="E189" s="65">
        <f>E91-$E91</f>
        <v>0</v>
      </c>
      <c r="F189" s="65">
        <f>F91-$E91</f>
        <v>-0.5390462455353391</v>
      </c>
      <c r="G189" s="65">
        <f>G91-$E91</f>
        <v>-0.06463695926798119</v>
      </c>
      <c r="H189" s="65">
        <f>H91-$E91</f>
        <v>-0.2892226213521316</v>
      </c>
      <c r="I189" s="65">
        <f>I91-$E91</f>
        <v>0.40168302456976535</v>
      </c>
      <c r="J189" s="65">
        <f>J91-$E91</f>
        <v>-0.5048908928990181</v>
      </c>
    </row>
    <row r="190">
      <c r="B190" t="s" s="9">
        <v>473</v>
      </c>
      <c r="E190" s="65">
        <f>E92-$E92</f>
        <v>0</v>
      </c>
      <c r="F190" s="65">
        <f>F92-$E92</f>
        <v>0.04360274949694953</v>
      </c>
      <c r="G190" s="65">
        <f>G92-$E92</f>
        <v>0</v>
      </c>
      <c r="H190" s="65">
        <f>H92-$E92</f>
        <v>-0.1491378983381797</v>
      </c>
      <c r="I190" s="65">
        <f>I92-$E92</f>
        <v>0.18658717165312289</v>
      </c>
      <c r="J190" s="65">
        <f>J92-$E92</f>
        <v>-0.2696124866669771</v>
      </c>
    </row>
    <row r="191">
      <c r="B191" t="s" s="9">
        <v>370</v>
      </c>
      <c r="E191" s="66">
        <f>E97-$E97</f>
        <v>0</v>
      </c>
      <c r="F191" s="66">
        <f>F97-$E97</f>
        <v>59.553940892861355</v>
      </c>
      <c r="G191" s="66">
        <f>G97-$E97</f>
        <v>0.0000000000059330318435968366</v>
      </c>
      <c r="H191" s="66">
        <f>H97-$E97</f>
        <v>14.000004885337935</v>
      </c>
      <c r="I191" s="66">
        <f>I97-$E97</f>
        <v>-2.8094932633086014</v>
      </c>
      <c r="J191" s="66">
        <f>J97-$E97</f>
        <v>124.39880156136712</v>
      </c>
    </row>
    <row r="192">
      <c r="B192" t="s" s="9">
        <v>481</v>
      </c>
      <c r="E192" s="67">
        <f>E103-$E103</f>
        <v>0</v>
      </c>
      <c r="F192" s="67">
        <f>F103-$E103</f>
        <v>0.0004250460770742759</v>
      </c>
      <c r="G192" s="67">
        <f>G103-$E103</f>
        <v>0.004063457680790528</v>
      </c>
      <c r="H192" s="67">
        <f>H103-$E103</f>
        <v>-0.0035782706220850446</v>
      </c>
      <c r="I192" s="67">
        <f>I103-$E103</f>
        <v>0.0031693101710728033</v>
      </c>
      <c r="J192" s="67">
        <f>J103-$E103</f>
        <v>-0.007141039268692806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75"/>
  <sheetViews>
    <sheetView showGridLines="0" tabSelected="1" workbookViewId="0">
      <selection activeCell="A1" sqref="A1"/>
    </sheetView>
  </sheetViews>
  <cols>
    <col min="1" max="1" width="2.21875" customWidth="1"/>
    <col min="2" max="2" width="49.7890625" customWidth="1"/>
    <col min="3" max="9" width="14.07421875" customWidth="1"/>
  </cols>
  <sheetData>
    <row r="2">
      <c r="B2" t="s" s="2">
        <v>382</v>
      </c>
    </row>
    <row r="5">
      <c r="B5" t="s" s="34">
        <v>383</v>
      </c>
      <c r="C5" s="34"/>
      <c r="D5" s="34"/>
      <c r="E5" s="34"/>
      <c r="F5" s="34"/>
      <c r="G5" s="34"/>
      <c r="H5" s="34"/>
      <c r="I5" s="34"/>
    </row>
    <row r="6" ht="26" customHeight="1">
      <c r="B6" t="s" s="68">
        <v>384</v>
      </c>
      <c r="C6" t="s" s="69">
        <v>49</v>
      </c>
      <c r="D6" t="s" s="69">
        <v>408</v>
      </c>
      <c r="E6" t="s" s="69">
        <v>410</v>
      </c>
      <c r="F6" t="s" s="69">
        <v>412</v>
      </c>
      <c r="G6" t="s" s="69">
        <v>414</v>
      </c>
      <c r="H6" t="s" s="69">
        <v>418</v>
      </c>
      <c r="I6" t="s" s="69">
        <v>419</v>
      </c>
    </row>
    <row r="7">
      <c r="B7" t="s" s="9">
        <v>260</v>
      </c>
      <c r="C7" s="71">
        <f>'Term Sheet'!$C$66</f>
        <v>325</v>
      </c>
      <c r="D7" s="71">
        <f>'Term Sheet'!$C$68</f>
        <v>0</v>
      </c>
      <c r="E7" s="72">
        <f>'Term Sheet'!$C$70</f>
        <v>0.045</v>
      </c>
      <c r="F7" s="72">
        <f>'Term Sheet'!$C$19</f>
        <v>0.005</v>
      </c>
      <c r="G7" t="s" s="73">
        <v>415</v>
      </c>
      <c r="H7" s="74">
        <f>0</f>
        <v>0</v>
      </c>
      <c r="I7" s="75">
        <f>EDATE('Term Sheet'!$C$7,12*'Term Sheet'!$C$69)</f>
        <v>48755</v>
      </c>
    </row>
    <row r="8">
      <c r="B8" t="s" s="9">
        <v>267</v>
      </c>
      <c r="C8" s="71">
        <f>'Term Sheet'!$C$17</f>
        <v>2700</v>
      </c>
      <c r="D8" s="71">
        <f>'Term Sheet'!$C$17</f>
        <v>2700</v>
      </c>
      <c r="E8" s="72">
        <f>'Term Sheet'!$C$18</f>
        <v>0.045</v>
      </c>
      <c r="F8" s="72">
        <f>'Term Sheet'!$C$19</f>
        <v>0.005</v>
      </c>
      <c r="G8" t="s" s="73">
        <v>421</v>
      </c>
      <c r="H8" s="74">
        <f>'Term Sheet'!$C$36</f>
        <v>0</v>
      </c>
      <c r="I8" s="75">
        <f>'Term Sheet'!$C$35</f>
        <v>48755</v>
      </c>
    </row>
    <row r="9">
      <c r="B9" t="s" s="9">
        <v>272</v>
      </c>
      <c r="C9" s="71">
        <f>'Term Sheet'!$C$54</f>
        <v>500</v>
      </c>
      <c r="D9" s="71">
        <f>'Term Sheet'!$C$55</f>
        <v>0</v>
      </c>
      <c r="E9" s="72">
        <f>'Term Sheet'!$C$60</f>
        <v>0.045</v>
      </c>
      <c r="F9" s="72">
        <f>'Term Sheet'!$C$19</f>
        <v>0.005</v>
      </c>
      <c r="G9" t="s" s="73">
        <v>417</v>
      </c>
      <c r="H9" s="74">
        <f>'Term Sheet'!$C$36</f>
        <v>0</v>
      </c>
      <c r="I9" s="75">
        <f>'Term Sheet'!$C$35</f>
        <v>48755</v>
      </c>
    </row>
    <row r="10">
      <c r="B10" t="s" s="64">
        <v>385</v>
      </c>
      <c r="C10" s="76">
        <f>SUM(C7:C9)</f>
        <v>3525</v>
      </c>
      <c r="D10" s="76">
        <f>SUM(D7:D9)</f>
        <v>2700</v>
      </c>
      <c r="E10" s="77"/>
      <c r="F10" s="77"/>
      <c r="G10" s="77"/>
      <c r="H10" s="77"/>
      <c r="I10" s="77"/>
    </row>
    <row r="11">
      <c r="B11" t="s" s="78">
        <v>386</v>
      </c>
    </row>
    <row r="13">
      <c r="B13" t="s" s="34">
        <v>387</v>
      </c>
      <c r="C13" s="34"/>
      <c r="D13" s="34"/>
      <c r="E13" s="34"/>
      <c r="F13" s="34"/>
      <c r="G13" s="34"/>
      <c r="H13" s="34"/>
      <c r="I13" s="34"/>
    </row>
    <row r="14">
      <c r="B14" s="4"/>
      <c r="C14" s="38">
        <f>'Debt Schedule'!C6</f>
        <v>46198</v>
      </c>
      <c r="D14" s="39">
        <f>'Debt Schedule'!D6</f>
        <v>46387</v>
      </c>
      <c r="E14" s="39">
        <f>'Debt Schedule'!E6</f>
        <v>46752</v>
      </c>
      <c r="F14" s="39">
        <f>'Debt Schedule'!F6</f>
        <v>47118</v>
      </c>
      <c r="G14" s="39">
        <f>'Debt Schedule'!G6</f>
        <v>47483</v>
      </c>
      <c r="H14" s="39">
        <f>'Debt Schedule'!H6</f>
        <v>47848</v>
      </c>
      <c r="I14" s="39">
        <f>'Debt Schedule'!I6</f>
        <v>48213</v>
      </c>
    </row>
    <row r="15">
      <c r="B15" t="s" s="9">
        <v>244</v>
      </c>
      <c r="C15" s="70"/>
      <c r="D15" s="70">
        <f>'Debt Schedule'!D38</f>
        <v>89.17061440623087</v>
      </c>
      <c r="E15" s="70">
        <f>'Debt Schedule'!E38</f>
        <v>227.109547846625</v>
      </c>
      <c r="F15" s="70">
        <f>'Debt Schedule'!F38</f>
        <v>270.9251581580244</v>
      </c>
      <c r="G15" s="70">
        <f>'Debt Schedule'!G38</f>
        <v>318.2522605391023</v>
      </c>
      <c r="H15" s="70">
        <f>'Debt Schedule'!H38</f>
        <v>363.96906609455505</v>
      </c>
      <c r="I15" s="70">
        <f>'Debt Schedule'!I38</f>
        <v>412.6799229707839</v>
      </c>
    </row>
    <row r="16">
      <c r="B16" t="s" s="9">
        <v>245</v>
      </c>
      <c r="C16" s="70"/>
      <c r="D16" s="70">
        <f>'Debt Schedule'!D39</f>
        <v>-82.85512428445894</v>
      </c>
      <c r="E16" s="70">
        <f>'Debt Schedule'!E39</f>
        <v>-163.33929228091063</v>
      </c>
      <c r="F16" s="70">
        <f>'Debt Schedule'!F39</f>
        <v>-188.17811352082558</v>
      </c>
      <c r="G16" s="70">
        <f>'Debt Schedule'!G39</f>
        <v>-204.38024977381028</v>
      </c>
      <c r="H16" s="70">
        <f>'Debt Schedule'!H39</f>
        <v>-193.09775921752387</v>
      </c>
      <c r="I16" s="70">
        <f>'Debt Schedule'!I39</f>
        <v>-177.08005501658883</v>
      </c>
    </row>
    <row r="17">
      <c r="B17" t="s" s="9">
        <v>246</v>
      </c>
      <c r="C17" s="70"/>
      <c r="D17" s="70">
        <f>'Debt Schedule'!D40</f>
        <v>1.44179351954766</v>
      </c>
      <c r="E17" s="70">
        <f>'Debt Schedule'!E40</f>
        <v>2.784416056269291</v>
      </c>
      <c r="F17" s="70">
        <f>'Debt Schedule'!F40</f>
        <v>2.6475</v>
      </c>
      <c r="G17" s="70">
        <f>'Debt Schedule'!G40</f>
        <v>2.6475</v>
      </c>
      <c r="H17" s="70">
        <f>'Debt Schedule'!H40</f>
        <v>2.6475</v>
      </c>
      <c r="I17" s="70">
        <f>'Debt Schedule'!I40</f>
        <v>2.6475</v>
      </c>
    </row>
    <row r="18">
      <c r="B18" t="s" s="9">
        <v>531</v>
      </c>
      <c r="C18" s="70"/>
      <c r="D18" s="70">
        <f>'Debt Schedule'!D44</f>
        <v>0</v>
      </c>
      <c r="E18" s="70">
        <f>'Debt Schedule'!E44</f>
        <v>0</v>
      </c>
      <c r="F18" s="70">
        <f>'Debt Schedule'!F44</f>
        <v>0</v>
      </c>
      <c r="G18" s="70">
        <f>'Debt Schedule'!G44</f>
        <v>0</v>
      </c>
      <c r="H18" s="70">
        <f>'Debt Schedule'!H44</f>
        <v>0</v>
      </c>
      <c r="I18" s="70">
        <f>'Debt Schedule'!I44</f>
        <v>0</v>
      </c>
    </row>
    <row r="19">
      <c r="B19" t="s" s="9">
        <v>250</v>
      </c>
      <c r="C19" s="70"/>
      <c r="D19" s="70">
        <f>'Debt Schedule'!D45</f>
        <v>0</v>
      </c>
      <c r="E19" s="70">
        <f>'Debt Schedule'!E45</f>
        <v>7.757283641319589</v>
      </c>
      <c r="F19" s="70">
        <f>'Debt Schedule'!F45</f>
        <v>0</v>
      </c>
      <c r="G19" s="70">
        <f>'Debt Schedule'!G45</f>
        <v>0</v>
      </c>
      <c r="H19" s="70">
        <f>'Debt Schedule'!H45</f>
        <v>0</v>
      </c>
      <c r="I19" s="70">
        <f>'Debt Schedule'!I45</f>
        <v>0</v>
      </c>
    </row>
    <row r="20">
      <c r="B20" t="s" s="41">
        <v>388</v>
      </c>
      <c r="C20" s="79"/>
      <c r="D20" s="79">
        <f>'Debt Schedule'!D46</f>
        <v>7.7572836413195905</v>
      </c>
      <c r="E20" s="79">
        <f>'Debt Schedule'!E46</f>
        <v>74.31195526330325</v>
      </c>
      <c r="F20" s="79">
        <f>'Debt Schedule'!F46</f>
        <v>85.39454463719879</v>
      </c>
      <c r="G20" s="79">
        <f>'Debt Schedule'!G46</f>
        <v>116.519510765292</v>
      </c>
      <c r="H20" s="79">
        <f>'Debt Schedule'!H46</f>
        <v>173.51880687703118</v>
      </c>
      <c r="I20" s="79">
        <f>'Debt Schedule'!I46</f>
        <v>238.24736795419506</v>
      </c>
    </row>
    <row r="21">
      <c r="B21" t="s" s="9">
        <v>252</v>
      </c>
      <c r="C21" s="70"/>
      <c r="D21" s="70">
        <f>'Debt Schedule'!D47</f>
        <v>0</v>
      </c>
      <c r="E21" s="70">
        <f>'Debt Schedule'!E47</f>
        <v>0</v>
      </c>
      <c r="F21" s="70">
        <f>'Debt Schedule'!F47</f>
        <v>0</v>
      </c>
      <c r="G21" s="70">
        <f>'Debt Schedule'!G47</f>
        <v>0</v>
      </c>
      <c r="H21" s="70">
        <f>'Debt Schedule'!H47</f>
        <v>0</v>
      </c>
      <c r="I21" s="70">
        <f>'Debt Schedule'!I47</f>
        <v>0</v>
      </c>
    </row>
    <row r="22">
      <c r="B22" t="s" s="9">
        <v>389</v>
      </c>
      <c r="C22" s="70"/>
      <c r="D22" s="70">
        <f>'Debt Schedule'!D52+'Debt Schedule'!D53</f>
        <v>0</v>
      </c>
      <c r="E22" s="70">
        <f>'Debt Schedule'!E52+'Debt Schedule'!E53</f>
        <v>-74.31195526330325</v>
      </c>
      <c r="F22" s="70">
        <f>'Debt Schedule'!F52+'Debt Schedule'!F53</f>
        <v>-85.39454463719879</v>
      </c>
      <c r="G22" s="70">
        <f>'Debt Schedule'!G52+'Debt Schedule'!G53</f>
        <v>-116.519510765292</v>
      </c>
      <c r="H22" s="70">
        <f>'Debt Schedule'!H52+'Debt Schedule'!H53</f>
        <v>-173.51880687703118</v>
      </c>
      <c r="I22" s="70">
        <f>'Debt Schedule'!I52+'Debt Schedule'!I53</f>
        <v>-238.24736795419506</v>
      </c>
    </row>
    <row r="23">
      <c r="B23" t="s" s="9">
        <v>390</v>
      </c>
      <c r="C23" s="70"/>
      <c r="D23" s="70">
        <f>'Debt Schedule'!D101</f>
        <v>35.17975940160628</v>
      </c>
      <c r="E23" s="70">
        <f>'Debt Schedule'!E101</f>
        <v>68.30439953847986</v>
      </c>
      <c r="F23" s="70">
        <f>'Debt Schedule'!F101</f>
        <v>31.034149991009045</v>
      </c>
      <c r="G23" s="70">
        <f>'Debt Schedule'!G101</f>
        <v>0</v>
      </c>
      <c r="H23" s="70">
        <f>'Debt Schedule'!H101</f>
        <v>0</v>
      </c>
      <c r="I23" s="70">
        <f>'Debt Schedule'!I101</f>
        <v>0</v>
      </c>
    </row>
    <row r="24">
      <c r="B24" t="s" s="9">
        <v>391</v>
      </c>
      <c r="C24" s="70">
        <f>'Debt Schedule'!C113</f>
        <v>2700</v>
      </c>
      <c r="D24" s="70">
        <f>'Debt Schedule'!D113</f>
        <v>2735.179759401606</v>
      </c>
      <c r="E24" s="70">
        <f>'Debt Schedule'!E113</f>
        <v>2729.1722036767824</v>
      </c>
      <c r="F24" s="70">
        <f>'Debt Schedule'!F113</f>
        <v>2674.811809030593</v>
      </c>
      <c r="G24" s="70">
        <f>'Debt Schedule'!G113</f>
        <v>2558.292298265301</v>
      </c>
      <c r="H24" s="70">
        <f>'Debt Schedule'!H113</f>
        <v>2384.7734913882696</v>
      </c>
      <c r="I24" s="70">
        <f>'Debt Schedule'!I113</f>
        <v>2146.5261234340746</v>
      </c>
    </row>
    <row r="25">
      <c r="B25" t="s" s="9">
        <v>272</v>
      </c>
      <c r="C25" s="70">
        <f>'Debt Schedule'!C114</f>
        <v>0</v>
      </c>
      <c r="D25" s="70">
        <f>'Debt Schedule'!D114</f>
        <v>0</v>
      </c>
      <c r="E25" s="70">
        <f>'Debt Schedule'!E114</f>
        <v>0</v>
      </c>
      <c r="F25" s="70">
        <f>'Debt Schedule'!F114</f>
        <v>0</v>
      </c>
      <c r="G25" s="70">
        <f>'Debt Schedule'!G114</f>
        <v>0</v>
      </c>
      <c r="H25" s="70">
        <f>'Debt Schedule'!H114</f>
        <v>0</v>
      </c>
      <c r="I25" s="70">
        <f>'Debt Schedule'!I114</f>
        <v>0</v>
      </c>
    </row>
    <row r="26">
      <c r="B26" t="s" s="9">
        <v>294</v>
      </c>
      <c r="C26" s="70">
        <f>'Debt Schedule'!C112</f>
        <v>0</v>
      </c>
      <c r="D26" s="70">
        <f>'Debt Schedule'!D112</f>
        <v>0</v>
      </c>
      <c r="E26" s="70">
        <f>'Debt Schedule'!E112</f>
        <v>0</v>
      </c>
      <c r="F26" s="70">
        <f>'Debt Schedule'!F112</f>
        <v>0</v>
      </c>
      <c r="G26" s="70">
        <f>'Debt Schedule'!G112</f>
        <v>0</v>
      </c>
      <c r="H26" s="70">
        <f>'Debt Schedule'!H112</f>
        <v>0</v>
      </c>
      <c r="I26" s="70">
        <f>'Debt Schedule'!I112</f>
        <v>0</v>
      </c>
    </row>
    <row r="27">
      <c r="B27" t="s" s="41">
        <v>392</v>
      </c>
      <c r="C27" s="79">
        <f>'Debt Schedule'!C115</f>
        <v>2700</v>
      </c>
      <c r="D27" s="79">
        <f>'Debt Schedule'!D115</f>
        <v>2735.179759401606</v>
      </c>
      <c r="E27" s="79">
        <f>'Debt Schedule'!E115</f>
        <v>2729.1722036767824</v>
      </c>
      <c r="F27" s="79">
        <f>'Debt Schedule'!F115</f>
        <v>2674.811809030593</v>
      </c>
      <c r="G27" s="79">
        <f>'Debt Schedule'!G115</f>
        <v>2558.292298265301</v>
      </c>
      <c r="H27" s="79">
        <f>'Debt Schedule'!H115</f>
        <v>2384.7734913882696</v>
      </c>
      <c r="I27" s="79">
        <f>'Debt Schedule'!I115</f>
        <v>2146.5261234340746</v>
      </c>
    </row>
    <row r="28">
      <c r="B28" t="s" s="9">
        <v>296</v>
      </c>
      <c r="C28" s="70">
        <f>'Debt Schedule'!C116</f>
        <v>-75</v>
      </c>
      <c r="D28" s="70">
        <f>'Debt Schedule'!D116</f>
        <v>-82.75728364131959</v>
      </c>
      <c r="E28" s="70">
        <f>'Debt Schedule'!E116</f>
        <v>-75</v>
      </c>
      <c r="F28" s="70">
        <f>'Debt Schedule'!F116</f>
        <v>-75</v>
      </c>
      <c r="G28" s="70">
        <f>'Debt Schedule'!G116</f>
        <v>-75</v>
      </c>
      <c r="H28" s="70">
        <f>'Debt Schedule'!H116</f>
        <v>-75</v>
      </c>
      <c r="I28" s="70">
        <f>'Debt Schedule'!I116</f>
        <v>-75</v>
      </c>
    </row>
    <row r="29">
      <c r="B29" t="s" s="41">
        <v>393</v>
      </c>
      <c r="C29" s="79">
        <f>'Debt Schedule'!C117</f>
        <v>2625</v>
      </c>
      <c r="D29" s="79">
        <f>'Debt Schedule'!D117</f>
        <v>2652.4224757602865</v>
      </c>
      <c r="E29" s="79">
        <f>'Debt Schedule'!E117</f>
        <v>2654.1722036767824</v>
      </c>
      <c r="F29" s="79">
        <f>'Debt Schedule'!F117</f>
        <v>2599.811809030593</v>
      </c>
      <c r="G29" s="79">
        <f>'Debt Schedule'!G117</f>
        <v>2483.292298265301</v>
      </c>
      <c r="H29" s="79">
        <f>'Debt Schedule'!H117</f>
        <v>2309.7734913882696</v>
      </c>
      <c r="I29" s="79">
        <f>'Debt Schedule'!I117</f>
        <v>2071.5261234340746</v>
      </c>
    </row>
    <row r="31" ht="13.5" customHeight="1">
      <c r="B31" t="s" s="34">
        <v>394</v>
      </c>
      <c r="C31" s="34"/>
      <c r="D31" s="34"/>
      <c r="E31" s="34"/>
      <c r="F31" s="34"/>
      <c r="G31" s="34"/>
      <c r="H31" s="34"/>
      <c r="I31" s="34"/>
    </row>
    <row r="32" ht="13.5" customHeight="1">
      <c r="B32" s="4"/>
      <c r="C32" s="38">
        <f>'Debt Schedule'!C6</f>
        <v>46198</v>
      </c>
      <c r="D32" s="39">
        <f>'Debt Schedule'!D6</f>
        <v>46387</v>
      </c>
      <c r="E32" s="39">
        <f>'Debt Schedule'!E6</f>
        <v>46752</v>
      </c>
      <c r="F32" s="39">
        <f>'Debt Schedule'!F6</f>
        <v>47118</v>
      </c>
      <c r="G32" s="39">
        <f>'Debt Schedule'!G6</f>
        <v>47483</v>
      </c>
      <c r="H32" s="39">
        <f>'Debt Schedule'!H6</f>
        <v>47848</v>
      </c>
      <c r="I32" s="39">
        <f>'Debt Schedule'!I6</f>
        <v>48213</v>
      </c>
    </row>
    <row r="33" ht="13.5" customHeight="1">
      <c r="B33" t="s" s="80">
        <v>317</v>
      </c>
      <c r="C33" s="80"/>
      <c r="D33" s="80"/>
      <c r="E33" s="80"/>
      <c r="F33" s="80"/>
      <c r="G33" s="80"/>
      <c r="H33" s="80"/>
      <c r="I33" s="80"/>
    </row>
    <row r="34" ht="13.5" customHeight="1">
      <c r="B34" t="s" s="9">
        <v>298</v>
      </c>
      <c r="C34" s="92">
        <f>'Credit Stats'!C14</f>
        <v>9.624124472009838</v>
      </c>
      <c r="D34" s="92">
        <f>'Credit Stats'!D14</f>
        <v>8.171594536217018</v>
      </c>
      <c r="E34" s="92">
        <f>'Credit Stats'!E14</f>
        <v>6.901005260320336</v>
      </c>
      <c r="F34" s="92">
        <f>'Credit Stats'!F14</f>
        <v>5.904444632451494</v>
      </c>
      <c r="G34" s="92">
        <f>'Credit Stats'!G14</f>
        <v>4.975506696421386</v>
      </c>
      <c r="H34" s="92">
        <f>'Credit Stats'!H14</f>
        <v>4.15832616035263</v>
      </c>
      <c r="I34" s="92">
        <f>'Credit Stats'!I14</f>
        <v>3.374890617600613</v>
      </c>
    </row>
    <row r="35" ht="13.5" customHeight="1">
      <c r="B35" t="s" s="9">
        <v>395</v>
      </c>
      <c r="C35" s="92">
        <f>'Credit Stats'!C16</f>
        <v>9.356787681120675</v>
      </c>
      <c r="D35" s="92">
        <f>'Credit Stats'!D16</f>
        <v>7.9243497383162325</v>
      </c>
      <c r="E35" s="92">
        <f>'Credit Stats'!E16</f>
        <v>6.711359698993447</v>
      </c>
      <c r="F35" s="92">
        <f>'Credit Stats'!F16</f>
        <v>5.738887808626062</v>
      </c>
      <c r="G35" s="92">
        <f>'Credit Stats'!G16</f>
        <v>4.829642596965419</v>
      </c>
      <c r="H35" s="92">
        <f>'Credit Stats'!H16</f>
        <v>4.02754876654451</v>
      </c>
      <c r="I35" s="92">
        <f>'Credit Stats'!I16</f>
        <v>3.256971346292094</v>
      </c>
    </row>
    <row r="36" ht="13.5" customHeight="1">
      <c r="B36" t="s" s="9">
        <v>335</v>
      </c>
      <c r="C36" s="92"/>
      <c r="D36" s="92">
        <f>'Credit Stats'!D20</f>
        <v>2.0918408088826363</v>
      </c>
      <c r="E36" s="92">
        <f>'Credit Stats'!E20</f>
        <v>2.4211846473394085</v>
      </c>
      <c r="F36" s="92">
        <f>'Credit Stats'!F20</f>
        <v>2.4073823216300223</v>
      </c>
      <c r="G36" s="92">
        <f>'Credit Stats'!G20</f>
        <v>2.515787313432431</v>
      </c>
      <c r="H36" s="92">
        <f>'Credit Stats'!H20</f>
        <v>2.969965134551802</v>
      </c>
      <c r="I36" s="92">
        <f>'Credit Stats'!I20</f>
        <v>3.5917560204145804</v>
      </c>
    </row>
    <row r="37" ht="13.5" customHeight="1">
      <c r="B37" t="s" s="9">
        <v>336</v>
      </c>
      <c r="C37" s="92"/>
      <c r="D37" s="92">
        <f>'Credit Stats'!D21</f>
        <v>1.4683771846994707</v>
      </c>
      <c r="E37" s="92">
        <f>'Credit Stats'!E21</f>
        <v>1.70725385902661</v>
      </c>
      <c r="F37" s="92">
        <f>'Credit Stats'!F21</f>
        <v>2.0665662429203735</v>
      </c>
      <c r="G37" s="92">
        <f>'Credit Stats'!G21</f>
        <v>2.515787313432431</v>
      </c>
      <c r="H37" s="92">
        <f>'Credit Stats'!H21</f>
        <v>2.969965134551802</v>
      </c>
      <c r="I37" s="92">
        <f>'Credit Stats'!I21</f>
        <v>3.5917560204145804</v>
      </c>
    </row>
    <row r="38" ht="13.5" customHeight="1">
      <c r="B38" t="s" s="9">
        <v>459</v>
      </c>
      <c r="C38" s="71">
        <f>'Credit Stats'!C30</f>
        <v>0</v>
      </c>
      <c r="D38" s="71">
        <f>'Credit Stats'!D30</f>
        <v>0</v>
      </c>
      <c r="E38" s="71">
        <f>'Credit Stats'!E30</f>
        <v>0</v>
      </c>
      <c r="F38" s="71">
        <f>'Credit Stats'!F30</f>
        <v>0</v>
      </c>
      <c r="G38" s="71">
        <f>'Credit Stats'!G30</f>
        <v>0</v>
      </c>
      <c r="H38" s="71">
        <f>'Credit Stats'!H30</f>
        <v>0</v>
      </c>
      <c r="I38" s="71">
        <f>'Credit Stats'!I30</f>
        <v>0</v>
      </c>
    </row>
    <row r="39" ht="13.5" customHeight="1">
      <c r="B39" t="s" s="9">
        <v>397</v>
      </c>
      <c r="C39" s="25">
        <f>'Credit Stats'!C51</f>
        <v>0.37621415459195495</v>
      </c>
      <c r="D39" s="25">
        <f>'Credit Stats'!D51</f>
        <v>0.4717100174455845</v>
      </c>
      <c r="E39" s="25">
        <f>'Credit Stats'!E51</f>
        <v>0.5525760200671035</v>
      </c>
      <c r="F39" s="25">
        <f>'Credit Stats'!F51</f>
        <v>0.6174074794249291</v>
      </c>
      <c r="G39" s="25">
        <f>'Credit Stats'!G51</f>
        <v>0.678023826868972</v>
      </c>
      <c r="H39" s="25">
        <f>'Credit Stats'!H51</f>
        <v>0.7314967488970326</v>
      </c>
      <c r="I39" s="25">
        <f>'Credit Stats'!I51</f>
        <v>0.7828685769138604</v>
      </c>
    </row>
    <row r="40" ht="13.5" customHeight="1">
      <c r="B40" t="s" s="80">
        <v>318</v>
      </c>
      <c r="C40" s="80"/>
      <c r="D40" s="80"/>
      <c r="E40" s="80"/>
      <c r="F40" s="80"/>
      <c r="G40" s="80"/>
      <c r="H40" s="80"/>
      <c r="I40" s="80"/>
    </row>
    <row r="41" ht="13.5" customHeight="1">
      <c r="B41" t="s" s="9">
        <v>298</v>
      </c>
      <c r="C41" s="92">
        <f>'Credit Stats'!C63</f>
        <v>9.624124472009838</v>
      </c>
      <c r="D41" s="92">
        <f>'Credit Stats'!D63</f>
        <v>8.077111523176784</v>
      </c>
      <c r="E41" s="92">
        <f>'Credit Stats'!E63</f>
        <v>6.425127299583725</v>
      </c>
      <c r="F41" s="92">
        <f>'Credit Stats'!F63</f>
        <v>4.909376186170435</v>
      </c>
      <c r="G41" s="92">
        <f>'Credit Stats'!G63</f>
        <v>3.578346238288606</v>
      </c>
      <c r="H41" s="92">
        <f>'Credit Stats'!H63</f>
        <v>2.422125514338838</v>
      </c>
      <c r="I41" s="92">
        <f>'Credit Stats'!I63</f>
        <v>1.415244349318028</v>
      </c>
    </row>
    <row r="42" ht="13.5" customHeight="1">
      <c r="B42" t="s" s="9">
        <v>395</v>
      </c>
      <c r="C42" s="92">
        <f>'Credit Stats'!C65</f>
        <v>9.356787681120675</v>
      </c>
      <c r="D42" s="92">
        <f>'Credit Stats'!D65</f>
        <v>7.821521582451686</v>
      </c>
      <c r="E42" s="92">
        <f>'Credit Stats'!E65</f>
        <v>6.246037072442232</v>
      </c>
      <c r="F42" s="92">
        <f>'Credit Stats'!F65</f>
        <v>4.76485936195201</v>
      </c>
      <c r="G42" s="92">
        <f>'Credit Stats'!G65</f>
        <v>3.460270978122764</v>
      </c>
      <c r="H42" s="92">
        <f>'Credit Stats'!H65</f>
        <v>2.324013174961192</v>
      </c>
      <c r="I42" s="92">
        <f>'Credit Stats'!I65</f>
        <v>1.3316062505093673</v>
      </c>
    </row>
    <row r="43" ht="13.5" customHeight="1">
      <c r="B43" t="s" s="9">
        <v>335</v>
      </c>
      <c r="C43" s="92"/>
      <c r="D43" s="92">
        <f>'Credit Stats'!D69</f>
        <v>2.116310375986746</v>
      </c>
      <c r="E43" s="92">
        <f>'Credit Stats'!E69</f>
        <v>2.581441274805994</v>
      </c>
      <c r="F43" s="92">
        <f>'Credit Stats'!F69</f>
        <v>2.842225637368559</v>
      </c>
      <c r="G43" s="92">
        <f>'Credit Stats'!G69</f>
        <v>3.3725697924207734</v>
      </c>
      <c r="H43" s="92">
        <f>'Credit Stats'!H69</f>
        <v>4.7405236500947066</v>
      </c>
      <c r="I43" s="92">
        <f>'Credit Stats'!I69</f>
        <v>7.337852617426283</v>
      </c>
    </row>
    <row r="44" ht="13.5" customHeight="1">
      <c r="B44" t="s" s="9">
        <v>336</v>
      </c>
      <c r="C44" s="92"/>
      <c r="D44" s="92">
        <f>'Credit Stats'!D70</f>
        <v>1.4855537087937396</v>
      </c>
      <c r="E44" s="92">
        <f>'Credit Stats'!E70</f>
        <v>1.8203820066039327</v>
      </c>
      <c r="F44" s="92">
        <f>'Credit Stats'!F70</f>
        <v>2.440180146333365</v>
      </c>
      <c r="G44" s="92">
        <f>'Credit Stats'!G70</f>
        <v>3.3725697924207734</v>
      </c>
      <c r="H44" s="92">
        <f>'Credit Stats'!H70</f>
        <v>4.7405236500947066</v>
      </c>
      <c r="I44" s="92">
        <f>'Credit Stats'!I70</f>
        <v>7.337852617426283</v>
      </c>
    </row>
    <row r="45" ht="13.5" customHeight="1">
      <c r="B45" t="s" s="9">
        <v>459</v>
      </c>
      <c r="C45" s="71">
        <f>'Credit Stats'!C79</f>
        <v>0</v>
      </c>
      <c r="D45" s="71">
        <f>'Credit Stats'!D79</f>
        <v>0</v>
      </c>
      <c r="E45" s="71">
        <f>'Credit Stats'!E79</f>
        <v>0</v>
      </c>
      <c r="F45" s="71">
        <f>'Credit Stats'!F79</f>
        <v>0</v>
      </c>
      <c r="G45" s="71">
        <f>'Credit Stats'!G79</f>
        <v>0</v>
      </c>
      <c r="H45" s="71">
        <f>'Credit Stats'!H79</f>
        <v>0</v>
      </c>
      <c r="I45" s="71">
        <f>'Credit Stats'!I79</f>
        <v>0</v>
      </c>
    </row>
    <row r="46" ht="13.5" customHeight="1">
      <c r="B46" t="s" s="9">
        <v>397</v>
      </c>
      <c r="C46" s="25">
        <f>'Credit Stats'!C100</f>
        <v>0.37621415459195495</v>
      </c>
      <c r="D46" s="25">
        <f>'Credit Stats'!D100</f>
        <v>0.4785652278365543</v>
      </c>
      <c r="E46" s="25">
        <f>'Credit Stats'!E100</f>
        <v>0.5835975285038513</v>
      </c>
      <c r="F46" s="25">
        <f>'Credit Stats'!F100</f>
        <v>0.6823427092031993</v>
      </c>
      <c r="G46" s="25">
        <f>'Credit Stats'!G100</f>
        <v>0.769315268125149</v>
      </c>
      <c r="H46" s="25">
        <f>'Credit Stats'!H100</f>
        <v>0.8450657883359205</v>
      </c>
      <c r="I46" s="25">
        <f>'Credit Stats'!I100</f>
        <v>0.9112262499660422</v>
      </c>
    </row>
    <row r="47" ht="13.5" customHeight="1">
      <c r="B47" t="s" s="80">
        <v>456</v>
      </c>
      <c r="C47" s="80"/>
      <c r="D47" s="80"/>
      <c r="E47" s="80"/>
      <c r="F47" s="80"/>
      <c r="G47" s="80"/>
      <c r="H47" s="80"/>
      <c r="I47" s="80"/>
    </row>
    <row r="48" ht="13.5" customHeight="1">
      <c r="B48" t="s" s="9">
        <v>298</v>
      </c>
      <c r="C48" s="92">
        <f>'Credit Stats'!C112</f>
        <v>9.624124472009838</v>
      </c>
      <c r="D48" s="92">
        <f>'Credit Stats'!D112</f>
        <v>8.743157665556527</v>
      </c>
      <c r="E48" s="92">
        <f>'Credit Stats'!E112</f>
        <v>7.686910722705697</v>
      </c>
      <c r="F48" s="92">
        <f>'Credit Stats'!F112</f>
        <v>6.883445622247265</v>
      </c>
      <c r="G48" s="92">
        <f>'Credit Stats'!G112</f>
        <v>6.130644032883715</v>
      </c>
      <c r="H48" s="92">
        <f>'Credit Stats'!H112</f>
        <v>5.493624689554232</v>
      </c>
      <c r="I48" s="92">
        <f>'Credit Stats'!I112</f>
        <v>4.882422591667215</v>
      </c>
    </row>
    <row r="49" ht="13.5" customHeight="1">
      <c r="B49" t="s" s="9">
        <v>395</v>
      </c>
      <c r="C49" s="92">
        <f>'Credit Stats'!C114</f>
        <v>9.356787681120675</v>
      </c>
      <c r="D49" s="92">
        <f>'Credit Stats'!D114</f>
        <v>8.503661902642735</v>
      </c>
      <c r="E49" s="92">
        <f>'Credit Stats'!E114</f>
        <v>7.479060551535004</v>
      </c>
      <c r="F49" s="92">
        <f>'Credit Stats'!F114</f>
        <v>6.697162779059884</v>
      </c>
      <c r="G49" s="92">
        <f>'Credit Stats'!G114</f>
        <v>5.96210163859203</v>
      </c>
      <c r="H49" s="92">
        <f>'Credit Stats'!H114</f>
        <v>5.338354086544655</v>
      </c>
      <c r="I49" s="92">
        <f>'Credit Stats'!I114</f>
        <v>4.738540167019533</v>
      </c>
    </row>
    <row r="50" ht="13.5" customHeight="1">
      <c r="B50" t="s" s="9">
        <v>335</v>
      </c>
      <c r="C50" s="92"/>
      <c r="D50" s="92">
        <f>'Credit Stats'!D118</f>
        <v>1.9558069930890052</v>
      </c>
      <c r="E50" s="92">
        <f>'Credit Stats'!E118</f>
        <v>2.1904408903875803</v>
      </c>
      <c r="F50" s="92">
        <f>'Credit Stats'!F118</f>
        <v>2.0823226376960244</v>
      </c>
      <c r="G50" s="92">
        <f>'Credit Stats'!G118</f>
        <v>2.0722229831046843</v>
      </c>
      <c r="H50" s="92">
        <f>'Credit Stats'!H118</f>
        <v>2.2983909239116187</v>
      </c>
      <c r="I50" s="92">
        <f>'Credit Stats'!I118</f>
        <v>2.567307152621318</v>
      </c>
    </row>
    <row r="51" ht="13.5" customHeight="1">
      <c r="B51" t="s" s="9">
        <v>336</v>
      </c>
      <c r="C51" s="92"/>
      <c r="D51" s="92">
        <f>'Credit Stats'!D119</f>
        <v>1.3731579980567168</v>
      </c>
      <c r="E51" s="92">
        <f>'Credit Stats'!E119</f>
        <v>1.5447194493881184</v>
      </c>
      <c r="F51" s="92">
        <f>'Credit Stats'!F119</f>
        <v>1.7878615941139075</v>
      </c>
      <c r="G51" s="92">
        <f>'Credit Stats'!G119</f>
        <v>2.0722229831046843</v>
      </c>
      <c r="H51" s="92">
        <f>'Credit Stats'!H119</f>
        <v>2.2983909239116187</v>
      </c>
      <c r="I51" s="92">
        <f>'Credit Stats'!I119</f>
        <v>2.567307152621318</v>
      </c>
    </row>
    <row r="52" ht="13.5" customHeight="1">
      <c r="B52" t="s" s="9">
        <v>459</v>
      </c>
      <c r="C52" s="71">
        <f>'Credit Stats'!C128</f>
        <v>0</v>
      </c>
      <c r="D52" s="71">
        <f>'Credit Stats'!D128</f>
        <v>2.809493263308953</v>
      </c>
      <c r="E52" s="71">
        <f>'Credit Stats'!E128</f>
        <v>0</v>
      </c>
      <c r="F52" s="71">
        <f>'Credit Stats'!F128</f>
        <v>0</v>
      </c>
      <c r="G52" s="71">
        <f>'Credit Stats'!G128</f>
        <v>0</v>
      </c>
      <c r="H52" s="71">
        <f>'Credit Stats'!H128</f>
        <v>0</v>
      </c>
      <c r="I52" s="71">
        <f>'Credit Stats'!I128</f>
        <v>0</v>
      </c>
    </row>
    <row r="53" ht="13.5" customHeight="1">
      <c r="B53" t="s" s="9">
        <v>397</v>
      </c>
      <c r="C53" s="25">
        <f>'Credit Stats'!C149</f>
        <v>0.37621415459195495</v>
      </c>
      <c r="D53" s="25">
        <f>'Credit Stats'!D149</f>
        <v>0.4330892064904843</v>
      </c>
      <c r="E53" s="25">
        <f>'Credit Stats'!E149</f>
        <v>0.5013959632309997</v>
      </c>
      <c r="F53" s="25">
        <f>'Credit Stats'!F149</f>
        <v>0.5535224813960078</v>
      </c>
      <c r="G53" s="25">
        <f>'Credit Stats'!G149</f>
        <v>0.6025265574271981</v>
      </c>
      <c r="H53" s="25">
        <f>'Credit Stats'!H149</f>
        <v>0.6441097275636897</v>
      </c>
      <c r="I53" s="25">
        <f>'Credit Stats'!I149</f>
        <v>0.6840973221986978</v>
      </c>
    </row>
    <row r="54" ht="13.5" customHeight="1">
      <c r="B54" t="s" s="78">
        <v>534</v>
      </c>
    </row>
    <row r="55" ht="13.5" customHeight="1"/>
    <row r="56" ht="13.5" customHeight="1">
      <c r="B56" t="s" s="34">
        <v>504</v>
      </c>
      <c r="C56" s="34"/>
      <c r="D56" s="34"/>
      <c r="E56" s="34"/>
      <c r="F56" s="34"/>
      <c r="G56" s="34"/>
      <c r="H56" s="34"/>
      <c r="I56" s="34"/>
    </row>
    <row r="57" ht="13.5" customHeight="1">
      <c r="C57" t="s" s="93">
        <v>507</v>
      </c>
      <c r="D57" t="s" s="36">
        <v>508</v>
      </c>
      <c r="E57" s="36"/>
      <c r="F57" s="36"/>
      <c r="G57" t="s" s="36">
        <v>511</v>
      </c>
      <c r="H57" s="36"/>
      <c r="I57" s="36"/>
    </row>
    <row r="58" ht="26" customHeight="1">
      <c r="B58" t="s" s="68">
        <v>355</v>
      </c>
      <c r="C58" t="s" s="69">
        <v>350</v>
      </c>
      <c r="D58" t="s" s="69">
        <v>509</v>
      </c>
      <c r="E58" t="s" s="69">
        <v>510</v>
      </c>
      <c r="F58" t="s" s="69">
        <v>411</v>
      </c>
      <c r="G58" t="s" s="69">
        <v>512</v>
      </c>
      <c r="H58" t="s" s="69">
        <v>500</v>
      </c>
      <c r="I58" t="s" s="69">
        <v>501</v>
      </c>
    </row>
    <row r="59" ht="13.5" customHeight="1">
      <c r="B59" t="s" s="80">
        <v>317</v>
      </c>
      <c r="C59" s="80"/>
      <c r="D59" s="80"/>
      <c r="E59" s="80"/>
      <c r="F59" s="80"/>
      <c r="G59" s="80"/>
      <c r="H59" s="80"/>
      <c r="I59" s="80"/>
    </row>
    <row r="60" ht="13.5" customHeight="1">
      <c r="B60" t="s" s="9">
        <v>377</v>
      </c>
      <c r="C60" s="57">
        <f>Scenarios!E38</f>
        <v>4.02754876654451</v>
      </c>
      <c r="D60" s="57">
        <f>Scenarios!E41</f>
        <v>2.0918408088826363</v>
      </c>
      <c r="E60" s="57">
        <f>Scenarios!E42</f>
        <v>1.4683771846994707</v>
      </c>
      <c r="F60" s="71">
        <f>Scenarios!E47</f>
        <v>0</v>
      </c>
      <c r="G60" s="94">
        <f>Scenarios!E53</f>
        <v>0.2107179328633042</v>
      </c>
      <c r="H60" s="94">
        <f>Scenarios!E55</f>
        <v>0.2107179328633042</v>
      </c>
      <c r="I60" s="95">
        <f>Scenarios!E54</f>
        <v>2.3735574644539166</v>
      </c>
    </row>
    <row r="61" ht="13.5" customHeight="1">
      <c r="B61" t="s" s="9">
        <v>378</v>
      </c>
      <c r="C61" s="57">
        <f>Scenarios!F38</f>
        <v>3.995396783752604</v>
      </c>
      <c r="D61" s="57">
        <f>Scenarios!F41</f>
        <v>1.5170524647137924</v>
      </c>
      <c r="E61" s="57">
        <f>Scenarios!F42</f>
        <v>1.5170524647137924</v>
      </c>
      <c r="F61" s="71">
        <f>Scenarios!F47</f>
        <v>23.706172071956036</v>
      </c>
      <c r="G61" s="94">
        <f>Scenarios!F53</f>
        <v>0.2110804030983986</v>
      </c>
      <c r="H61" s="94">
        <f>Scenarios!F55</f>
        <v>0.2110804030983986</v>
      </c>
      <c r="I61" s="95">
        <f>Scenarios!F54</f>
        <v>2.3767714881518818</v>
      </c>
    </row>
    <row r="62" ht="13.5" customHeight="1">
      <c r="B62" t="s" s="9">
        <v>402</v>
      </c>
      <c r="C62" s="57">
        <f>Scenarios!G38</f>
        <v>4.613810211978429</v>
      </c>
      <c r="D62" s="57">
        <f>Scenarios!G41</f>
        <v>2.0918408088826363</v>
      </c>
      <c r="E62" s="57">
        <f>Scenarios!G42</f>
        <v>1.4683771846994707</v>
      </c>
      <c r="F62" s="71">
        <f>Scenarios!G47</f>
        <v>0</v>
      </c>
      <c r="G62" s="94">
        <f>Scenarios!G53</f>
        <v>0.2144568082768712</v>
      </c>
      <c r="H62" s="94">
        <f>Scenarios!G55</f>
        <v>0.2144568082768712</v>
      </c>
      <c r="I62" s="95">
        <f>Scenarios!G54</f>
        <v>2.406873197495215</v>
      </c>
    </row>
    <row r="63" ht="13.5" customHeight="1">
      <c r="B63" t="s" s="9">
        <v>403</v>
      </c>
      <c r="C63" s="57">
        <f>Scenarios!H38</f>
        <v>4.276377563998076</v>
      </c>
      <c r="D63" s="57">
        <f>Scenarios!H41</f>
        <v>1.7856514659705331</v>
      </c>
      <c r="E63" s="57">
        <f>Scenarios!H42</f>
        <v>1.310623236867472</v>
      </c>
      <c r="F63" s="71">
        <f>Scenarios!H47</f>
        <v>6.132595648831919</v>
      </c>
      <c r="G63" s="94">
        <f>Scenarios!H53</f>
        <v>0.20789972025952808</v>
      </c>
      <c r="H63" s="94">
        <f>Scenarios!H55</f>
        <v>0.20789972025952808</v>
      </c>
      <c r="I63" s="95">
        <f>Scenarios!H54</f>
        <v>2.348683674960806</v>
      </c>
    </row>
    <row r="64" ht="13.5" customHeight="1">
      <c r="B64" t="s" s="9">
        <v>404</v>
      </c>
      <c r="C64" s="57">
        <f>Scenarios!I38</f>
        <v>3.7910196808482253</v>
      </c>
      <c r="D64" s="57">
        <f>Scenarios!I41</f>
        <v>2.519796672551286</v>
      </c>
      <c r="E64" s="57">
        <f>Scenarios!I42</f>
        <v>1.6671293024459661</v>
      </c>
      <c r="F64" s="71">
        <f>Scenarios!I47</f>
        <v>0</v>
      </c>
      <c r="G64" s="94">
        <f>Scenarios!I53</f>
        <v>0.21337559668933492</v>
      </c>
      <c r="H64" s="94">
        <f>Scenarios!I55</f>
        <v>0.21337559668933492</v>
      </c>
      <c r="I64" s="95">
        <f>Scenarios!I54</f>
        <v>2.3972017321062777</v>
      </c>
    </row>
    <row r="65" ht="13.5" customHeight="1">
      <c r="B65" t="s" s="80">
        <v>318</v>
      </c>
      <c r="C65" s="80"/>
      <c r="D65" s="80"/>
      <c r="E65" s="80"/>
      <c r="F65" s="80"/>
      <c r="G65" s="80"/>
      <c r="H65" s="80"/>
      <c r="I65" s="80"/>
    </row>
    <row r="66" ht="13.5" customHeight="1">
      <c r="B66" t="s" s="9">
        <v>377</v>
      </c>
      <c r="C66" s="57">
        <f>Scenarios!E63</f>
        <v>2.324013174961192</v>
      </c>
      <c r="D66" s="57">
        <f>Scenarios!E66</f>
        <v>2.116310375986746</v>
      </c>
      <c r="E66" s="57">
        <f>Scenarios!E67</f>
        <v>1.4855537087937396</v>
      </c>
      <c r="F66" s="71">
        <f>Scenarios!E72</f>
        <v>0</v>
      </c>
      <c r="G66" s="94">
        <f>Scenarios!E78</f>
        <v>0.3242314017059704</v>
      </c>
      <c r="H66" s="94">
        <f>Scenarios!E80</f>
        <v>0.3279378895669589</v>
      </c>
      <c r="I66" s="95">
        <f>Scenarios!E79</f>
        <v>3.604383407842632</v>
      </c>
    </row>
    <row r="67" ht="13.5" customHeight="1">
      <c r="B67" t="s" s="9">
        <v>378</v>
      </c>
      <c r="C67" s="57">
        <f>Scenarios!F63</f>
        <v>2.300043139022376</v>
      </c>
      <c r="D67" s="57">
        <f>Scenarios!F66</f>
        <v>1.535803182389038</v>
      </c>
      <c r="E67" s="57">
        <f>Scenarios!F67</f>
        <v>1.535803182389038</v>
      </c>
      <c r="F67" s="71">
        <f>Scenarios!F72</f>
        <v>19.87209177756768</v>
      </c>
      <c r="G67" s="94">
        <f>Scenarios!F78</f>
        <v>0.32449418428395416</v>
      </c>
      <c r="H67" s="94">
        <f>Scenarios!F80</f>
        <v>0.3281981001456318</v>
      </c>
      <c r="I67" s="95">
        <f>Scenarios!F79</f>
        <v>3.6075772911622925</v>
      </c>
    </row>
    <row r="68" ht="13.5" customHeight="1">
      <c r="B68" t="s" s="9">
        <v>402</v>
      </c>
      <c r="C68" s="57">
        <f>Scenarios!G63</f>
        <v>2.864709932964224</v>
      </c>
      <c r="D68" s="57">
        <f>Scenarios!G66</f>
        <v>2.116310375986746</v>
      </c>
      <c r="E68" s="57">
        <f>Scenarios!G67</f>
        <v>1.4855537087937396</v>
      </c>
      <c r="F68" s="71">
        <f>Scenarios!G72</f>
        <v>0</v>
      </c>
      <c r="G68" s="94">
        <f>Scenarios!G78</f>
        <v>0.32697057116345896</v>
      </c>
      <c r="H68" s="94">
        <f>Scenarios!G80</f>
        <v>0.3306503608954898</v>
      </c>
      <c r="I68" s="95">
        <f>Scenarios!G79</f>
        <v>3.637785284105621</v>
      </c>
    </row>
    <row r="69" ht="13.5" customHeight="1">
      <c r="B69" t="s" s="9">
        <v>403</v>
      </c>
      <c r="C69" s="57">
        <f>Scenarios!H63</f>
        <v>2.500053618422938</v>
      </c>
      <c r="D69" s="57">
        <f>Scenarios!H66</f>
        <v>1.8081208613477555</v>
      </c>
      <c r="E69" s="57">
        <f>Scenarios!H67</f>
        <v>1.3268062090703572</v>
      </c>
      <c r="F69" s="71">
        <f>Scenarios!H72</f>
        <v>2.288364588190542</v>
      </c>
      <c r="G69" s="94">
        <f>Scenarios!H78</f>
        <v>0.32229582891066566</v>
      </c>
      <c r="H69" s="94">
        <f>Scenarios!H80</f>
        <v>0.32602133178262305</v>
      </c>
      <c r="I69" s="95">
        <f>Scenarios!H79</f>
        <v>3.5809269292043346</v>
      </c>
    </row>
    <row r="70" ht="13.5" customHeight="1">
      <c r="B70" t="s" s="9">
        <v>404</v>
      </c>
      <c r="C70" s="57">
        <f>Scenarios!I63</f>
        <v>2.1567452445023174</v>
      </c>
      <c r="D70" s="57">
        <f>Scenarios!I66</f>
        <v>2.549272306407307</v>
      </c>
      <c r="E70" s="57">
        <f>Scenarios!I67</f>
        <v>1.6866307540689602</v>
      </c>
      <c r="F70" s="71">
        <f>Scenarios!I72</f>
        <v>0</v>
      </c>
      <c r="G70" s="94">
        <f>Scenarios!I78</f>
        <v>0.3260613377386328</v>
      </c>
      <c r="H70" s="94">
        <f>Scenarios!I80</f>
        <v>0.3297499622573927</v>
      </c>
      <c r="I70" s="95">
        <f>Scenarios!I79</f>
        <v>3.6266709944933293</v>
      </c>
    </row>
    <row r="71" ht="13.5" customHeight="1">
      <c r="B71" t="s" s="80">
        <v>456</v>
      </c>
      <c r="C71" s="80"/>
      <c r="D71" s="80"/>
      <c r="E71" s="80"/>
      <c r="F71" s="80"/>
      <c r="G71" s="80"/>
      <c r="H71" s="80"/>
      <c r="I71" s="80"/>
    </row>
    <row r="72" ht="13.5" customHeight="1">
      <c r="B72" t="s" s="9">
        <v>487</v>
      </c>
      <c r="C72" s="57">
        <f>Scenarios!E88</f>
        <v>5.3383540865633</v>
      </c>
      <c r="D72" s="57">
        <f>Scenarios!E91</f>
        <v>1.9558069930890054</v>
      </c>
      <c r="E72" s="57">
        <f>Scenarios!E92</f>
        <v>1.3731579980567168</v>
      </c>
      <c r="F72" s="71">
        <f>Scenarios!E97</f>
        <v>2.8094932633086014</v>
      </c>
      <c r="G72" s="94">
        <f>Scenarios!E103</f>
        <v>0.1634349383461282</v>
      </c>
      <c r="H72" s="94">
        <f>Scenarios!E105</f>
        <v>0.14244200888356717</v>
      </c>
      <c r="I72" s="95">
        <f>Scenarios!E104</f>
        <v>1.825753375495188</v>
      </c>
    </row>
    <row r="73" ht="13.5" customHeight="1">
      <c r="B73" t="s" s="9">
        <v>488</v>
      </c>
      <c r="C73" s="57">
        <f>Scenarios!F88</f>
        <v>5.299443314480692</v>
      </c>
      <c r="D73" s="57">
        <f>Scenarios!F91</f>
        <v>1.4167607475536663</v>
      </c>
      <c r="E73" s="57">
        <f>Scenarios!F92</f>
        <v>1.4167607475536663</v>
      </c>
      <c r="F73" s="71">
        <f>Scenarios!F97</f>
        <v>62.36343415616996</v>
      </c>
      <c r="G73" s="94">
        <f>Scenarios!F103</f>
        <v>0.1638599844232025</v>
      </c>
      <c r="H73" s="94">
        <f>Scenarios!F105</f>
        <v>0.14289516968949711</v>
      </c>
      <c r="I73" s="95">
        <f>Scenarios!F104</f>
        <v>1.8290294562678169</v>
      </c>
    </row>
    <row r="74" ht="13.5" customHeight="1">
      <c r="B74" t="s" s="9">
        <v>489</v>
      </c>
      <c r="C74" s="57">
        <f>Scenarios!J88</f>
        <v>5.984636832357126</v>
      </c>
      <c r="D74" s="57">
        <f>Scenarios!J91</f>
        <v>1.4509161001899873</v>
      </c>
      <c r="E74" s="57">
        <f>Scenarios!J92</f>
        <v>1.1035455113897397</v>
      </c>
      <c r="F74" s="71">
        <f>Scenarios!J97</f>
        <v>127.20829482467572</v>
      </c>
      <c r="G74" s="94">
        <f>Scenarios!J103</f>
        <v>0.1562938990774354</v>
      </c>
      <c r="H74" s="94">
        <f>Scenarios!J105</f>
        <v>0.13482105632121888</v>
      </c>
      <c r="I74" s="95">
        <f>Scenarios!J104</f>
        <v>1.7713397937579214</v>
      </c>
    </row>
    <row r="75" ht="13.5" customHeight="1">
      <c r="B75" t="s" s="78">
        <v>529</v>
      </c>
    </row>
    <row r="76" ht="13.5" customHeight="1"/>
    <row r="77" ht="13.5" customHeight="1"/>
    <row r="78" ht="13.5" customHeight="1"/>
    <row r="79" ht="13.5" customHeight="1"/>
    <row r="80" ht="13.5" customHeight="1"/>
    <row r="81" ht="13.5" customHeight="1"/>
  </sheetData>
  <printOptions horizontalCentered="1"/>
  <pageMargins left="0.7" right="0.7" top="0.75" bottom="0.75" header="0.3" footer="0.3"/>
  <pageSetup orientation="landscape" fitToWidth="1" fitToHeight="1"/>
</worksheet>
</file>

<file path=ccalc/calcState.xml><?xml version="1.0" encoding="utf-8"?>
<calcState xmlns="urn:twentyai:ccalc:calc-state" version="1" digest="a9c88fe275b7afda333c9db7c0b64071e3afee6dc7bed7e077ef2242d82b423d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2026-10-22T03:51:11Z</dcterms:created>
  <dcterms:modified xsi:type="dcterms:W3CDTF">2026-10-22T03:51:11Z</dcterms:modified>
  <cp:category/>
  <cp:contentStatus/>
</cp:coreProperties>
</file>