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4ac="http://schemas.microsoft.com/office/spreadsheetml/2009/9/ac" mc:Ignorable="x14ac">
  <bookViews>
    <workbookView activeTab="0"/>
  </bookViews>
  <sheets>
    <sheet name="Findings" sheetId="1" r:id="rId1"/>
    <sheet name="Tie-out" sheetId="2" r:id="rId2"/>
    <sheet name="QoE Retest" sheetId="3" r:id="rId3"/>
    <sheet name="Revenue Quality" sheetId="4" r:id="rId4"/>
    <sheet name="Tenant Cohorts" sheetId="9" r:id="rId5"/>
    <sheet name="Proof of Cash" sheetId="5" r:id="rId6"/>
    <sheet name="Net Debt" sheetId="6" r:id="rId7"/>
    <sheet name="Request List" sheetId="7" r:id="rId8"/>
    <sheet name="Sources" sheetId="8" r:id="rId9"/>
  </sheets>
  <definedNames>
    <definedName name="_xlnm.Print_Area" localSheetId="0">Findings!$B$2:$K$44</definedName>
  </definedNames>
  <calcPr/>
  <extLst>
    <ext xmlns:xccaches="urn:twentyai:ccalc:caches" uri="{3C5F2E7A-9B41-4D6E-A8C2-19409CCA1C01}">
      <xccaches:writer/>
    </ext>
  </extLst>
</workbook>
</file>

<file path=xl/comments1.xml><?xml version="1.0" encoding="utf-8"?>
<comments xmlns="http://schemas.openxmlformats.org/spreadsheetml/2006/main">
  <authors>
    <author>Compound</author>
  </authors>
  <commentList>
    <comment ref="D44" authorId="0">
      <text>
        <r>
          <t xml:space="preserve">11.04 Project_Voltaic_Sell-Side_QoE_Report_DRAFT p. 7</t>
        </r>
      </text>
    </comment>
    <comment ref="E44" authorId="0">
      <text>
        <r>
          <t xml:space="preserve">2.03 Audited_Financial_Statements_FY25_vF p. 13</t>
        </r>
      </text>
    </comment>
  </commentList>
</comments>
</file>

<file path=xl/comments2.xml><?xml version="1.0" encoding="utf-8"?>
<comments xmlns="http://schemas.openxmlformats.org/spreadsheetml/2006/main">
  <authors>
    <author>Compound</author>
  </authors>
  <commentList>
    <comment ref="C13" authorId="0">
      <text>
        <r>
          <t xml:space="preserve">Cited for C13:C15
11.04 Project_Voltaic_Sell-Side_QoE_Report_DRAFT p. 19</t>
        </r>
      </text>
    </comment>
    <comment ref="C17" authorId="0">
      <text>
        <r>
          <t xml:space="preserve">11.04 Project_Voltaic_Sell-Side_QoE_Report_DRAFT p. 19</t>
        </r>
      </text>
    </comment>
    <comment ref="C18" authorId="0">
      <text>
        <r>
          <t xml:space="preserve">11.04 Project_Voltaic_Sell-Side_QoE_Report_DRAFT p. 13</t>
        </r>
      </text>
    </comment>
    <comment ref="C19" authorId="0">
      <text>
        <r>
          <t xml:space="preserve">11.04 Project_Voltaic_Sell-Side_QoE_Report_DRAFT p. 6</t>
        </r>
      </text>
    </comment>
    <comment ref="C21" authorId="0">
      <text>
        <r>
          <t xml:space="preserve">Cited for C21:C22
11.04 Project_Voltaic_Sell-Side_QoE_Report_DRAFT p. 6</t>
        </r>
      </text>
    </comment>
    <comment ref="C24" authorId="0">
      <text>
        <r>
          <t xml:space="preserve">11.04 Project_Voltaic_Sell-Side_QoE_Report_DRAFT p. 19</t>
        </r>
      </text>
    </comment>
    <comment ref="C31" authorId="0">
      <text>
        <r>
          <t xml:space="preserve">Cited for C31:C34
2.04 Consolidated_Financial_Statements_2023-2025_Excel (2023 IS A6:B24)</t>
        </r>
      </text>
    </comment>
    <comment ref="C43" authorId="0">
      <text>
        <r>
          <t xml:space="preserve">Cited for C43:C44
11.04 Project_Voltaic_Sell-Side_QoE_Report_DRAFT p. 19</t>
        </r>
      </text>
    </comment>
    <comment ref="C46" authorId="0">
      <text>
        <r>
          <t xml:space="preserve">Cited for C46:C47
11.04 Project_Voltaic_Sell-Side_QoE_Report_DRAFT p. 19</t>
        </r>
      </text>
    </comment>
    <comment ref="C51" authorId="0">
      <text>
        <r>
          <t xml:space="preserve">11.04 Project_Voltaic_Sell-Side_QoE_Report_DRAFT p. 19</t>
        </r>
      </text>
    </comment>
    <comment ref="C56" authorId="0">
      <text>
        <r>
          <t xml:space="preserve">Cited for C56:C57
11.04 Project_Voltaic_Sell-Side_QoE_Report_DRAFT p. 19</t>
        </r>
      </text>
    </comment>
    <comment ref="C60" authorId="0">
      <text>
        <r>
          <t xml:space="preserve">Cited for C60:C61
11.04 Project_Voltaic_Sell-Side_QoE_Report_DRAFT p. 20</t>
        </r>
      </text>
    </comment>
    <comment ref="C66" authorId="0">
      <text>
        <r>
          <t xml:space="preserve">Cited for C66:C67
2.03 Audited_Financial_Statements_FY25_vF p. 4</t>
        </r>
      </text>
    </comment>
    <comment ref="C68" authorId="0">
      <text>
        <r>
          <t xml:space="preserve">Cited for C68:C69
2.05 Management_Accounts_FY25_Monthly_v3 (P&amp;L (Monthly) A6:N21)</t>
        </r>
      </text>
    </comment>
    <comment ref="C71" authorId="0">
      <text>
        <r>
          <t xml:space="preserve">2.04 Consolidated_Financial_Statements_2023-2025_Excel (2025 IS A6:B24)</t>
        </r>
      </text>
    </comment>
    <comment ref="C8" authorId="0">
      <text>
        <r>
          <t xml:space="preserve">Cited for C8:C11
11.04 Project_Voltaic_Sell-Side_QoE_Report_DRAFT p. 19</t>
        </r>
      </text>
    </comment>
    <comment ref="D13" authorId="0">
      <text>
        <r>
          <t xml:space="preserve">Cited for D13:D15
2.03 Audited_Financial_Statements_FY25_vF p. 4</t>
        </r>
      </text>
    </comment>
    <comment ref="D17" authorId="0">
      <text>
        <r>
          <t xml:space="preserve">Cited for D17:D19
2.03 Audited_Financial_Statements_FY25_vF p. 4</t>
        </r>
      </text>
    </comment>
    <comment ref="D21" authorId="0">
      <text>
        <r>
          <t xml:space="preserve">Cited for D21:D22
2.03 Audited_Financial_Statements_FY25_vF p. 4</t>
        </r>
      </text>
    </comment>
    <comment ref="D24" authorId="0">
      <text>
        <r>
          <t xml:space="preserve">2.03 Audited_Financial_Statements_FY25_vF p. 4</t>
        </r>
      </text>
    </comment>
    <comment ref="D31" authorId="0">
      <text>
        <r>
          <t xml:space="preserve">Cited for D31:D34
2.04 Consolidated_Financial_Statements_2023-2025_Excel (2024 IS A6:B24)</t>
        </r>
      </text>
    </comment>
    <comment ref="D44" authorId="0">
      <text>
        <r>
          <t xml:space="preserve">Cited for D44:D45
11.04 Project_Voltaic_Sell-Side_QoE_Report_DRAFT p. 15</t>
        </r>
      </text>
    </comment>
    <comment ref="D52" authorId="0">
      <text>
        <r>
          <t xml:space="preserve">11.04 Project_Voltaic_Sell-Side_QoE_Report_DRAFT p. 15</t>
        </r>
      </text>
    </comment>
    <comment ref="D54" authorId="0">
      <text>
        <r>
          <t xml:space="preserve">11.04 Project_Voltaic_Sell-Side_QoE_Report_DRAFT p. 15</t>
        </r>
      </text>
    </comment>
    <comment ref="D66" authorId="0">
      <text>
        <r>
          <t xml:space="preserve">Cited for D66:D69
2.07 Q1_FY26_Flash_Report_2026.04 (Q1 FY26 Flash A6:F17)</t>
        </r>
      </text>
    </comment>
    <comment ref="D71" authorId="0">
      <text>
        <r>
          <t xml:space="preserve">2.07 Q1_FY26_Flash_Report_2026.04 (Q1 FY26 Flash A6:F17)</t>
        </r>
      </text>
    </comment>
    <comment ref="D8" authorId="0">
      <text>
        <r>
          <t xml:space="preserve">Cited for D8:D11
2.03 Audited_Financial_Statements_FY25_vF p. 4</t>
        </r>
      </text>
    </comment>
    <comment ref="E13" authorId="0">
      <text>
        <r>
          <t xml:space="preserve">Cited for E13:E15
2.04 Consolidated_Financial_Statements_2023-2025_Excel (2025 IS A6:B24)</t>
        </r>
      </text>
    </comment>
    <comment ref="E17" authorId="0">
      <text>
        <r>
          <t xml:space="preserve">Cited for E17:E19
2.04 Consolidated_Financial_Statements_2023-2025_Excel (2025 IS A6:B24)</t>
        </r>
      </text>
    </comment>
    <comment ref="E21" authorId="0">
      <text>
        <r>
          <t xml:space="preserve">Cited for E21:E22
2.04 Consolidated_Financial_Statements_2023-2025_Excel (2025 IS A6:B24)</t>
        </r>
      </text>
    </comment>
    <comment ref="E24" authorId="0">
      <text>
        <r>
          <t xml:space="preserve">2.04 Consolidated_Financial_Statements_2023-2025_Excel (2025 IS A6:B24)</t>
        </r>
      </text>
    </comment>
    <comment ref="E31" authorId="0">
      <text>
        <r>
          <t xml:space="preserve">Cited for E31:E34
2.03 Audited_Financial_Statements_FY25_vF p. 4</t>
        </r>
      </text>
    </comment>
    <comment ref="E37" authorId="0">
      <text>
        <r>
          <t xml:space="preserve">Cited for C37:E37
2.03 Audited_Financial_Statements_FY25_vF p. 16</t>
        </r>
      </text>
    </comment>
    <comment ref="E39" authorId="0">
      <text>
        <r>
          <t xml:space="preserve">Cited for C39:E39
11.04 Project_Voltaic_Sell-Side_QoE_Report_DRAFT p. 4</t>
        </r>
      </text>
    </comment>
    <comment ref="E43" authorId="0">
      <text>
        <r>
          <t xml:space="preserve">Cited for E43:E45
2.03 Audited_Financial_Statements_FY25_vF p. 5</t>
        </r>
      </text>
    </comment>
    <comment ref="E46" authorId="0">
      <text>
        <r>
          <t xml:space="preserve">Cited for E46:E51
2.03 Audited_Financial_Statements_FY25_vF p. 5</t>
        </r>
      </text>
    </comment>
    <comment ref="E52" authorId="0">
      <text>
        <r>
          <t xml:space="preserve">Cited for E52:E61
2.03 Audited_Financial_Statements_FY25_vF p. 5</t>
        </r>
      </text>
    </comment>
    <comment ref="E66" authorId="0">
      <text>
        <r>
          <t xml:space="preserve">Cited for E66:E69
2.09 Q1_FY26_Consolidated Financial Statements (Q1 FY26 IS A6:B24)</t>
        </r>
      </text>
    </comment>
    <comment ref="E71" authorId="0">
      <text>
        <r>
          <t xml:space="preserve">2.09 Q1_FY26_Consolidated Financial Statements (Q1 FY26 IS A6:B24)</t>
        </r>
      </text>
    </comment>
    <comment ref="E8" authorId="0">
      <text>
        <r>
          <t xml:space="preserve">Cited for E8:E11
2.04 Consolidated_Financial_Statements_2023-2025_Excel (2025 IS A6:B24)</t>
        </r>
      </text>
    </comment>
    <comment ref="F13" authorId="0">
      <text>
        <r>
          <t xml:space="preserve">Cited for F13:F15
2.05 Management_Accounts_FY25_Monthly_v3 (P&amp;L (Monthly) A6:N21)</t>
        </r>
      </text>
    </comment>
    <comment ref="F17" authorId="0">
      <text>
        <r>
          <t xml:space="preserve">Cited for F17:F19
2.05 Management_Accounts_FY25_Monthly_v3 (P&amp;L (Monthly) A6:N21)</t>
        </r>
      </text>
    </comment>
    <comment ref="F24" authorId="0">
      <text>
        <r>
          <t xml:space="preserve">2.05 Management_Accounts_FY25_Monthly_v3 (P&amp;L (Monthly) A6:N21)</t>
        </r>
      </text>
    </comment>
    <comment ref="F43" authorId="0">
      <text>
        <r>
          <t xml:space="preserve">2.05 Management_Accounts_FY25_Monthly_v3 (Balance Sheet (FY24-Q1 FY26) A7:D30)</t>
        </r>
      </text>
    </comment>
    <comment ref="F44" authorId="0">
      <text>
        <r>
          <t xml:space="preserve">Cited for F44:F61
2.04 Consolidated_Financial_Statements_2023-2025_Excel (2025 BS A7:B30)</t>
        </r>
      </text>
    </comment>
    <comment ref="F66" authorId="0">
      <text>
        <r>
          <t xml:space="preserve">Cited for F66:F69
2.07 Q1_FY26_Flash_Report_2026.04 (Detail by Campus A39:F95)</t>
        </r>
      </text>
    </comment>
    <comment ref="F71" authorId="0">
      <text>
        <r>
          <t xml:space="preserve">2.07 Q1_FY26_Flash_Report_2026.04 (Q1 FY26 Flash A6:F17)</t>
        </r>
      </text>
    </comment>
    <comment ref="F8" authorId="0">
      <text>
        <r>
          <t xml:space="preserve">Cited for F8:F11
2.05 Management_Accounts_FY25_Monthly_v3 (P&amp;L (Monthly) A6:N21)</t>
        </r>
      </text>
    </comment>
    <comment ref="H66" authorId="0">
      <text>
        <r>
          <t xml:space="preserve">Cited for H66:H68
11.04 Project_Voltaic_Sell-Side_QoE_Report_DRAFT p. 19</t>
        </r>
      </text>
    </comment>
    <comment ref="H70" authorId="0">
      <text>
        <r>
          <t xml:space="preserve">11.04 Project_Voltaic_Sell-Side_QoE_Report_DRAFT p. 19</t>
        </r>
      </text>
    </comment>
    <comment ref="I43" authorId="0">
      <text>
        <r>
          <t xml:space="preserve">Cited for I43:I44
11.04 Project_Voltaic_Sell-Side_QoE_Report_DRAFT p. 19</t>
        </r>
      </text>
    </comment>
    <comment ref="I46" authorId="0">
      <text>
        <r>
          <t xml:space="preserve">Cited for I46:I47
11.04 Project_Voltaic_Sell-Side_QoE_Report_DRAFT p. 19</t>
        </r>
      </text>
    </comment>
    <comment ref="I51" authorId="0">
      <text>
        <r>
          <t xml:space="preserve">11.04 Project_Voltaic_Sell-Side_QoE_Report_DRAFT p. 19</t>
        </r>
      </text>
    </comment>
    <comment ref="I56" authorId="0">
      <text>
        <r>
          <t xml:space="preserve">Cited for I56:I57
11.04 Project_Voltaic_Sell-Side_QoE_Report_DRAFT p. 19</t>
        </r>
      </text>
    </comment>
    <comment ref="I60" authorId="0">
      <text>
        <r>
          <t xml:space="preserve">Cited for I60:I61
11.04 Project_Voltaic_Sell-Side_QoE_Report_DRAFT p. 20</t>
        </r>
      </text>
    </comment>
    <comment ref="J44" authorId="0">
      <text>
        <r>
          <t xml:space="preserve">Cited for J44:J45
11.04 Project_Voltaic_Sell-Side_QoE_Report_DRAFT p. 15</t>
        </r>
      </text>
    </comment>
    <comment ref="J52" authorId="0">
      <text>
        <r>
          <t xml:space="preserve">11.04 Project_Voltaic_Sell-Side_QoE_Report_DRAFT p. 15</t>
        </r>
      </text>
    </comment>
    <comment ref="J54" authorId="0">
      <text>
        <r>
          <t xml:space="preserve">11.04 Project_Voltaic_Sell-Side_QoE_Report_DRAFT p. 15</t>
        </r>
      </text>
    </comment>
    <comment ref="K43" authorId="0">
      <text>
        <r>
          <t xml:space="preserve">Cited for K43:K61
2.09 Q1_FY26_Consolidated Financial Statements (Q1 FY26 BS A7:B30)</t>
        </r>
      </text>
    </comment>
  </commentList>
</comments>
</file>

<file path=xl/comments3.xml><?xml version="1.0" encoding="utf-8"?>
<comments xmlns="http://schemas.openxmlformats.org/spreadsheetml/2006/main">
  <authors>
    <author>Compound</author>
  </authors>
  <commentList>
    <comment ref="E31" authorId="0">
      <text>
        <r>
          <t xml:space="preserve">2.07 Q1_FY26_Flash_Report_2026.04 (Detail by Campus A39:F95)</t>
        </r>
      </text>
    </comment>
  </commentList>
</comments>
</file>

<file path=xl/comments4.xml><?xml version="1.0" encoding="utf-8"?>
<comments xmlns="http://schemas.openxmlformats.org/spreadsheetml/2006/main">
  <authors>
    <author>Compound</author>
  </authors>
  <commentList>
    <comment ref="C13" authorId="0">
      <text>
        <r>
          <t xml:space="preserve">2.04 Consolidated_Financial_Statements_2023-2025_Excel (2023 CF A11:B11)</t>
        </r>
      </text>
    </comment>
    <comment ref="C71" authorId="0">
      <text>
        <r>
          <t xml:space="preserve">Cited for C71:C73
5.07 Billing_Ledger_Export_FY23-FY26Q1</t>
        </r>
      </text>
    </comment>
    <comment ref="C8" authorId="0">
      <text>
        <r>
          <t xml:space="preserve">Cited for C8:C11
2.04 Consolidated_Financial_Statements_2023-2025_Excel (2023 IS A6:B24)</t>
        </r>
      </text>
    </comment>
    <comment ref="D13" authorId="0">
      <text>
        <r>
          <t xml:space="preserve">2.04 Consolidated_Financial_Statements_2023-2025_Excel (2024 CF A11:B11)</t>
        </r>
      </text>
    </comment>
    <comment ref="D44" authorId="0">
      <text>
        <r>
          <t xml:space="preserve">Cited for D44:D53
3.10 Rent_Roll_Export_2026-03-31</t>
        </r>
      </text>
    </comment>
    <comment ref="D58" authorId="0">
      <text>
        <r>
          <t xml:space="preserve">Cited for C58:D61
5.07 Billing_Ledger_Export_FY23-FY26Q1</t>
        </r>
      </text>
    </comment>
    <comment ref="E101" authorId="0">
      <text>
        <r>
          <t xml:space="preserve">Cited for C101:E106
5.07 Billing_Ledger_Export_FY23-FY26Q1</t>
        </r>
      </text>
    </comment>
    <comment ref="E107" authorId="0">
      <text>
        <r>
          <t xml:space="preserve">Cited for C107:E108
3.10 Rent_Roll_Export_2026-03-31</t>
        </r>
      </text>
    </comment>
    <comment ref="E109" authorId="0">
      <text>
        <r>
          <t xml:space="preserve">Cited for C109:E109
5.07 Billing_Ledger_Export_FY23-FY26Q1</t>
        </r>
      </text>
    </comment>
    <comment ref="E13" authorId="0">
      <text>
        <r>
          <t xml:space="preserve">2.03 Audited_Financial_Statements_FY25_vF p. 7</t>
        </r>
      </text>
    </comment>
    <comment ref="E21" authorId="0">
      <text>
        <r>
          <t xml:space="preserve">2.05 Management_Accounts_FY25_Monthly_v3 (Property Opex by Campus A7:N13)</t>
        </r>
      </text>
    </comment>
    <comment ref="E24" authorId="0">
      <text>
        <r>
          <t xml:space="preserve">6.04 Power_and_PUE_Interval_Data_FY25 (Monthly Summary A3:G86)</t>
        </r>
      </text>
    </comment>
    <comment ref="E27" authorId="0">
      <text>
        <r>
          <t xml:space="preserve">6.04 Power_and_PUE_Interval_Data_FY25 (Monthly Summary A3:G86)</t>
        </r>
      </text>
    </comment>
    <comment ref="E28" authorId="0">
      <text>
        <r>
          <t xml:space="preserve">3.07 Power_Cost_and_Reimbursement_Analysis_FY25 (FY25 Power Analysis A3:J12)</t>
        </r>
      </text>
    </comment>
    <comment ref="E44" authorId="0">
      <text>
        <r>
          <t xml:space="preserve">Cited for E44:E53
5.07 Billing_Ledger_Export_FY23-FY26Q1</t>
        </r>
      </text>
    </comment>
    <comment ref="E58" authorId="0">
      <text>
        <r>
          <t xml:space="preserve">Cited for E58:E61
3.10 Rent_Roll_Export_2026-03-31</t>
        </r>
      </text>
    </comment>
    <comment ref="E71" authorId="0">
      <text>
        <r>
          <t xml:space="preserve">Cited for E71:E73
5.07 Billing_Ledger_Export_FY23-FY26Q1</t>
        </r>
      </text>
    </comment>
    <comment ref="E79" authorId="0">
      <text>
        <r>
          <t xml:space="preserve">Cited for 7 cells in C79:E81
5.01 Tenant data - 2023-2025 (Quarterly by Tenant A3:M1599)</t>
        </r>
      </text>
    </comment>
    <comment ref="E8" authorId="0">
      <text>
        <r>
          <t xml:space="preserve">Cited for D8:E11
2.03 Audited_Financial_Statements_FY25_vF p. 4</t>
        </r>
      </text>
    </comment>
    <comment ref="E80" authorId="0">
      <text>
        <r>
          <t xml:space="preserve">Voltaic Tenant Cohorts (Churn mix B32:E33)</t>
        </r>
      </text>
    </comment>
    <comment ref="E81" authorId="0">
      <text>
        <r>
          <t xml:space="preserve">Voltaic Tenant Cohorts (Churn mix B34:E35)</t>
        </r>
      </text>
    </comment>
    <comment ref="E82" authorId="0">
      <text>
        <r>
          <t xml:space="preserve">Cited for C82:E82
11.04 Project_Voltaic_Sell-Side_QoE_Report_DRAFT p. 11</t>
        </r>
      </text>
    </comment>
    <comment ref="E85" authorId="0">
      <text>
        <r>
          <t xml:space="preserve">Cited for C85:E85
5.07 Billing_Ledger_Export_FY23-FY26Q1</t>
        </r>
      </text>
    </comment>
    <comment ref="E86" authorId="0">
      <text>
        <r>
          <t xml:space="preserve">Cited for C86:E86
5.05 Churn_and_Downgrade_Detail_FY23-FY25 (Churn Detail A3:L16)</t>
        </r>
      </text>
    </comment>
    <comment ref="E87" authorId="0">
      <text>
        <r>
          <t xml:space="preserve">Cited for C87:E90
5.07 Billing_Ledger_Export_FY23-FY26Q1</t>
        </r>
      </text>
    </comment>
    <comment ref="E93" authorId="0">
      <text>
        <r>
          <t xml:space="preserve">Cited for C93:E93
11.04 Project_Voltaic_Sell-Side_QoE_Report_DRAFT p. 11</t>
        </r>
      </text>
    </comment>
    <comment ref="E98" authorId="0">
      <text>
        <r>
          <t xml:space="preserve">Cited for C98:E99
5.07 Billing_Ledger_Export_FY23-FY26Q1</t>
        </r>
      </text>
    </comment>
    <comment ref="F13" authorId="0">
      <text>
        <r>
          <t xml:space="preserve">2.09 Q1_FY26_Consolidated Financial Statements (Q1 FY26 CF A6:B35)</t>
        </r>
      </text>
    </comment>
    <comment ref="F21" authorId="0">
      <text>
        <r>
          <t xml:space="preserve">2.07 Q1_FY26_Flash_Report_2026.04 (Detail by Campus A39:F95)</t>
        </r>
      </text>
    </comment>
    <comment ref="F44" authorId="0">
      <text>
        <r>
          <t xml:space="preserve">Cited for F44:F53
5.08 Invoice_Register_Export_FY25-FY26Q1</t>
        </r>
      </text>
    </comment>
    <comment ref="F65" authorId="0">
      <text>
        <r>
          <t xml:space="preserve">3.10 Rent_Roll_Export_2026-03-31</t>
        </r>
      </text>
    </comment>
    <comment ref="F8" authorId="0">
      <text>
        <r>
          <t xml:space="preserve">Cited for F8:F11
2.09 Q1_FY26_Consolidated Financial Statements (Q1 FY26 IS A6:B24)</t>
        </r>
      </text>
    </comment>
    <comment ref="G65" authorId="0">
      <text>
        <r>
          <t xml:space="preserve">5.07 Billing_Ledger_Export_FY23-FY26Q1</t>
        </r>
      </text>
    </comment>
    <comment ref="G71" authorId="0">
      <text>
        <r>
          <t xml:space="preserve">Cited for G71:G73
3.10 Rent_Roll_Export_2026-03-31</t>
        </r>
      </text>
    </comment>
    <comment ref="G74" authorId="0">
      <text>
        <r>
          <t xml:space="preserve">2.03 Audited_Financial_Statements_FY25_vF p. 10</t>
        </r>
      </text>
    </comment>
    <comment ref="H44" authorId="0">
      <text>
        <r>
          <t xml:space="preserve">Cited for H44:H53
5.07 Billing_Ledger_Export_FY23-FY26Q1</t>
        </r>
      </text>
    </comment>
    <comment ref="I58" authorId="0">
      <text>
        <r>
          <t xml:space="preserve">Cited for 9 cells in H58:J61
5.07 Billing_Ledger_Export_FY23-FY26Q1</t>
        </r>
      </text>
    </comment>
    <comment ref="I71" authorId="0">
      <text>
        <r>
          <t xml:space="preserve">Cited for I71:I72
11.04 Project_Voltaic_Sell-Side_QoE_Report_DRAFT p. 11</t>
        </r>
      </text>
    </comment>
    <comment ref="I73" authorId="0">
      <text>
        <r>
          <t xml:space="preserve">5.04 Tenant_Concentration_Analysis (Concentration Summary A3:F11)</t>
        </r>
      </text>
    </comment>
    <comment ref="J8" authorId="0">
      <text>
        <r>
          <t xml:space="preserve">Cited for G8:J11
5.07 Billing_Ledger_Export_FY23-FY26Q1</t>
        </r>
      </text>
    </comment>
    <comment ref="N33" authorId="0">
      <text>
        <r>
          <t xml:space="preserve">Cited for C33:N33
2.05 Management_Accounts_FY25_Monthly_v3 (Revenue by Campus A24:N30)</t>
        </r>
      </text>
    </comment>
    <comment ref="N34" authorId="0">
      <text>
        <r>
          <t xml:space="preserve">Cited for C34:N34
2.05 Management_Accounts_FY25_Monthly_v3 (Property Opex by Campus A7:N13)</t>
        </r>
      </text>
    </comment>
    <comment ref="N36" authorId="0">
      <text>
        <r>
          <t xml:space="preserve">Cited for C36:N36
3.07 Power_Cost_and_Reimbursement_Analysis_FY25 (Monthly by Campus A3:H16)</t>
        </r>
      </text>
    </comment>
    <comment ref="N38" authorId="0">
      <text>
        <r>
          <t xml:space="preserve">Cited for C38:N38
6.04 Power_and_PUE_Interval_Data_FY25 (Monthly Summary A3:G86)</t>
        </r>
      </text>
    </comment>
    <comment ref="N66" authorId="0">
      <text>
        <r>
          <t xml:space="preserve">2.04 Consolidated_Financial_Statements_2023-2025_Excel (KPIs A29:D36)</t>
        </r>
      </text>
    </comment>
  </commentList>
</comments>
</file>

<file path=xl/comments5.xml><?xml version="1.0" encoding="utf-8"?>
<comments xmlns="http://schemas.openxmlformats.org/spreadsheetml/2006/main">
  <authors>
    <author>Compound</author>
  </authors>
  <commentList>
    <comment ref="E21" authorId="0">
      <text>
        <r>
          <t xml:space="preserve">Cited for C21:E22
Voltaic Tenant Cohorts (Summary D28:F29)</t>
        </r>
      </text>
    </comment>
    <comment ref="E24" authorId="0">
      <text>
        <r>
          <t xml:space="preserve">Cited for C24:E25
Voltaic Tenant Cohorts (Summary D31:F32)</t>
        </r>
      </text>
    </comment>
    <comment ref="E26" authorId="0">
      <text>
        <r>
          <t xml:space="preserve">Cited for C26:E26
Voltaic Tenant Cohorts (Summary D33:F33)</t>
        </r>
      </text>
    </comment>
    <comment ref="E8" authorId="0">
      <text>
        <r>
          <t xml:space="preserve">Cited for 27 cells in C8:E17
Voltaic Tenant Cohorts (Summary D15:F24)</t>
        </r>
      </text>
    </comment>
  </commentList>
</comments>
</file>

<file path=xl/comments6.xml><?xml version="1.0" encoding="utf-8"?>
<comments xmlns="http://schemas.openxmlformats.org/spreadsheetml/2006/main">
  <authors>
    <author>Compound</author>
  </authors>
  <commentList>
    <comment ref="C25" authorId="0">
      <text>
        <r>
          <t xml:space="preserve">5.08 Invoice_Register_Export_FY25-FY26Q1</t>
        </r>
      </text>
    </comment>
    <comment ref="C27" authorId="0">
      <text>
        <r>
          <t xml:space="preserve">5.08 Invoice_Register_Export_FY25-FY26Q1</t>
        </r>
      </text>
    </comment>
    <comment ref="C29" authorId="0">
      <text>
        <r>
          <t xml:space="preserve">5.08 Invoice_Register_Export_FY25-FY26Q1</t>
        </r>
      </text>
    </comment>
    <comment ref="C31" authorId="0">
      <text>
        <r>
          <t xml:space="preserve">5.08 Invoice_Register_Export_FY25-FY26Q1</t>
        </r>
      </text>
    </comment>
    <comment ref="C48" authorId="0">
      <text>
        <r>
          <t xml:space="preserve">5.07 Billing_Ledger_Export_FY23-FY26Q1</t>
        </r>
      </text>
    </comment>
    <comment ref="C49" authorId="0">
      <text>
        <r>
          <t xml:space="preserve">2.04 Consolidated_Financial_Statements_2023-2025_Excel (KPIs A29:D36)</t>
        </r>
      </text>
    </comment>
    <comment ref="C50" authorId="0">
      <text>
        <r>
          <t xml:space="preserve">2.03 Audited_Financial_Statements_FY25_vF p. 9</t>
        </r>
      </text>
    </comment>
    <comment ref="C51" authorId="0">
      <text>
        <r>
          <t xml:space="preserve">Cited for C51:C55
5.08 Invoice_Register_Export_FY25-FY26Q1</t>
        </r>
      </text>
    </comment>
    <comment ref="C8" authorId="0">
      <text>
        <r>
          <t xml:space="preserve">Cited for C8:C11
11.04 Project_Voltaic_Sell-Side_QoE_Report_DRAFT p. 14</t>
        </r>
      </text>
    </comment>
    <comment ref="D11" authorId="0">
      <text>
        <r>
          <t xml:space="preserve">2.03 Audited_Financial_Statements_FY25_vF p. 7</t>
        </r>
      </text>
    </comment>
    <comment ref="D16" authorId="0">
      <text>
        <r>
          <t xml:space="preserve">Cited for C16:D17
2.03 Audited_Financial_Statements_FY25_vF p. 5</t>
        </r>
      </text>
    </comment>
    <comment ref="D38" authorId="0">
      <text>
        <r>
          <t xml:space="preserve">Cited for C38:D38
5.08 Invoice_Register_Export_FY25-FY26Q1</t>
        </r>
      </text>
    </comment>
    <comment ref="D42" authorId="0">
      <text>
        <r>
          <t xml:space="preserve">Cited for C42:D42
2.04 Consolidated_Financial_Statements_2023-2025_Excel (KPIs A29:D36)</t>
        </r>
      </text>
    </comment>
    <comment ref="E9" authorId="0">
      <text>
        <r>
          <t xml:space="preserve">Cited for D9:E9
2.03 Audited_Financial_Statements_FY25_vF p. 7</t>
        </r>
      </text>
    </comment>
    <comment ref="N60" authorId="0">
      <text>
        <r>
          <t xml:space="preserve">Cited for C60:N61
2.05 Management_Accounts_FY25_Monthly_v3 (P&amp;L (Monthly) A6:N21)</t>
        </r>
      </text>
    </comment>
    <comment ref="N63" authorId="0">
      <text>
        <r>
          <t xml:space="preserve">Cited for C63:N63
5.07 Billing_Ledger_Export_FY23-FY26Q1</t>
        </r>
      </text>
    </comment>
    <comment ref="N64" authorId="0">
      <text>
        <r>
          <t xml:space="preserve">Cited for C64:N64
5.08 Invoice_Register_Export_FY25-FY26Q1</t>
        </r>
      </text>
    </comment>
    <comment ref="N66" authorId="0">
      <text>
        <r>
          <t xml:space="preserve">Cited for C66:N66
5.08 Invoice_Register_Export_FY25-FY26Q1</t>
        </r>
      </text>
    </comment>
  </commentList>
</comments>
</file>

<file path=xl/comments7.xml><?xml version="1.0" encoding="utf-8"?>
<comments xmlns="http://schemas.openxmlformats.org/spreadsheetml/2006/main">
  <authors>
    <author>Compound</author>
  </authors>
  <commentList>
    <comment ref="C15" authorId="0">
      <text>
        <r>
          <t xml:space="preserve">Cited for 7 cells in C15:D20
11.04 Project_Voltaic_Sell-Side_QoE_Report_DRAFT p. 16</t>
        </r>
      </text>
    </comment>
    <comment ref="C21" authorId="0">
      <text>
        <r>
          <t xml:space="preserve">11.04 Project_Voltaic_Sell-Side_QoE_Report_DRAFT p. 13</t>
        </r>
      </text>
    </comment>
    <comment ref="C22" authorId="0">
      <text>
        <r>
          <t xml:space="preserve">Cited for C22:C24
11.04 Project_Voltaic_Sell-Side_QoE_Report_DRAFT p. 15</t>
        </r>
      </text>
    </comment>
    <comment ref="C25" authorId="0">
      <text>
        <r>
          <t xml:space="preserve">11.04 Project_Voltaic_Sell-Side_QoE_Report_DRAFT p. 16</t>
        </r>
      </text>
    </comment>
    <comment ref="C29" authorId="0">
      <text>
        <r>
          <t xml:space="preserve">11.04 Project_Voltaic_Sell-Side_QoE_Report_DRAFT p. 16</t>
        </r>
      </text>
    </comment>
    <comment ref="C31" authorId="0">
      <text>
        <r>
          <t xml:space="preserve">11.04 Project_Voltaic_Sell-Side_QoE_Report_DRAFT p. 16</t>
        </r>
      </text>
    </comment>
    <comment ref="C63" authorId="0">
      <text>
        <r>
          <t xml:space="preserve">9.09 Interest_Rate_Swap_Confirmations_2024 p. 1</t>
        </r>
      </text>
    </comment>
    <comment ref="C64" authorId="0">
      <text>
        <r>
          <t xml:space="preserve">9.09 Interest_Rate_Swap_Confirmations_2024 p. 3</t>
        </r>
      </text>
    </comment>
    <comment ref="C8" authorId="0">
      <text>
        <r>
          <t xml:space="preserve">Cited for C8:C10
11.04 Project_Voltaic_Sell-Side_QoE_Report_DRAFT p. 16</t>
        </r>
      </text>
    </comment>
    <comment ref="D10" authorId="0">
      <text>
        <r>
          <t xml:space="preserve">2.03 Audited_Financial_Statements_FY25_vF p. 11</t>
        </r>
      </text>
    </comment>
    <comment ref="D11" authorId="0">
      <text>
        <r>
          <t xml:space="preserve">Cited for C11:D11
2.03 Audited_Financial_Statements_FY25_vF p. 7</t>
        </r>
      </text>
    </comment>
    <comment ref="D12" authorId="0">
      <text>
        <r>
          <t xml:space="preserve">Cited for C12:D12
9.09 Interest_Rate_Swap_Confirmations_2024 p. 1</t>
        </r>
      </text>
    </comment>
    <comment ref="D13" authorId="0">
      <text>
        <r>
          <t xml:space="preserve">Cited for C13:D13
9.07 A&amp;R_Credit_Agreement_2024_Conformed p. 28</t>
        </r>
      </text>
    </comment>
    <comment ref="D15" authorId="0">
      <text>
        <r>
          <t xml:space="preserve">2.03 Audited_Financial_Statements_FY25_vF p. 11</t>
        </r>
      </text>
    </comment>
    <comment ref="D17" authorId="0">
      <text>
        <r>
          <t xml:space="preserve">2.03 Audited_Financial_Statements_FY25_vF p. 7</t>
        </r>
      </text>
    </comment>
    <comment ref="D18" authorId="0">
      <text>
        <r>
          <t xml:space="preserve">8.03 Compensation_and_Equity_Summary p. 1</t>
        </r>
      </text>
    </comment>
    <comment ref="D21" authorId="0">
      <text>
        <r>
          <t xml:space="preserve">8.03 Compensation_and_Equity_Summary p. 2</t>
        </r>
      </text>
    </comment>
    <comment ref="D26" authorId="0">
      <text>
        <r>
          <t xml:space="preserve">Cited for C26:D26
4.06 PHX_II_Construction_Budget_and_Draw_Schedule (Budget by Division A4:H15)</t>
        </r>
      </text>
    </comment>
    <comment ref="D27" authorId="0">
      <text>
        <r>
          <t xml:space="preserve">Cited for C27:D27
12.04 QA-041_Tax_Structure_Overview p. 3</t>
        </r>
      </text>
    </comment>
    <comment ref="D29" authorId="0">
      <text>
        <r>
          <t xml:space="preserve">2.03 Audited_Financial_Statements_FY25_vF p. 5</t>
        </r>
      </text>
    </comment>
    <comment ref="D57" authorId="0">
      <text>
        <r>
          <t xml:space="preserve">2.03 Audited_Financial_Statements_FY25_vF p. 12</t>
        </r>
      </text>
    </comment>
    <comment ref="D58" authorId="0">
      <text>
        <r>
          <t xml:space="preserve">2.03 Audited_Financial_Statements_FY25_vF p. 7</t>
        </r>
      </text>
    </comment>
    <comment ref="D59" authorId="0">
      <text>
        <r>
          <t xml:space="preserve">9.09 Interest_Rate_Swap_Confirmations_2024 p. 3</t>
        </r>
      </text>
    </comment>
    <comment ref="D61" authorId="0">
      <text>
        <r>
          <t xml:space="preserve">11.10 Staple_Financing_Indicative_Terms_2026.06 p. 3</t>
        </r>
      </text>
    </comment>
    <comment ref="D63" authorId="0">
      <text>
        <r>
          <t xml:space="preserve">9.09 Interest_Rate_Swap_Confirmations_2024 p. 1</t>
        </r>
      </text>
    </comment>
    <comment ref="D64" authorId="0">
      <text>
        <r>
          <t xml:space="preserve">9.09 Interest_Rate_Swap_Confirmations_2024 p. 3</t>
        </r>
      </text>
    </comment>
    <comment ref="D65" authorId="0">
      <text>
        <r>
          <t xml:space="preserve">Cited for C65:D65
9.09 Interest_Rate_Swap_Confirmations_2024</t>
        </r>
      </text>
    </comment>
    <comment ref="D67" authorId="0">
      <text>
        <r>
          <t xml:space="preserve">8.03 Compensation_and_Equity_Summary p. 1</t>
        </r>
      </text>
    </comment>
    <comment ref="D8" authorId="0">
      <text>
        <r>
          <t xml:space="preserve">Cited for D8:D9
2.03 Audited_Financial_Statements_FY25_vF p. 12</t>
        </r>
      </text>
    </comment>
    <comment ref="F15" authorId="0">
      <text>
        <r>
          <t xml:space="preserve">2.03 Audited_Financial_Statements_FY25_vF p. 11</t>
        </r>
      </text>
    </comment>
    <comment ref="F21" authorId="0">
      <text>
        <r>
          <t xml:space="preserve">11.04 Project_Voltaic_Sell-Side_QoE_Report_DRAFT p. 13</t>
        </r>
      </text>
    </comment>
    <comment ref="F22" authorId="0">
      <text>
        <r>
          <t xml:space="preserve">Cited for F22:F24
11.04 Project_Voltaic_Sell-Side_QoE_Report_DRAFT p. 15</t>
        </r>
      </text>
    </comment>
    <comment ref="F25" authorId="0">
      <text>
        <r>
          <t xml:space="preserve">11.04 Project_Voltaic_Sell-Side_QoE_Report_DRAFT p. 16</t>
        </r>
      </text>
    </comment>
    <comment ref="F55" authorId="0">
      <text>
        <r>
          <t xml:space="preserve">Cited for E55:F56
2.03 Audited_Financial_Statements_FY25_vF p. 12</t>
        </r>
      </text>
    </comment>
    <comment ref="F8" authorId="0">
      <text>
        <r>
          <t xml:space="preserve">9.10 Compliance_Certificate_FY25_Q4 p. 2</t>
        </r>
      </text>
    </comment>
    <comment ref="G11" authorId="0">
      <text>
        <r>
          <t xml:space="preserve">Cited for F11:G11
2.03 Audited_Financial_Statements_FY25_vF p. 7</t>
        </r>
      </text>
    </comment>
    <comment ref="G12" authorId="0">
      <text>
        <r>
          <t xml:space="preserve">Cited for F12:G12
9.09 Interest_Rate_Swap_Confirmations_2024 p. 1</t>
        </r>
      </text>
    </comment>
    <comment ref="G13" authorId="0">
      <text>
        <r>
          <t xml:space="preserve">Cited for F13:G13
9.07 A&amp;R_Credit_Agreement_2024_Conformed p. 28</t>
        </r>
      </text>
    </comment>
    <comment ref="G15" authorId="0">
      <text>
        <r>
          <t xml:space="preserve">9.03 Litigation_and_Claims_Summary p. 1</t>
        </r>
      </text>
    </comment>
    <comment ref="G16" authorId="0">
      <text>
        <r>
          <t xml:space="preserve">Cited for 6 cells in F16:G20
11.04 Project_Voltaic_Sell-Side_QoE_Report_DRAFT p. 16</t>
        </r>
      </text>
    </comment>
    <comment ref="G17" authorId="0">
      <text>
        <r>
          <t xml:space="preserve">2.03 Audited_Financial_Statements_FY25_vF p. 7</t>
        </r>
      </text>
    </comment>
    <comment ref="G18" authorId="0">
      <text>
        <r>
          <t xml:space="preserve">8.03 Compensation_and_Equity_Summary p. 1</t>
        </r>
      </text>
    </comment>
    <comment ref="G21" authorId="0">
      <text>
        <r>
          <t xml:space="preserve">8.03 Compensation_and_Equity_Summary p. 2</t>
        </r>
      </text>
    </comment>
    <comment ref="G26" authorId="0">
      <text>
        <r>
          <t xml:space="preserve">Cited for F26:G26
4.06 PHX_II_Construction_Budget_and_Draw_Schedule (Budget by Division A4:H15)</t>
        </r>
      </text>
    </comment>
    <comment ref="G27" authorId="0">
      <text>
        <r>
          <t xml:space="preserve">Cited for F27:G27
12.04 QA-041_Tax_Structure_Overview p. 3</t>
        </r>
      </text>
    </comment>
    <comment ref="G29" authorId="0">
      <text>
        <r>
          <t xml:space="preserve">Cited for F29:G29
2.09 Q1_FY26_Consolidated Financial Statements (Q1 FY26 BS A7:B30)</t>
        </r>
      </text>
    </comment>
    <comment ref="G51" authorId="0">
      <text>
        <r>
          <t xml:space="preserve">4.05 Development_Pipeline_Schedule_2026.03.31 (Projects UC A4:L7)</t>
        </r>
      </text>
    </comment>
    <comment ref="G8" authorId="0">
      <text>
        <r>
          <t xml:space="preserve">9.08 Amendment_No_1_to_Credit_Agreement_Executed p. 1</t>
        </r>
      </text>
    </comment>
    <comment ref="G9" authorId="0">
      <text>
        <r>
          <t xml:space="preserve">Cited for F9:G10
2.09 Q1_FY26_Consolidated Financial Statements (Q1 FY26 BS A7:B30)</t>
        </r>
      </text>
    </comment>
  </commentList>
</comments>
</file>

<file path=xl/sharedStrings.xml><?xml version="1.0" encoding="utf-8"?>
<sst xmlns="http://schemas.openxmlformats.org/spreadsheetml/2006/main" count="1347" uniqueCount="1347">
  <si>
    <t>Tie-out: QoE databook vs audited FY25 accounts, Excel statements and monthly management accounts</t>
  </si>
  <si>
    <t>Takeaway: QoE Appendix A and B agree to the audited FY25 accounts (2.03 / signed 2.10), the Excel statements (2.04) and the 12-month sum of 2.05 on every line shown. But Appendix A omits other income ($11.1M) and does not foot to adjusted EBITDA, the QoE working-capital schedule uses receivables, prepaid, payables and deferred revenue that differ from the audited balance sheet, FY23-FY24 adjusted EBITDA carries unexplained plugs, and Q1 FY26 other income is $0.5M higher in the statements than in the flash.</t>
  </si>
  <si>
    <t>US$ millions. Blue = historical figure taken from a data room file; black = calculation; green = link to another tab. Costs negative.</t>
  </si>
  <si>
    <t>FY25 INCOME STATEMENT</t>
  </si>
  <si>
    <t>Line item</t>
  </si>
  <si>
    <t>Lease &amp; colocation revenue</t>
  </si>
  <si>
    <t>Metered power reimbursements</t>
  </si>
  <si>
    <t>Interconnection &amp; cross-connects</t>
  </si>
  <si>
    <t>Managed &amp; other services</t>
  </si>
  <si>
    <t>Total revenue ($M)</t>
  </si>
  <si>
    <t>Property operating expenses (incl. power at cost)</t>
  </si>
  <si>
    <t>Property taxes &amp; insurance</t>
  </si>
  <si>
    <t>Ground rent (RNO I)</t>
  </si>
  <si>
    <t>NOI ($M)</t>
  </si>
  <si>
    <t>General &amp; administrative</t>
  </si>
  <si>
    <t>Non-recurring / transaction costs</t>
  </si>
  <si>
    <t>Other income, net</t>
  </si>
  <si>
    <t>Reported EBITDA ($M)</t>
  </si>
  <si>
    <t>Depreciation &amp; amortization</t>
  </si>
  <si>
    <t>Interest expense, net</t>
  </si>
  <si>
    <t>Net income (loss) ($M)</t>
  </si>
  <si>
    <t>Adjusted EBITDA, management / QoE ($M)</t>
  </si>
  <si>
    <t>Adjusted less reported EBITDA (total adjustments)</t>
  </si>
  <si>
    <t>App. A as presented: NOI less G&amp;A</t>
  </si>
  <si>
    <t>App. A gap to adjusted EBITDA (other income not shown)</t>
  </si>
  <si>
    <t>FY23-FY25 ADJUSTED EBITDA: UNEXPLAINED RESIDUAL IN THE SELLER'S FIGURE</t>
  </si>
  <si>
    <t>NOI</t>
  </si>
  <si>
    <t>(+) Add back non-recurring / transaction costs</t>
  </si>
  <si>
    <t>Adjusted EBITDA per management (audited memo)</t>
  </si>
  <si>
    <t>Unexplained residual in management's adjusted EBITDA ($M)</t>
  </si>
  <si>
    <t>QoE 'total diligence adjustments' (dashboard)</t>
  </si>
  <si>
    <t>QoE App. A / Sec. 3</t>
  </si>
  <si>
    <t>FY23</t>
  </si>
  <si>
    <t>Audited 2.03 / 2.10</t>
  </si>
  <si>
    <t>FY24</t>
  </si>
  <si>
    <t>Excel 2.04</t>
  </si>
  <si>
    <t>FY25</t>
  </si>
  <si>
    <t>Sum of 12 months 2.05</t>
  </si>
  <si>
    <t>n/a</t>
  </si>
  <si>
    <t>QoE less audited</t>
  </si>
  <si>
    <t>2.04 less audited</t>
  </si>
  <si>
    <t>2.05 less audited</t>
  </si>
  <si>
    <t>Flag / what it means</t>
  </si>
  <si>
    <t>Ties.</t>
  </si>
  <si>
    <t>Ties. Monthly profile in 2.05 differs from billing (see Revenue Quality).</t>
  </si>
  <si>
    <t>Ties; includes power cost booked equal to reimbursements each month.</t>
  </si>
  <si>
    <t>2.05 shows $11.2M vs $11.1M audited; the $0.1M is the QoE 'management adjustments (net)' in Sec. 3.1, not a supported adjustment.</t>
  </si>
  <si>
    <t>2.05 reported EBITDA $0.1M above audited for the same reason.</t>
  </si>
  <si>
    <t>Not in monthly accounts.</t>
  </si>
  <si>
    <t>Adjusted EBITDA agrees in all four sources; it is management's figure, not an independent build.</t>
  </si>
  <si>
    <t>QoE +$4.9M = $4.8M transaction costs + $0.1M GL vs audit other-income difference.</t>
  </si>
  <si>
    <t>App. A jumps from NOI less G&amp;A ($212.8M) to $224.0M without showing other income; App. A does not foot.</t>
  </si>
  <si>
    <t/>
  </si>
  <si>
    <t>QoE dashboard shows 2.9 / 1.6 / 4.9, which leaves the 2.8 / 2.2 residuals out of its own adjustment count.</t>
  </si>
  <si>
    <t>Source</t>
  </si>
  <si>
    <t>11.04 p19; 2.03 p4 (2.10 p3); 2.04 '2025 IS'!B6:B24; 2.05 'P&amp;L (Monthly)'!N6:N21</t>
  </si>
  <si>
    <t>11.04 p13 (Sec. 6.3); 2.03 p4; 2.04; 2.05 row 20</t>
  </si>
  <si>
    <t>11.04 p6 (Sec. 3.1); 2.03 p4; 2.04; 2.05 row 16</t>
  </si>
  <si>
    <t>11.04 p6 bridge; 2.03 p4; 2.04</t>
  </si>
  <si>
    <t>11.04 p19; 2.03 p4 memo; 2.04 B24; 2.05 N17</t>
  </si>
  <si>
    <t>2.04 '2023 IS', '2024 IS'; 2.03 p4; 2.03 p16 Schedule I memo; 11.04 p4</t>
  </si>
  <si>
    <t>BALANCE SHEET AT 12/31/25 AND 3/31/26</t>
  </si>
  <si>
    <t>Cash and cash equivalents</t>
  </si>
  <si>
    <t>Accounts receivable, net</t>
  </si>
  <si>
    <t>Prepaid expenses and other current assets</t>
  </si>
  <si>
    <t>Property, plant &amp; equipment, net</t>
  </si>
  <si>
    <t>Straight-line rent receivable</t>
  </si>
  <si>
    <t>Deferred leasing costs, net</t>
  </si>
  <si>
    <t>Ground lease right-of-use asset</t>
  </si>
  <si>
    <t>Other assets</t>
  </si>
  <si>
    <t>Total assets ($M)</t>
  </si>
  <si>
    <t>Accounts payable and accrued liabilities</t>
  </si>
  <si>
    <t>Accrued property taxes</t>
  </si>
  <si>
    <t>Deferred revenue and prepaid rent</t>
  </si>
  <si>
    <t>Tenant security deposits</t>
  </si>
  <si>
    <t>Term loan, net of issuance costs</t>
  </si>
  <si>
    <t>Construction facilities</t>
  </si>
  <si>
    <t>Finance / ground lease liabilities</t>
  </si>
  <si>
    <t>Other long-term liabilities</t>
  </si>
  <si>
    <t>Total liabilities ($M)</t>
  </si>
  <si>
    <t>Members' equity</t>
  </si>
  <si>
    <t>LTM Q1 FY26 BUILD</t>
  </si>
  <si>
    <t>Other income &amp; adjustments</t>
  </si>
  <si>
    <t>Adjusted EBITDA ($M)</t>
  </si>
  <si>
    <t>Memo: adjusted EBITDA stated in the source</t>
  </si>
  <si>
    <t>Computed less stated</t>
  </si>
  <si>
    <t>QoE App. B 12/31/25</t>
  </si>
  <si>
    <t>FY25 (audited / 2.05)</t>
  </si>
  <si>
    <t>QoE NWC sched. 12/31/25</t>
  </si>
  <si>
    <t>Q1 FY26 flash 2.07</t>
  </si>
  <si>
    <t>Q1 FY26 statements 2.09</t>
  </si>
  <si>
    <t>2.04 and 2.05 BS tab</t>
  </si>
  <si>
    <t/>
  </si>
  <si>
    <t>App. B less audited</t>
  </si>
  <si>
    <t>Buy-side LTM (FY25 + Q1 FY26 flash − Q1 FY25)</t>
  </si>
  <si>
    <t>NWC sched. less audited</t>
  </si>
  <si>
    <t>QoE LTM (App. A)</t>
  </si>
  <si>
    <t>QoE App. B 3/31/26</t>
  </si>
  <si>
    <t>QoE less buy-side LTM</t>
  </si>
  <si>
    <t>QoE NWC sched. 3/31/26</t>
  </si>
  <si>
    <t>Q1 statements 2.09</t>
  </si>
  <si>
    <t>App. B less 2.09</t>
  </si>
  <si>
    <t>NWC sched. less 2.09</t>
  </si>
  <si>
    <t>QoE NWC uses trade receivables $31.6M vs $34.2M audited; $2.6M of receivables left out of both NWC and net debt.</t>
  </si>
  <si>
    <t>QoE NWC excludes $4.0M of prepaid / other current assets (12/31/25).</t>
  </si>
  <si>
    <t>App. B ties to audited and 2.09 on every line it shows.</t>
  </si>
  <si>
    <t>QoE NWC 'operating' payables $38.7M vs $96.3M audited: $57.6M sits outside NWC, but only retentions, litigation and severance ($12.9M) are in seller net debt. See Net Debt.</t>
  </si>
  <si>
    <t/>
  </si>
  <si>
    <t>Only $13.8M of $18.6M deferred revenue is in NWC; $4.8M non-current portion is in neither NWC nor net debt.</t>
  </si>
  <si>
    <t>Tenant deposits are in the QoE NWC definition but not its table, and not in net debt.</t>
  </si>
  <si>
    <t>LTM revenue, NOI and adjusted EBITDA recompute to the QoE's $430.8M / $257.6M / $235.6M.</t>
  </si>
  <si>
    <t>Q1 FY26 statements carry other income of $4.3M (no detail) vs $3.8M in the flash detail; the statements' own lines give $62.5M, not the $62.0M memo. $0.5M unexplained.</t>
  </si>
  <si>
    <t>Seller LTM uses the flash ($62.0M). QoE cut-off work on Q1 FY26 is incomplete (11.04 p1); see Revenue Quality (c) for an unscheduled January 2026 rent step-up.</t>
  </si>
  <si>
    <t>11.04 p19-20 (App. B), p15 (NWC); 2.03 p5 (2.10 p4); 2.04 '2025 BS'; 2.05 BS tab; 2.09 'Q1 FY26 BS'</t>
  </si>
  <si>
    <t>2.03 p4; 2.05 'P&amp;L (Monthly)'; 2.07 'Q1 FY26 Flash'!B6:E17; 2.09 'Q1 FY26 IS'; 11.04 p19</t>
  </si>
  <si>
    <t>Q1 FY25 (2.07 detail, prior-year col.)</t>
  </si>
  <si>
    <t>Revenue quality: streams, metered power, contracted vs billed, concentration, churn</t>
  </si>
  <si>
    <t/>
  </si>
  <si>
    <t>US$ millions unless stated. Blue = from a data room file; black = calculation; green = link to another tab. Hyperscale tenants shown as Tenant A / B / C per the clean team protocol; colocation tenant names are from the rent roll (3.02 / 3.10), outside the clean team room.</t>
  </si>
  <si>
    <t>(A) REVENUE BY STREAM: AUDITED ACCOUNTS VS BILLING LEDGER (5.07)</t>
  </si>
  <si>
    <t>Stream</t>
  </si>
  <si>
    <t>Straight-line rent adjustment per audited cash flow (non-cash)</t>
  </si>
  <si>
    <t>Implied cash (billed) base rent = lease revenue + straight-line adj.</t>
  </si>
  <si>
    <t>Ledger 'as-billed' base rent less implied cash base rent</t>
  </si>
  <si>
    <t>(B) METERED POWER: IS IT A PASS-THROUGH AT COST?</t>
  </si>
  <si>
    <t>Power reimbursement revenue (audited)</t>
  </si>
  <si>
    <t>Power cost booked in the GL (2.05 / 2.07)</t>
  </si>
  <si>
    <t>Margin booked on power</t>
  </si>
  <si>
    <t>Billed to tenants (5.07 = 3.07)</t>
  </si>
  <si>
    <t>Utility cost per interval meters, CY2025 (6.04)</t>
  </si>
  <si>
    <t>Unrecovered power cost absorbed by the Company ($M)</t>
  </si>
  <si>
    <t>Unrecovered as % of reimbursements</t>
  </si>
  <si>
    <t>Facility energy at the utility meter, GWh (6.04)</t>
  </si>
  <si>
    <t>Metered energy billed to tenants incl. PUE, GWh (3.07)</t>
  </si>
  <si>
    <t>Energy not billed to tenants, GWh</t>
  </si>
  <si>
    <t>FY25 by month</t>
  </si>
  <si>
    <t>Reimbursement revenue in GL (2.05)</t>
  </si>
  <si>
    <t>Power cost in GL (2.05)</t>
  </si>
  <si>
    <t>GL margin</t>
  </si>
  <si>
    <t>Billed to tenants (5.07 / 3.07)</t>
  </si>
  <si>
    <t>Billed less GL revenue (unbilled / overbilled timing)</t>
  </si>
  <si>
    <t>Utility cost per interval meters (6.04)</t>
  </si>
  <si>
    <t>Unrecovered power cost (GL revenue less utility cost)</t>
  </si>
  <si>
    <t>FY23 audited</t>
  </si>
  <si>
    <t>n/d</t>
  </si>
  <si>
    <t>Jan-25</t>
  </si>
  <si>
    <t>FY24 audited</t>
  </si>
  <si>
    <t>Feb-25</t>
  </si>
  <si>
    <t>FY25 audited</t>
  </si>
  <si>
    <t>Mar-25</t>
  </si>
  <si>
    <t>Q1 FY26 (2.09)</t>
  </si>
  <si>
    <t>Q1 FY26</t>
  </si>
  <si>
    <t>Apr-25</t>
  </si>
  <si>
    <t>FY23 ledger</t>
  </si>
  <si>
    <t>The GL books power cost equal to reimbursement revenue by campus in every month of FY25 and Q1 FY26 (2.05 rows 7-13 vs 'Revenue by Campus' rows 24-30). That is a plug, not utility invoices.</t>
  </si>
  <si>
    <t/>
  </si>
  <si>
    <t>6.04 note: 'the difference reflects house loads, vacant capacity and gross-up caps absorbed by the Company'. The $8.2M is not visible in the P&amp;L, so it is either capitalized or misstated. Provisional EBITDA deduction pending utility invoices.</t>
  </si>
  <si>
    <t>128 GWh of facility energy (house loads, vacant halls) is not billed; 3.07 says house loads are 'recovered via base rent', which makes power a cost centre, not a pass-through.</t>
  </si>
  <si>
    <t>May-25</t>
  </si>
  <si>
    <t>FY24 ledger</t>
  </si>
  <si>
    <t>Jun-25</t>
  </si>
  <si>
    <t>FY25 ledger</t>
  </si>
  <si>
    <t>Jul-25</t>
  </si>
  <si>
    <t>Q1 FY26 ledger</t>
  </si>
  <si>
    <t>Aug-25</t>
  </si>
  <si>
    <t>FY23 diff.</t>
  </si>
  <si>
    <t>Sep-25</t>
  </si>
  <si>
    <t>FY24 diff.</t>
  </si>
  <si>
    <t>Oct-25</t>
  </si>
  <si>
    <t>FY25 diff.</t>
  </si>
  <si>
    <t>Nov-25</t>
  </si>
  <si>
    <t>Q1 FY26 diff.</t>
  </si>
  <si>
    <t>Dec-25</t>
  </si>
  <si>
    <t>Ledger base rent equals GAAP lease revenue in every period, to the dollar.</t>
  </si>
  <si>
    <t>Managed services ($8.2M FY25) are not billed through the ledger or the invoice register; no billing record in the data room.</t>
  </si>
  <si>
    <t/>
  </si>
  <si>
    <t>2.04 '2023 IS'; 2.03 p4; 2.09 'Q1 FY26 IS'; 5.07 billing ledger (summed by year); 5.01 README tie-out</t>
  </si>
  <si>
    <t>2.04 '2023 CF'/'2024 CF' row 11; 2.03 p7; 2.09 'Q1 FY26 CF'!B11</t>
  </si>
  <si>
    <t>2.05 'Revenue by Campus' row 30 and 'Property Opex by Campus' row 13; 3.07 'Monthly by Campus'; 6.04 'Monthly Summary' (sum of six campuses)</t>
  </si>
  <si>
    <t>Billing is flat (metered kWh x one annual average rate); the GL is seasonal. They agree only in the annual total, so the GL is not built from invoices.</t>
  </si>
  <si>
    <t/>
  </si>
  <si>
    <t>(C) CONTRACTED VS BILLED: TOP 10 TENANTS BY CONTRACTED ABR</t>
  </si>
  <si>
    <t>Tenant</t>
  </si>
  <si>
    <t>Tenant A (hyperscale)</t>
  </si>
  <si>
    <t>Tenant B (hyperscale)</t>
  </si>
  <si>
    <t>Tenant C (hyperscale)</t>
  </si>
  <si>
    <t>Meridian Trading Systems</t>
  </si>
  <si>
    <t>Nimblewood ERP</t>
  </si>
  <si>
    <t>Streamhaven</t>
  </si>
  <si>
    <t>Ferngood Home Health</t>
  </si>
  <si>
    <t>Oreline Mining Analytics</t>
  </si>
  <si>
    <t>Civic Records Digitization JV</t>
  </si>
  <si>
    <t>Firstlight Credit Union</t>
  </si>
  <si>
    <t>Top 10 total ($M)</t>
  </si>
  <si>
    <t/>
  </si>
  <si>
    <t>Period</t>
  </si>
  <si>
    <t>Q1 FY25</t>
  </si>
  <si>
    <t>LTM Q1 FY26 (Apr-25 to Mar-26)</t>
  </si>
  <si>
    <t/>
  </si>
  <si>
    <t/>
  </si>
  <si>
    <t/>
  </si>
  <si>
    <t/>
  </si>
  <si>
    <t/>
  </si>
  <si>
    <t/>
  </si>
  <si>
    <t/>
  </si>
  <si>
    <t/>
  </si>
  <si>
    <t/>
  </si>
  <si>
    <t/>
  </si>
  <si>
    <t/>
  </si>
  <si>
    <t/>
  </si>
  <si>
    <t/>
  </si>
  <si>
    <t/>
  </si>
  <si>
    <t>Free rent, credits and true-ups: the ledger and invoice register hold no zero-rent month, no credit note and no negative line in FY23-Q1 FY26, although 2.04 KPIs report $0.19M of FY25 SLA credits and 9.03 a $0.1M SLA dispute settled in 2025. Credits are therefore booked outside the billing data, or not booked.</t>
  </si>
  <si>
    <t>(D) CONCENTRATION: TOP 1, 3 AND 10 TENANTS</t>
  </si>
  <si>
    <t>Cohort</t>
  </si>
  <si>
    <t>Top 1 (Tenant A)</t>
  </si>
  <si>
    <t>Top 3 (Tenants A, B, C)</t>
  </si>
  <si>
    <t>Top 10</t>
  </si>
  <si>
    <t>Portfolio contracted ABR ($M)</t>
  </si>
  <si>
    <t>(E) CHURN AND RETENTION FY23-FY25, REBUILT FROM TENANT DATA AND BILLING LEDGER</t>
  </si>
  <si>
    <t>Opening leased MW (5.01 contracted kW; FY23 = Q1 FY23)</t>
  </si>
  <si>
    <t>MW lost to non-renewal / termination (5.01 rebuilt)</t>
  </si>
  <si>
    <t>MW downgrades by continuing tenants (5.01)</t>
  </si>
  <si>
    <t>QoE churn (MW)</t>
  </si>
  <si>
    <t>Rebuilt less QoE (MW)</t>
  </si>
  <si>
    <t>MW churn as % of opening leased MW</t>
  </si>
  <si>
    <t>Revenue lost: exited leases, last month billed x 12 (5.07) $M</t>
  </si>
  <si>
    <t>Revenue lost per 5.05 (annualized rent at exit) $M</t>
  </si>
  <si>
    <t>Opening base-rent run-rate by tenant (5.07, month x 12) $M</t>
  </si>
  <si>
    <t>Lost from tenants that left entirely $M</t>
  </si>
  <si>
    <t>Contraction from continuing tenants $M</t>
  </si>
  <si>
    <t>Expansion and escalation from continuing tenants $M</t>
  </si>
  <si>
    <t>Net revenue retention (base-rent run-rate)</t>
  </si>
  <si>
    <t>Gross revenue retention</t>
  </si>
  <si>
    <t>QoE MW-weighted retention (renewed / expiring MW)</t>
  </si>
  <si>
    <t>Segment</t>
  </si>
  <si>
    <t>Hyperscale</t>
  </si>
  <si>
    <t>Colocation</t>
  </si>
  <si>
    <t>Leases</t>
  </si>
  <si>
    <t/>
  </si>
  <si>
    <t>FY25 billed revenue (5.07) $M</t>
  </si>
  <si>
    <t>Contracted ABR at 3/31/26 (rent roll)</t>
  </si>
  <si>
    <t/>
  </si>
  <si>
    <t/>
  </si>
  <si>
    <t>% of FY25 revenue</t>
  </si>
  <si>
    <t/>
  </si>
  <si>
    <t>Contracted (rent roll ABR pro rata)</t>
  </si>
  <si>
    <t>Rent roll monthly (ABR / 12, $)</t>
  </si>
  <si>
    <t>Q1 FY26 billed revenue $M</t>
  </si>
  <si>
    <t>FY25 invoiced base rent (5.08)</t>
  </si>
  <si>
    <t/>
  </si>
  <si>
    <t/>
  </si>
  <si>
    <t>% of Q1 FY26 revenue</t>
  </si>
  <si>
    <t>Ledger less register</t>
  </si>
  <si>
    <t>% above</t>
  </si>
  <si>
    <t/>
  </si>
  <si>
    <t>Contracted ABR (3.10) $M</t>
  </si>
  <si>
    <t/>
  </si>
  <si>
    <t>of which hyperscale</t>
  </si>
  <si>
    <t/>
  </si>
  <si>
    <t>% of ABR</t>
  </si>
  <si>
    <t>Q1 FY26 contracted (ABR / 4)</t>
  </si>
  <si>
    <t>of which colocation</t>
  </si>
  <si>
    <t/>
  </si>
  <si>
    <t>QoE / 5.04 figure (% of ABR)</t>
  </si>
  <si>
    <t/>
  </si>
  <si>
    <t>Gap to QoE (ABR basis)</t>
  </si>
  <si>
    <t>% above contract</t>
  </si>
  <si>
    <t>FY25 SLA credits ($M)</t>
  </si>
  <si>
    <t/>
  </si>
  <si>
    <t/>
  </si>
  <si>
    <t>FY25 billing includes the churned 2.0 MW ATL I lease (to Sep-25); Jan-26 step-up 4.3%.</t>
  </si>
  <si>
    <t/>
  </si>
  <si>
    <t/>
  </si>
  <si>
    <t/>
  </si>
  <si>
    <t/>
  </si>
  <si>
    <t/>
  </si>
  <si>
    <t/>
  </si>
  <si>
    <t/>
  </si>
  <si>
    <t/>
  </si>
  <si>
    <t>Flag</t>
  </si>
  <si>
    <t/>
  </si>
  <si>
    <t/>
  </si>
  <si>
    <t/>
  </si>
  <si>
    <t/>
  </si>
  <si>
    <t>Agrees with the QoE (27.0% / 56.0%) and 5.04 (63.9%). On revenue the top 3 are 56.8%, because hyperscale tenants also carry most metered power.</t>
  </si>
  <si>
    <t/>
  </si>
  <si>
    <t/>
  </si>
  <si>
    <t>5.05 understates revenue lost by ~$0.3M in FY25; the ledger run-rate at exit is higher.</t>
  </si>
  <si>
    <t/>
  </si>
  <si>
    <t>QoE 91% is renewed / expiring MW (42.5 / 46.7); expiring and renewed MW are not in the tenant data, so it cannot be rebuilt. Request the expiry and renewal log.</t>
  </si>
  <si>
    <t>Annual shortfall $8.2M. The GL monthly profile matches neither the billing nor the utility profile in any month, so it is not built from invoices.</t>
  </si>
  <si>
    <t>3.10 rent roll export (FY25 ABR by lease, summed by tenant; = 3.02 'Rent Roll'); 5.07 billing ledger; 5.08 invoice register (base rent lines)</t>
  </si>
  <si>
    <t>5.07 billing ledger by lease and month vs 3.10 rent roll (original commencement on or before the period start)</t>
  </si>
  <si>
    <t/>
  </si>
  <si>
    <t>5.07 total billed by tenant; 3.10 rent roll; 11.04 p11; 5.04 'Concentration Summary'; 2.03 p10</t>
  </si>
  <si>
    <t>5.01 'Quarterly by Tenant'; 5.05 'Churn Detail'; 5.07 billing ledger; 11.04 p11</t>
  </si>
  <si>
    <t>Quarters per year</t>
  </si>
  <si>
    <t/>
  </si>
  <si>
    <t/>
  </si>
  <si>
    <t/>
  </si>
  <si>
    <t>Item</t>
  </si>
  <si>
    <t/>
  </si>
  <si>
    <t/>
  </si>
  <si>
    <t/>
  </si>
  <si>
    <t/>
  </si>
  <si>
    <t/>
  </si>
  <si>
    <t/>
  </si>
  <si>
    <t/>
  </si>
  <si>
    <t/>
  </si>
  <si>
    <t/>
  </si>
  <si>
    <t/>
  </si>
  <si>
    <t/>
  </si>
  <si>
    <t/>
  </si>
  <si>
    <t/>
  </si>
  <si>
    <t/>
  </si>
  <si>
    <t/>
  </si>
  <si>
    <t/>
  </si>
  <si>
    <t/>
  </si>
  <si>
    <t/>
  </si>
  <si>
    <t/>
  </si>
  <si>
    <t/>
  </si>
  <si>
    <t>LTM Q1 FY26</t>
  </si>
  <si>
    <t/>
  </si>
  <si>
    <t/>
  </si>
  <si>
    <t>(-) Interest income on cash</t>
  </si>
  <si>
    <t/>
  </si>
  <si>
    <t/>
  </si>
  <si>
    <t>Buy-side adjusted EBITDA ($M)</t>
  </si>
  <si>
    <t/>
  </si>
  <si>
    <t/>
  </si>
  <si>
    <t/>
  </si>
  <si>
    <t>Seller</t>
  </si>
  <si>
    <t/>
  </si>
  <si>
    <t>Buy-side</t>
  </si>
  <si>
    <t>Difference</t>
  </si>
  <si>
    <t/>
  </si>
  <si>
    <t/>
  </si>
  <si>
    <t/>
  </si>
  <si>
    <t/>
  </si>
  <si>
    <t/>
  </si>
  <si>
    <t/>
  </si>
  <si>
    <t/>
  </si>
  <si>
    <t/>
  </si>
  <si>
    <t/>
  </si>
  <si>
    <t/>
  </si>
  <si>
    <t>Difference %</t>
  </si>
  <si>
    <t/>
  </si>
  <si>
    <t/>
  </si>
  <si>
    <t/>
  </si>
  <si>
    <t/>
  </si>
  <si>
    <t/>
  </si>
  <si>
    <t/>
  </si>
  <si>
    <t/>
  </si>
  <si>
    <t/>
  </si>
  <si>
    <t/>
  </si>
  <si>
    <t/>
  </si>
  <si>
    <t/>
  </si>
  <si>
    <t/>
  </si>
  <si>
    <t/>
  </si>
  <si>
    <t/>
  </si>
  <si>
    <t/>
  </si>
  <si>
    <t/>
  </si>
  <si>
    <t/>
  </si>
  <si>
    <t/>
  </si>
  <si>
    <t>Basis</t>
  </si>
  <si>
    <t/>
  </si>
  <si>
    <t/>
  </si>
  <si>
    <t/>
  </si>
  <si>
    <t/>
  </si>
  <si>
    <t/>
  </si>
  <si>
    <t/>
  </si>
  <si>
    <t/>
  </si>
  <si>
    <t/>
  </si>
  <si>
    <t/>
  </si>
  <si>
    <t/>
  </si>
  <si>
    <t>Revenue Quality (B); 6.04; 3.07; 2.05</t>
  </si>
  <si>
    <t/>
  </si>
  <si>
    <t/>
  </si>
  <si>
    <t>8.03 p2; 11.04 p13</t>
  </si>
  <si>
    <t/>
  </si>
  <si>
    <t/>
  </si>
  <si>
    <t/>
  </si>
  <si>
    <t/>
  </si>
  <si>
    <t/>
  </si>
  <si>
    <t/>
  </si>
  <si>
    <t>Proof of cash: FY25 revenue to cash, receivables, credits and monthly flow</t>
  </si>
  <si>
    <t>Takeaway: the QoE's 97.6% is arithmetic on the audited cash flow, not a test of collections: it counts tenant deposits as revenue cash, deducts straight-line rent the billing ledger does not show, and never reaches the invoice register. On the register, 95.9% of FY25 billings were collected by year end and all by March 2026, but balance sheet receivables exceed open invoices by $17.7M at 12/31/25 ($10.9M at 3/31/26). The ledger holds no credit notes although FY25 SLA credits were $0.19M.</t>
  </si>
  <si>
    <t>US$ millions. Blue = from a data room file; black = calculation; green = link to another tab.</t>
  </si>
  <si>
    <t>(A) QoE FY25 PROOF OF CASH, RECOMPUTED</t>
  </si>
  <si>
    <t>Total revenue, as reported</t>
  </si>
  <si>
    <t>Less: increase in accounts receivable</t>
  </si>
  <si>
    <t>Less: straight-line rent adjustment (non-cash)</t>
  </si>
  <si>
    <t>Add: increase in deferred revenue (and, for QoE, tenant deposits)</t>
  </si>
  <si>
    <t>Cash collected from tenants ($M)</t>
  </si>
  <si>
    <t>Cash conversion of revenue</t>
  </si>
  <si>
    <t>Memo: balance sheet movement</t>
  </si>
  <si>
    <t>(B) REVENUE TO BILLING TO CASH, FROM THE BILLING LEDGER (5.07) AND INVOICE REGISTER (5.08)</t>
  </si>
  <si>
    <t>Revenue per audited accounts</t>
  </si>
  <si>
    <t>Less: managed &amp; other services, not billed through ledger or register</t>
  </si>
  <si>
    <t>Revenue that should be billed through the ledger</t>
  </si>
  <si>
    <t>Billed per billing ledger (5.07)</t>
  </si>
  <si>
    <t>Invoiced per invoice register (5.08)</t>
  </si>
  <si>
    <t>Less: FY25 invoices unpaid at 12/31/25</t>
  </si>
  <si>
    <t>Cash collected in FY25 on FY25 invoices ($M)</t>
  </si>
  <si>
    <t>Check: cash applied in FY25 per register</t>
  </si>
  <si>
    <t>Collected by year end, % of FY25 billings</t>
  </si>
  <si>
    <t>FY25 invoices still open at 3/31/26</t>
  </si>
  <si>
    <t>(C) RECEIVABLES: BALANCE SHEET VS OPEN INVOICES</t>
  </si>
  <si>
    <t>Accounts receivable per balance sheet</t>
  </si>
  <si>
    <t>Trade receivables per QoE NWC schedule</t>
  </si>
  <si>
    <t>Open tenant invoices per register (5.08)</t>
  </si>
  <si>
    <t>Receivables not supported by open invoices ($M)</t>
  </si>
  <si>
    <t>Days outstanding: balance sheet AR</t>
  </si>
  <si>
    <t>Days outstanding: open invoices</t>
  </si>
  <si>
    <t>Days sales outstanding reported in KPIs (Q4 FY25 / Q1 FY26)</t>
  </si>
  <si>
    <t>Days in year</t>
  </si>
  <si>
    <t>(D) CREDIT NOTES, WRITE-OFFS AND AGED RECEIVABLES</t>
  </si>
  <si>
    <t>Credit notes / negative lines in ledger and register, FY23-Q1 FY26 (count)</t>
  </si>
  <si>
    <t>SLA credits reported for FY25 (2.04 KPIs)</t>
  </si>
  <si>
    <t>Write-offs FY25 (audited: none material)</t>
  </si>
  <si>
    <t>Open invoices at 3/31/26 (175 invoices, all due 3/31/26)</t>
  </si>
  <si>
    <t xml:space="preserve">  of which past due at 3/31/26</t>
  </si>
  <si>
    <t>Paid on or before due date (FY25 and Q1 FY26 invoices)</t>
  </si>
  <si>
    <t>Paid 1-30 days after due date</t>
  </si>
  <si>
    <t>Paid more than 30 days after due date</t>
  </si>
  <si>
    <t>(E) FY25 BY MONTH: GL REVENUE, BILLING, INVOICING AND CASH</t>
  </si>
  <si>
    <t>Total revenue in GL (2.05)</t>
  </si>
  <si>
    <t>Less: managed &amp; other services (not in ledger)</t>
  </si>
  <si>
    <t>GL revenue billed through ledger</t>
  </si>
  <si>
    <t>Billed per ledger (5.07)</t>
  </si>
  <si>
    <t>Invoiced per register (5.08)</t>
  </si>
  <si>
    <t>GL less billed (timing, unexplained)</t>
  </si>
  <si>
    <t>Cash applied per register, by payment month</t>
  </si>
  <si>
    <t>Cash applied less invoiced</t>
  </si>
  <si>
    <t>QoE (Sec. 7)</t>
  </si>
  <si>
    <t/>
  </si>
  <si>
    <t>Amount</t>
  </si>
  <si>
    <t>Recomputed from audited cash flow</t>
  </si>
  <si>
    <t/>
  </si>
  <si>
    <t/>
  </si>
  <si>
    <t>Buy-side (deposits excluded)</t>
  </si>
  <si>
    <t>Increase</t>
  </si>
  <si>
    <t>Deduction assumes billing sits $8.4M below GAAP rent; the ledger shows billing equal to GAAP rent (Revenue Quality row 15).</t>
  </si>
  <si>
    <t>Tenant deposits ($1.4M increase) are refundable security, not collected revenue; buy-side counts only deferred revenue.</t>
  </si>
  <si>
    <t>97.6% recomputes, but it is a cash-flow identity, not a collections test. Buy-side 97.3% on the same basis.</t>
  </si>
  <si>
    <t>No invoice or billing record for $8.2M of managed services in the data room.</t>
  </si>
  <si>
    <t>Ledger and register agree by tenant, charge type and month.</t>
  </si>
  <si>
    <t>Excludes collections of FY24 receivables (register starts Jan-25) and of managed services.</t>
  </si>
  <si>
    <t>Every FY25 invoice was paid by 3/31/26; ultimate collection 100% on the register.</t>
  </si>
  <si>
    <t/>
  </si>
  <si>
    <t>KPI DSO of 19 days matches neither the balance sheet (30 days) nor the register (15 days).</t>
  </si>
  <si>
    <t>Ledger is described as 'including abatements, credits and true-ups' but contains none; SLA credits are booked elsewhere or not at all.</t>
  </si>
  <si>
    <t>Collections are strong; latest payment 35 days after due date. No aged balances.</t>
  </si>
  <si>
    <t>11.04 p14; 2.03 p5, p7</t>
  </si>
  <si>
    <t>Tie-out; Revenue Quality (A); 5.08 register</t>
  </si>
  <si>
    <t>Tie-out rows 43-44; 5.08 register; 2.04 'KPIs' row 36</t>
  </si>
  <si>
    <t>5.07; 5.08; 2.04 'KPIs' row 29; 2.03 p9</t>
  </si>
  <si>
    <t>The GL recognizes less than is billed in winter and more in summer (power), and the base rent profile differs too; only the annual totals agree.</t>
  </si>
  <si>
    <t>Jan-25 is low because December 2024 invoices are outside the register extract.</t>
  </si>
  <si>
    <t>2.05 'P&amp;L (Monthly)' rows 9-10; 5.07; 5.08</t>
  </si>
  <si>
    <t>Net debt and debt-like items: seller vs buy-side at 12/31/25 and 3/31/26</t>
  </si>
  <si>
    <t/>
  </si>
  <si>
    <t>US$ millions; positive = debt or debt-like, cash negative. The QoE gives no 3/31/26 schedule: the 'seller method' column applies its 12/31/25 categories to the 3/31/26 balances. Illustrative = estimate where the data room is silent.</t>
  </si>
  <si>
    <t>BORROWED MONEY</t>
  </si>
  <si>
    <t>Term loan, principal (A&amp;R credit agreement + Amendment No. 1)</t>
  </si>
  <si>
    <t>Construction facilities drawn (PHX II, ATL II)</t>
  </si>
  <si>
    <t>Finance / ground lease liability (RNO I)</t>
  </si>
  <si>
    <t>Accrued interest on borrowings</t>
  </si>
  <si>
    <t>Interest rate swaps (three confirmations, $632.5M notional, ~3.90% fixed to 6/30/27)</t>
  </si>
  <si>
    <t>Change-of-control prepayment premium / breakage</t>
  </si>
  <si>
    <t>DEBT-LIKE ITEMS</t>
  </si>
  <si>
    <t>Litigation: PHX II mechanic's lien (accrual vs full claim)</t>
  </si>
  <si>
    <t>Unpaid severance</t>
  </si>
  <si>
    <t>Construction retentions payable</t>
  </si>
  <si>
    <t/>
  </si>
  <si>
    <t>Retention pool (approved April 2026)</t>
  </si>
  <si>
    <t>Deferred revenue, non-current portion</t>
  </si>
  <si>
    <t>Tenant security deposits held in cash</t>
  </si>
  <si>
    <t>Other long-term liabilities (incl. swap and Caliza VPPA liabilities)</t>
  </si>
  <si>
    <t>PHX II owner contingency overdrawn</t>
  </si>
  <si>
    <t>Tax: Texas franchise tax (pre-closing years), Nevada transfer tax on the RNO I leasehold</t>
  </si>
  <si>
    <t>Total debt and debt-like items ($M)</t>
  </si>
  <si>
    <t>Less: cash and cash equivalents</t>
  </si>
  <si>
    <t>Net debt and debt-like items ($M)</t>
  </si>
  <si>
    <t>Check: seller totals per QoE ($1,591.9M / $1,506.9M)</t>
  </si>
  <si>
    <t>MEMO (NOT IN THE TOTALS ABOVE)</t>
  </si>
  <si>
    <t>Committed development spend remaining (PHX II + ATL II)</t>
  </si>
  <si>
    <t>Undrawn construction facility capacity</t>
  </si>
  <si>
    <t>Development spend not covered by undrawn facilities ($M)</t>
  </si>
  <si>
    <t xml:space="preserve">  PHX II: budget less incurred</t>
  </si>
  <si>
    <t xml:space="preserve">  ATL II: budget less incurred</t>
  </si>
  <si>
    <t xml:space="preserve">  Construction facility commitments ($450.0M + $150.0M)</t>
  </si>
  <si>
    <t>Accrued interest, illustrative: FY25 cash interest paid / 12</t>
  </si>
  <si>
    <t>Swap mark-to-market, illustrative: notional x (fixed − assumed SOFR) x years to 6/30/27</t>
  </si>
  <si>
    <t/>
  </si>
  <si>
    <t xml:space="preserve">  Assumed SOFR (staple illustrative 3.75%)</t>
  </si>
  <si>
    <t xml:space="preserve">  Years remaining from 12/31/25</t>
  </si>
  <si>
    <t/>
  </si>
  <si>
    <t/>
  </si>
  <si>
    <t/>
  </si>
  <si>
    <t xml:space="preserve">  Illustrative swap liability, undiscounted ($M)</t>
  </si>
  <si>
    <t/>
  </si>
  <si>
    <t>Seller 12/31/25 (QoE)</t>
  </si>
  <si>
    <t>Buy-side 12/31/25</t>
  </si>
  <si>
    <t>Seller method 3/31/26</t>
  </si>
  <si>
    <t>Buy-side 3/31/26</t>
  </si>
  <si>
    <t>Treatment / reason for difference</t>
  </si>
  <si>
    <t>$1,000.0M initial + $150.0M 2025 incremental (Amendment No. 1); amortization of $2.875M a quarter starts June 2026, so 3/31/26 principal is unchanged. Repaid at closing; change of control is an event of default.</t>
  </si>
  <si>
    <t>$340.0M PHX II + $80.0M ATL II at 12/31/25; further $65.0M drawn in Q1 FY26 (2.03 Note 16). Facility agreements are not in the data room.</t>
  </si>
  <si>
    <t>Accepted. Treat ground rent ($0.6M) as opex in EBITDA and do not also capitalize it in value.</t>
  </si>
  <si>
    <t/>
  </si>
  <si>
    <t>Carried in other assets / other long-term liabilities (2.03 Note 12); fair value not disclosed. Terminate at closing with the term loan (secured hedges): settle at mark-to-market. Captured in the other long-term liabilities line; illustrative mark-to-market in memo. 2.03 says 'two swaps'; 9.09 holds three confirmations ($250.0M + $232.5M + $150.0M).</t>
  </si>
  <si>
    <t>No prepayment premium: the 1.00% premium applies only to repricings within six months of the June 2024 closing. Breakage if repaid mid interest period: unquantified, shown at zero, not economically nil.</t>
  </si>
  <si>
    <t>Buy-side takes the full $4.6M claim: mediation in April 2026 did not settle and the claim is excluded from the PHX II budget. Mitigant: the GC bears part of any settlement above the accrual (9.03).</t>
  </si>
  <si>
    <t>Accepted. 3/31/26 balance not disclosed; 12/31/25 carried (illustrative).</t>
  </si>
  <si>
    <t/>
  </si>
  <si>
    <t/>
  </si>
  <si>
    <t>Seller calls it a seller transaction cost and leaves it out; 50% is paid at closing and 50% six months later by the company. Debt-like (plus employer payroll taxes, unquantified).</t>
  </si>
  <si>
    <t/>
  </si>
  <si>
    <t>Prepaid rent and install fees received in cash and owed as future service; outside NWC, so debt-like.</t>
  </si>
  <si>
    <t>Refundable cash held for tenants; in the QoE NWC definition but not its table. Debt-like (or exclude the cash).</t>
  </si>
  <si>
    <t>Composition not disclosed; 2.03 Notes 12-13 place swap liabilities here and the Caliza VPPA liability is $3.1M. No credit taken for the $6.8M Maumee Ridge VPPA asset (Level 3).</t>
  </si>
  <si>
    <t>Owner contingency is $1.8M negative at 3/31/26 after $11.8M of approved change orders: committed overrun to fund. Same figure used at 12/31/25 (illustrative).</t>
  </si>
  <si>
    <t>Pre-closing Texas franchise tax stays with the company; Nevada transfer tax to be confirmed by Nevada counsel. Unquantified, shown at zero, not economically nil. No federal income tax at company level; no open audits.</t>
  </si>
  <si>
    <t>Seller column re-adds to the QoE's $1,591.9M gross and $1,506.9M net.</t>
  </si>
  <si>
    <t>Capital commitment, not debt-like on an in-place EBITDA valuation; becomes debt-like if the price credits PHX II / ATL II as delivered. QoE quotes ~$480M 'at 12/31/25', which is the 3/31/26 figure; at 12/31/25 it was $552M.</t>
  </si>
  <si>
    <t>Illustrative only: assumes flat 3.75% SOFR to maturity; actual dealer marks required. Included in other long-term liabilities above, not added again.</t>
  </si>
  <si>
    <t>11.04 p16; 2.03 p12; 9.08 p1-2; 9.10 p2</t>
  </si>
  <si>
    <t>11.04 p16; 2.03 p12, p15; 2.09 BS</t>
  </si>
  <si>
    <t>2.03 p11; 2.09 BS</t>
  </si>
  <si>
    <t>2.03 p7</t>
  </si>
  <si>
    <t>9.09 p1, p3, p5; 2.03 p13-14</t>
  </si>
  <si>
    <t>9.07 p28</t>
  </si>
  <si>
    <t>2.03 p11-12; 9.03; 4.06 'Change Order Log'</t>
  </si>
  <si>
    <t>11.04 p16</t>
  </si>
  <si>
    <t>2.03 p7, p12</t>
  </si>
  <si>
    <t/>
  </si>
  <si>
    <t>11.04 p15; 2.03 p5; 2.09</t>
  </si>
  <si>
    <t>2.03 p5, p13-14</t>
  </si>
  <si>
    <t>4.06 'Budget by Division' row 14</t>
  </si>
  <si>
    <t>12.04 p1, p3</t>
  </si>
  <si>
    <t xml:space="preserve">  Weighted fixed rate</t>
  </si>
  <si>
    <t/>
  </si>
  <si>
    <t/>
  </si>
  <si>
    <t/>
  </si>
  <si>
    <t>Notional</t>
  </si>
  <si>
    <t>Budget</t>
  </si>
  <si>
    <t>Incurred to 12/31/25</t>
  </si>
  <si>
    <t>Project Voltaic (Ironvale Digital Infrastructure): buy-side financial due diligence findings</t>
  </si>
  <si>
    <t/>
  </si>
  <si>
    <t/>
  </si>
  <si>
    <t/>
  </si>
  <si>
    <t>#</t>
  </si>
  <si>
    <t>1</t>
  </si>
  <si>
    <t>2</t>
  </si>
  <si>
    <t>3</t>
  </si>
  <si>
    <t>4</t>
  </si>
  <si>
    <t>5</t>
  </si>
  <si>
    <t>6</t>
  </si>
  <si>
    <t>7</t>
  </si>
  <si>
    <t>8</t>
  </si>
  <si>
    <t>9</t>
  </si>
  <si>
    <t>10</t>
  </si>
  <si>
    <t>11</t>
  </si>
  <si>
    <t>12</t>
  </si>
  <si>
    <t>13</t>
  </si>
  <si>
    <t/>
  </si>
  <si>
    <t>SELLER VS BUY-SIDE</t>
  </si>
  <si>
    <t>Finding</t>
  </si>
  <si>
    <t/>
  </si>
  <si>
    <t/>
  </si>
  <si>
    <t>Interest income on cash included in adjusted EBITDA</t>
  </si>
  <si>
    <t/>
  </si>
  <si>
    <t/>
  </si>
  <si>
    <t/>
  </si>
  <si>
    <t>Tenant security deposits held in cash, not in net debt</t>
  </si>
  <si>
    <t>$6.5M retention pool payable by the company at and after closing</t>
  </si>
  <si>
    <t>Other long-term liabilities (swaps, Caliza VPPA liability) left out</t>
  </si>
  <si>
    <t>Non-current deferred revenue left out</t>
  </si>
  <si>
    <t>PHX II lien: accrual vs full claim</t>
  </si>
  <si>
    <t/>
  </si>
  <si>
    <t/>
  </si>
  <si>
    <t/>
  </si>
  <si>
    <t/>
  </si>
  <si>
    <t/>
  </si>
  <si>
    <t/>
  </si>
  <si>
    <t>CMH I abatement: annual benefit per audited Note 9 vs QoE (expires 2036)</t>
  </si>
  <si>
    <t/>
  </si>
  <si>
    <t/>
  </si>
  <si>
    <t/>
  </si>
  <si>
    <t/>
  </si>
  <si>
    <t>Measure</t>
  </si>
  <si>
    <t>Adjusted EBITDA, FY25 ($M)</t>
  </si>
  <si>
    <t>Adjusted EBITDA, LTM Q1 FY26 ($M)</t>
  </si>
  <si>
    <t/>
  </si>
  <si>
    <t>Net debt and debt-like items, 12/31/25 ($M)</t>
  </si>
  <si>
    <t>Net debt and debt-like items, 3/31/26 ($M; seller method applied by us)</t>
  </si>
  <si>
    <t/>
  </si>
  <si>
    <t>Seller figure</t>
  </si>
  <si>
    <t>Buy-side figure</t>
  </si>
  <si>
    <t/>
  </si>
  <si>
    <t>EBITDA effect FY25</t>
  </si>
  <si>
    <t>Net debt effect</t>
  </si>
  <si>
    <t/>
  </si>
  <si>
    <t/>
  </si>
  <si>
    <t>Status</t>
  </si>
  <si>
    <t>Provisional</t>
  </si>
  <si>
    <t>Confirmed</t>
  </si>
  <si>
    <t>Buy-side position</t>
  </si>
  <si>
    <t/>
  </si>
  <si>
    <t/>
  </si>
  <si>
    <t>Unquantified in value; request AR subledger</t>
  </si>
  <si>
    <t/>
  </si>
  <si>
    <t/>
  </si>
  <si>
    <t/>
  </si>
  <si>
    <t/>
  </si>
  <si>
    <t/>
  </si>
  <si>
    <t/>
  </si>
  <si>
    <t/>
  </si>
  <si>
    <t>Source / tab</t>
  </si>
  <si>
    <t/>
  </si>
  <si>
    <t/>
  </si>
  <si>
    <t/>
  </si>
  <si>
    <t/>
  </si>
  <si>
    <t/>
  </si>
  <si>
    <t>Net Debt row 22</t>
  </si>
  <si>
    <t/>
  </si>
  <si>
    <t>Net Debt row 23</t>
  </si>
  <si>
    <t/>
  </si>
  <si>
    <t>Net Debt row 15; 9.03</t>
  </si>
  <si>
    <t/>
  </si>
  <si>
    <t/>
  </si>
  <si>
    <t>Proof of Cash (C)</t>
  </si>
  <si>
    <t/>
  </si>
  <si>
    <t/>
  </si>
  <si>
    <t/>
  </si>
  <si>
    <t>2.03 p13; 11.04 p7</t>
  </si>
  <si>
    <t/>
  </si>
  <si>
    <t/>
  </si>
  <si>
    <t>Revenue Quality (E)</t>
  </si>
  <si>
    <t>Revenue Quality (D)</t>
  </si>
  <si>
    <t/>
  </si>
  <si>
    <t/>
  </si>
  <si>
    <t/>
  </si>
  <si>
    <t/>
  </si>
  <si>
    <t/>
  </si>
  <si>
    <t>14</t>
  </si>
  <si>
    <t/>
  </si>
  <si>
    <t/>
  </si>
  <si>
    <t/>
  </si>
  <si>
    <t/>
  </si>
  <si>
    <t/>
  </si>
  <si>
    <t/>
  </si>
  <si>
    <t/>
  </si>
  <si>
    <t/>
  </si>
  <si>
    <t/>
  </si>
  <si>
    <t/>
  </si>
  <si>
    <t/>
  </si>
  <si>
    <t/>
  </si>
  <si>
    <t>Request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</si>
  <si>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</si>
  <si>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</si>
  <si>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</si>
  <si>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</si>
  <si>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</si>
  <si>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</si>
  <si>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</si>
  <si>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</si>
  <si>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</si>
  <si>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</si>
  <si>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</si>
  <si>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</si>
  <si>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</si>
  <si>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</si>
  <si>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</si>
  <si>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</si>
  <si>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</si>
  <si>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</si>
  <si>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</si>
  <si>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</si>
  <si>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</si>
  <si>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</si>
  <si>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</si>
  <si>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</si>
  <si>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</si>
  <si>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</si>
  <si>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</si>
  <si>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</si>
  <si>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</si>
  <si>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</si>
  <si>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</si>
  <si>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</si>
  <si>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</si>
  <si>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</si>
  <si>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</si>
  <si>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</si>
  <si>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</si>
  <si>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</si>
  <si>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</si>
  <si>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</si>
  <si>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</si>
  <si>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</si>
  <si>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</si>
  <si>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</si>
  <si>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</si>
  <si>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</si>
  <si>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</si>
  <si>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</si>
  <si>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</si>
  <si>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</si>
  <si>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</si>
  <si>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</si>
  <si>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</si>
  <si>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</si>
  <si>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</si>
  <si>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</si>
  <si>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Priority</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</si>
  <si>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</si>
  <si>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</si>
  <si>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</si>
  <si>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</si>
  <si>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</si>
  <si>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</si>
  <si>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</si>
  <si>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</si>
  <si>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</si>
  <si>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</si>
  <si>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</si>
  <si>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</si>
  <si>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</si>
  <si>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</si>
  <si>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</si>
  <si>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</si>
  <si>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</si>
  <si>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</si>
  <si>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</si>
  <si>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</si>
  <si>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</si>
  <si>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</si>
  <si>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</si>
  <si>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</si>
  <si>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</si>
  <si>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</si>
  <si>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</si>
  <si>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</si>
  <si>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</si>
  <si>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</si>
  <si>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</si>
  <si>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</si>
  <si>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</si>
  <si>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</si>
  <si>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</si>
  <si>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Net Debt row 25</t>
  </si>
  <si>
    <t/>
  </si>
  <si>
    <t/>
  </si>
  <si>
    <t>Sources: every data room file used and what was taken from it</t>
  </si>
  <si>
    <t/>
  </si>
  <si>
    <t>File</t>
  </si>
  <si>
    <t>11.04 Project_Voltaic_Sell-Side_QoE_Report_DRAFT.pdf</t>
  </si>
  <si>
    <t>2.03 Audited_Financial_Statements_FY25_vF.pdf</t>
  </si>
  <si>
    <t>2.10 Audited_Financial_Statements_FY25_Signed.pdf</t>
  </si>
  <si>
    <t>2.04 Consolidated_Financial_Statements_2023-2025_Excel.xlsx</t>
  </si>
  <si>
    <t>2.05 Management_Accounts_FY25_Monthly_v3.xlsx</t>
  </si>
  <si>
    <t>2.07 Q1_FY26_Flash_Report_2026.04.xlsx</t>
  </si>
  <si>
    <t>2.09 Q1_FY26_Consolidated Financial Statements.xlsx</t>
  </si>
  <si>
    <t>3.02 Rent_Roll_Master_2026.03.31_vF.xlsx / 3.10 Rent_Roll_Export_2026-03-31.csv</t>
  </si>
  <si>
    <t>3.07 Power_Cost_and_Reimbursement_Analysis_FY25.xlsx</t>
  </si>
  <si>
    <t>6.04 Power_and_PUE_Interval_Data_FY25.xlsx</t>
  </si>
  <si>
    <t>5.01 Tenant data - 2023-2025.xlsx</t>
  </si>
  <si>
    <t>5.02 Top_25_Tenant_Schedule_vF.xlsx / 5.04 Tenant_Concentration_Analysis.xlsx</t>
  </si>
  <si>
    <t>5.03 Tenant_Lease_Abstracts_Top15.pdf</t>
  </si>
  <si>
    <t>5.05 Churn_and_Downgrade_Detail_FY23-FY25.xlsx</t>
  </si>
  <si>
    <t>5.07 Billing_Ledger_Export_FY23-FY26Q1.csv</t>
  </si>
  <si>
    <t>5.08 Invoice_Register_Export_FY25-FY26Q1.csv</t>
  </si>
  <si>
    <t>00 Clean Team / Tenant Estoppels (six certificates)</t>
  </si>
  <si>
    <t>4.05 Development_Pipeline_Schedule_2026.03.31.xlsx</t>
  </si>
  <si>
    <t>4.06 PHX_II_Construction_Budget_and_Draw_Schedule.xlsx</t>
  </si>
  <si>
    <t>8.03 Compensation_and_Equity_Summary.pdf</t>
  </si>
  <si>
    <t>9.03 Litigation_and_Claims_Summary.pdf</t>
  </si>
  <si>
    <t>9.07 A&amp;R_Credit_Agreement_2024_Conformed.pdf</t>
  </si>
  <si>
    <t>9.08 Amendment_No_1_to_Credit_Agreement_Executed.pdf</t>
  </si>
  <si>
    <t>9.09 Interest_Rate_Swap_Confirmations_2024.pdf</t>
  </si>
  <si>
    <t>9.10 Compliance_Certificate_FY25_Q4.pdf</t>
  </si>
  <si>
    <t>12.04 QA-041_Tax_Structure_Overview.pdf</t>
  </si>
  <si>
    <t>11.08 Process_Letter_First_Round_2026.06.pdf / 11.10 Staple_Financing_Indicative_Terms_2026.06.pdf</t>
  </si>
  <si>
    <t>Location used</t>
  </si>
  <si>
    <t>pp4-8, 10-16, 18-20 (scanned)</t>
  </si>
  <si>
    <t>pp4-5, 7, 9-16</t>
  </si>
  <si>
    <t>pp3-4, 6, 8-15 (scanned)</t>
  </si>
  <si>
    <t/>
  </si>
  <si>
    <t/>
  </si>
  <si>
    <t/>
  </si>
  <si>
    <t/>
  </si>
  <si>
    <t/>
  </si>
  <si>
    <t/>
  </si>
  <si>
    <t/>
  </si>
  <si>
    <t/>
  </si>
  <si>
    <t/>
  </si>
  <si>
    <t>p1-5</t>
  </si>
  <si>
    <t/>
  </si>
  <si>
    <t>All 5,271 rows</t>
  </si>
  <si>
    <t>All 6,948 rows</t>
  </si>
  <si>
    <t>p1-2 each (scanned)</t>
  </si>
  <si>
    <t/>
  </si>
  <si>
    <t/>
  </si>
  <si>
    <t>pp1-2</t>
  </si>
  <si>
    <t>p1</t>
  </si>
  <si>
    <t>pp8, 17, 28</t>
  </si>
  <si>
    <t>pp1-2 (scanned)</t>
  </si>
  <si>
    <t>pp1, 3, 5</t>
  </si>
  <si>
    <t>p2 (scanned)</t>
  </si>
  <si>
    <t>pp1, 3</t>
  </si>
  <si>
    <t>p1 / pp1, 3</t>
  </si>
  <si>
    <t>What was taken</t>
  </si>
  <si>
    <t>Seller claims, EBITDA bridge, revenue mix, concentration, churn, proof of cash, NWC, net debt, Appendices A-C</t>
  </si>
  <si>
    <t>FY25 statements, revenue notes, debt, commitments, litigation, CMH I abatement, swaps, VPPAs, other income, lease liability</t>
  </si>
  <si>
    <t>Confirmed identical to 2.03</t>
  </si>
  <si>
    <t>FY23-FY25 income statements, FY23-FY24 straight-line, SLA credits, DSO</t>
  </si>
  <si>
    <t>Monthly revenue, power cost, other income detail, non-recurring, G&amp;A, balance sheets</t>
  </si>
  <si>
    <t>Q1 FY26 and Q1 FY25 P&amp;L, other income detail, power</t>
  </si>
  <si>
    <t>Q1 FY26 statements and 3/31/26 balance sheet</t>
  </si>
  <si>
    <t>Contracted kW, rate, ABR by lease</t>
  </si>
  <si>
    <t>Metered energy billed, monthly power billed</t>
  </si>
  <si>
    <t>Facility energy and estimated utility cost by campus and month</t>
  </si>
  <si>
    <t>Contracted kW by tenant and quarter; churn and downsizes</t>
  </si>
  <si>
    <t>Top-10 ABR share (63.9%)</t>
  </si>
  <si>
    <t>Escalators and terms of the top leases</t>
  </si>
  <si>
    <t>Exits, kW and rent at exit</t>
  </si>
  <si>
    <t>Billed base rent, power and cross-connects by lease and month</t>
  </si>
  <si>
    <t>Invoices, due and paid dates, open items</t>
  </si>
  <si>
    <t/>
  </si>
  <si>
    <t>Remaining PHX II / ATL II spend at 3/31/26</t>
  </si>
  <si>
    <t>Contingency overdrawn, disputed lien claim</t>
  </si>
  <si>
    <t>FY25 bonus $9.4M at 108%; $6.5M retention pool</t>
  </si>
  <si>
    <t>Lien claim status, GC allocation, SLA dispute</t>
  </si>
  <si>
    <t>Margin, interest periods, repricing premium only</t>
  </si>
  <si>
    <t>$150.0M incremental term loan; $2.875M quarterly amortization from June 2026</t>
  </si>
  <si>
    <t>Three swaps: notionals and fixed rates</t>
  </si>
  <si>
    <t>Total debt $1,570.0M; leverage 6.63x</t>
  </si>
  <si>
    <t>State tax exposures staying with the company; Nevada transfer tax open</t>
  </si>
  <si>
    <t>Cash-free, debt-free basis; 6.0x staple sizing; illustrative SOFR 3.75%</t>
  </si>
  <si>
    <t>Used in</t>
  </si>
  <si>
    <t>All tabs</t>
  </si>
  <si>
    <t>Tie-out, Revenue Quality, Proof of Cash, Net Debt</t>
  </si>
  <si>
    <t>Tie-out</t>
  </si>
  <si>
    <t>Tie-out, Revenue Quality, Proof of Cash</t>
  </si>
  <si>
    <t>Tie-out, Revenue Quality, QoE Retest, Proof of Cash</t>
  </si>
  <si>
    <t>Tie-out, QoE Retest</t>
  </si>
  <si>
    <t>Tie-out, Net Debt</t>
  </si>
  <si>
    <t/>
  </si>
  <si>
    <t>Revenue Quality (B)</t>
  </si>
  <si>
    <t>Revenue Quality (B), QoE Retest</t>
  </si>
  <si>
    <t>Revenue Quality (C)</t>
  </si>
  <si>
    <t/>
  </si>
  <si>
    <t>Revenue Quality (C), Proof of Cash</t>
  </si>
  <si>
    <t>Net Debt memo</t>
  </si>
  <si>
    <t>Net Debt</t>
  </si>
  <si>
    <t>QoE Retest, Net Debt</t>
  </si>
  <si>
    <t>Net Debt, Proof of Cash</t>
  </si>
  <si>
    <t>Findings, Net Debt</t>
  </si>
  <si>
    <t>FY25 year end</t>
  </si>
  <si>
    <t>FY24 year end</t>
  </si>
  <si>
    <t>Q1 FY26 end</t>
  </si>
  <si>
    <t>Tabs: 2023 IS, 2024 IS, 2025 IS, 2025 BS, 2023 CF, 2024 CF, KPIs</t>
  </si>
  <si>
    <t>Tabs: P&amp;L (Monthly), Revenue by Campus, Property Opex by Campus, Other Income, Non-recurring, G&amp;A Detail, BS and CF</t>
  </si>
  <si>
    <t>Tabs: Q1 FY26 Flash A6:F17; Detail by Campus rows 39-101</t>
  </si>
  <si>
    <t>Tabs: Q1 FY26 IS, Q1 FY26 BS, Q1 FY26 CF</t>
  </si>
  <si>
    <t>Tab: Rent Roll; export rows 1-165</t>
  </si>
  <si>
    <t>Tabs: FY25 Power Analysis; Monthly by Campus</t>
  </si>
  <si>
    <t>Tab: Monthly Summary A3:G86</t>
  </si>
  <si>
    <t>Tabs: Quarterly by Tenant; README</t>
  </si>
  <si>
    <t>Tabs: Top 25 Tenants; Concentration Summary</t>
  </si>
  <si>
    <t>Tab: Churn Detail A3:L16</t>
  </si>
  <si>
    <t>Tab: Projects UC A4:L7</t>
  </si>
  <si>
    <t>Tabs: Budget by Division; Change Order Log; Draw Schedule</t>
  </si>
  <si>
    <t>FY23 $2.8M and FY24 $2.2M of adjusted EBITDA are a residual labelled 'management adjustments (net)' in QoE Sec. 3.1, not itemized; the FY23-FY25 growth story is overstated by the change in these plugs.</t>
  </si>
  <si>
    <t>FY23-FY24 power cost and utility data not in the data room.</t>
  </si>
  <si>
    <t>2.03 p4; 2.05; 2.07; 5.07; 3.07; 6.04 'Monthly Summary'</t>
  </si>
  <si>
    <t>$17.7M of year-end receivables has no open invoice behind it: unbilled or accrued revenue, managed services or non-tenant balances. Not explained anywhere in the data room; affects the NWC peg and revenue.</t>
  </si>
  <si>
    <t>Portfolio: ledger base rent (= GAAP lease revenue) vs rent-roll contract rent, leases in place for the whole period; gap split into straight-line rent and an unexplained remainder</t>
  </si>
  <si>
    <t>(F) BILLING LEDGER JANUARY STEP TEST: DOES THE LEDGER MOVE EACH LEASE ON ITS OWN ESCALATOR DATE?</t>
  </si>
  <si>
    <t>Leases billed in both December and January</t>
  </si>
  <si>
    <t>Leases whose base rent changed December to January</t>
  </si>
  <si>
    <t>Share of leases stepped</t>
  </si>
  <si>
    <t>Median December-to-January change</t>
  </si>
  <si>
    <t>Smallest change (applied to every lease)</t>
  </si>
  <si>
    <t>Largest change</t>
  </si>
  <si>
    <t>Leases within 0.2 pp of the median</t>
  </si>
  <si>
    <t>Leases without a January escalator date (incl. leases no longer in the rent roll)</t>
  </si>
  <si>
    <t xml:space="preserve">  of which within 0.2 pp of the median</t>
  </si>
  <si>
    <t>Leases with a January escalator date (3.10 current commencement month)</t>
  </si>
  <si>
    <t>Leases no longer in the 3/31/26 rent roll</t>
  </si>
  <si>
    <t>Median leases stepping in each other month of the year (Feb-Dec; 2026 Feb-Mar)</t>
  </si>
  <si>
    <t>Check: leases without + with a January escalator date less leases billed</t>
  </si>
  <si>
    <t>Ledger base rent less GAAP lease revenue, year ending that December (FY23 / FY24 / FY25, $M)</t>
  </si>
  <si>
    <t>Jan-24</t>
  </si>
  <si>
    <t>Ledger base rent (5.07 = GAAP)</t>
  </si>
  <si>
    <t>FY25 ledger base rent (5.07; = GAAP)</t>
  </si>
  <si>
    <t>Jan-26</t>
  </si>
  <si>
    <t>Ledger above contract (gap)</t>
  </si>
  <si>
    <t>Q1 FY26 ledger base rent (5.07)</t>
  </si>
  <si>
    <t>Q1 FY26 ledger above contract</t>
  </si>
  <si>
    <t>Lease revenue, GAAP (portfolio)</t>
  </si>
  <si>
    <t>In-place leases' share of lease revenue</t>
  </si>
  <si>
    <t>Straight-line rent, portfolio (non-cash)</t>
  </si>
  <si>
    <t>Straight-line on in-place leases (est.)</t>
  </si>
  <si>
    <t>Unexplained remainder: EBITDA at risk</t>
  </si>
  <si>
    <t>Inconsistent: if the ledger were as billed, it would sit below GAAP rent by the straight-line amount. The ledger was conformed to GAAP lease revenue each year (section F), so it cannot evidence billing or the straight-line receivable.</t>
  </si>
  <si>
    <t>FY25 ledger (= GAAP) rent $3.6M above contracted ABR on fully occupied leases; Jan-26 step-up 3.6% across all five leases.</t>
  </si>
  <si>
    <t>FY25 ledger $2.2M above contract; Jan-26 step-up 4.6%.</t>
  </si>
  <si>
    <t>Ledger 4.4% above contract in FY25.</t>
  </si>
  <si>
    <t/>
  </si>
  <si>
    <t>January 2026: the ledger stepped every lease by at least 3.04% whatever its escalator date (section F); January-anniversary leases ~6.1%. About $2.0M of Q1 FY26 ledger rent comes from the off-cycle step alone.</t>
  </si>
  <si>
    <t>Every lease moves by at least the common step each January, whatever its escalator date; the leases above it are January-anniversary leases and ramps adding their own step. Rent-roll escalators are fixed at 2.5%-3.5% a year, so a (1.8)% cut in January 2024 and a 9.3% rise in January 2025 are not contract terms.</t>
  </si>
  <si>
    <t>In other months only the leases on their anniversary step (about 18-26 a month), as contracts would require; January is the exception.</t>
  </si>
  <si>
    <t>With row 8: the ledger was scaled each January to the year's GAAP lease revenue (conformed to the GL), so it is not an invoice record and cannot evidence billing or the straight-line receivable.</t>
  </si>
  <si>
    <t/>
  </si>
  <si>
    <t>5.07 billing ledger (base rent by lease, December vs January); 3.10 rent roll (current commencement month, annual escalator)</t>
  </si>
  <si>
    <t/>
  </si>
  <si>
    <t>Accrued property taxes (in NWC per the NWC workbook; not debt-like)</t>
  </si>
  <si>
    <t>Excluded from debt-like items: the NWC workbook (deal team) includes accrued property taxes in net working capital and its peg ($11.2M at 12/31/25, $11.6M at 3/31/26; Tie-out row 53), so counting them here would double count. Shown at zero by treatment, not because the balance is nil.</t>
  </si>
  <si>
    <t>QoE retest (headline): seller's adjusted EBITDA to buy-side adjusted and cash EBITDA</t>
  </si>
  <si>
    <t>Takeaway: on the add-back conclusions of the adjusted EBITDA workbook, seller management-adjusted EBITDA of $224.0M falls to $215.1M (LTM Q1 FY26 $235.6M to $226.7M): interest income on cash $3.2M, realized VPPA settlements $2.2M, transaction costs held back pending invoices $2.9M and severance $0.6M. This workbook's own finding, unrecovered metered power cost of $8.2M (provisional; LTM $8.8M illustrative), takes buy-side adjusted EBITDA to $206.9M FY25 and $217.9M LTM. After straight-line rent ($8.4M / $8.5M), buy-side cash EBITDA is $198.5M and $209.4M. Rent above contract that straight-lining does not explain ($3.9M FY25, $8.6M LTM) is EBITDA at risk, shown below the bridge and not deducted.</t>
  </si>
  <si>
    <t>US$ millions. The adjusted EBITDA workbook owns the add-back tests: its Summary-tab results are entered here as labeled inputs (blue on yellow, named in the Source column) and are not retested. (-) deduction. Provisional = estimate from primary operating data, pending the documents in the Request List. Illustrative = estimate where the data room is silent.</t>
  </si>
  <si>
    <t>Management-adjusted EBITDA (seller)</t>
  </si>
  <si>
    <t>ADD-BACK TESTS (ADJUSTED EBITDA WORKBOOK; NOT RETESTED HERE)</t>
  </si>
  <si>
    <t>(-) Realized VPPA settlements</t>
  </si>
  <si>
    <t>(-) Transaction costs held back pending invoices</t>
  </si>
  <si>
    <t>(-) Severance rejected</t>
  </si>
  <si>
    <t>Add-back tests, total</t>
  </si>
  <si>
    <t>Diligence-adjusted EBITDA (adjusted EBITDA workbook)</t>
  </si>
  <si>
    <t>Check: management-adjusted + add-back tests less diligence-adjusted (rounding)</t>
  </si>
  <si>
    <t>BUY-SIDE FINDING LAYERED ON TOP</t>
  </si>
  <si>
    <t>(-) Unrecovered metered power cost (provisional; LTM illustrative)</t>
  </si>
  <si>
    <t>(-) Straight-line rent (non-cash)</t>
  </si>
  <si>
    <t>Buy-side cash EBITDA ($M)</t>
  </si>
  <si>
    <t>MEMO AND CHECKS (NOT IN THE BRIDGE)</t>
  </si>
  <si>
    <t>Cash EBITDA per the adjusted EBITDA workbook</t>
  </si>
  <si>
    <t>Check: diligence-adjusted less straight-line less workbook cash EBITDA</t>
  </si>
  <si>
    <t>Check: FY25 straight-line input less audited cash flow straight-line</t>
  </si>
  <si>
    <t>(-) Rent at risk: ledger (= GAAP) rent above contract after the straight-line share, not deducted</t>
  </si>
  <si>
    <t>Buy-side adjusted EBITDA if the rent at risk is confirmed (downside)</t>
  </si>
  <si>
    <t>LTM UNRECOVERED POWER BUILD (ILLUSTRATIVE)</t>
  </si>
  <si>
    <t>Metered power reimbursements in the period</t>
  </si>
  <si>
    <t>Unrecovered power as % of reimbursements (FY25)</t>
  </si>
  <si>
    <t>Unrecovered power cost (quarters illustrative)</t>
  </si>
  <si>
    <t>Input</t>
  </si>
  <si>
    <t>Calc</t>
  </si>
  <si>
    <t>Check</t>
  </si>
  <si>
    <t>At risk</t>
  </si>
  <si>
    <t>Basis (one line)</t>
  </si>
  <si>
    <t>Seller's adjusted EBITDA (QoE), as carried in the adjusted EBITDA workbook.</t>
  </si>
  <si>
    <t>Financing income inside 'other income'; removed from EBITDA.</t>
  </si>
  <si>
    <t>Financial contract settlements inside 'other income'; removed from EBITDA.</t>
  </si>
  <si>
    <t>Part of the seller's transaction-cost add-back not accepted until invoices are produced.</t>
  </si>
  <si>
    <t>Severance add-back rejected.</t>
  </si>
  <si>
    <t>FY25 = sum of the four items. The Summary tab gives no LTM split: LTM = diligence-adjusted less management-adjusted.</t>
  </si>
  <si>
    <t>Management-adjusted EBITDA after the add-back tests.</t>
  </si>
  <si>
    <t>The four items sum to the $8.9M FY25 gap exactly: no rounding difference at one decimal.</t>
  </si>
  <si>
    <t>Interval-meter utility cost $92.4M vs $84.2M recovered; GL books cost equal to recovery each month. LTM from the build below. Pending utility invoices.</t>
  </si>
  <si>
    <t>Cash-rent view only; FY25 ties to the audited cash flow (row 25). Kept out of the rent-at-risk figure so nothing is counted twice.</t>
  </si>
  <si>
    <t>Diligence-adjusted EBITDA less straight-line rent, before the buy-side power finding.</t>
  </si>
  <si>
    <t>GAAP lease revenue on full-period leases above rent-roll contract rent, less the estimated straight-line share. Pending lease-by-lease billing reconciliation.</t>
  </si>
  <si>
    <t>Illustrative: no utility data after CY2025; quarters use the FY25 unrecovered rate on each quarter's reimbursements. LTM = FY25 + Q1 FY26 - Q1 FY25.</t>
  </si>
  <si>
    <t>Adjusted EBITDA workbook (deal team), Summary tab</t>
  </si>
  <si>
    <t>Adjusted EBITDA workbook (deal team), Summary tab; 2.03 p7</t>
  </si>
  <si>
    <t>Revenue Quality row 13; 2.03 p7</t>
  </si>
  <si>
    <t>Revenue Quality rows 58-61 (C); section (F)</t>
  </si>
  <si>
    <t>Revenue Quality row 20; 2.07 'Detail by Campus'</t>
  </si>
  <si>
    <t>Revenue Quality row 26</t>
  </si>
  <si>
    <t>Q1 FY25 lease revenue = 5.07 Jan-Mar 2025 (ledger = GAAP); LTM straight-line $8.5M per Adjusted EBITDA workbook (deal team), Summary tab (QoE Retest row 19); Q1 FY25 straight-line implied.</t>
  </si>
  <si>
    <t>Takeaway: buy-side adjusted EBITDA is $206.9M FY25 and $217.9M LTM Q1 FY26 against the seller's $224.0M and $235.6M: the adjusted EBITDA workbook's add-back tests take $8.9M off (to $215.1M / $226.7M) and unrecovered power cost a further $8.2M (provisional; LTM $8.8M illustrative). Buy-side cash EBITDA, after straight-line rent, is $198.5M / $209.4M. Net debt and debt-like items are $1,584.0M at 12/31/25 vs the seller's $1,506.9M ($77.1M more; accrued property taxes left in NWC per the NWC workbook). At 19.2x, the FY25 EBITDA before other income implied by the six campus appraisals, the value effect is about $(405.0)M. A further $3.9M of FY25 rent ($8.6M LTM) is EBITDA at risk, not deducted, pending a lease-by-lease billing reconciliation.</t>
  </si>
  <si>
    <t>US$ millions; negatives in parentheses. Value effect = FY25 EBITDA effect x 19.2x, less the increase in net debt dollar for dollar. Blue = from a data room file; blue on yellow = assumption or deal-team workbook input; black = calculation; green = link to another tab.</t>
  </si>
  <si>
    <t>Multiple: appraised campus value / FY25 EBITDA before other income (x)</t>
  </si>
  <si>
    <t>RANKED FINDINGS WITH A VALUE EFFECT (largest first)</t>
  </si>
  <si>
    <t>FINDINGS WITHOUT A VALUE EFFECT (shown at zero: unquantified or timing, not economically nil)</t>
  </si>
  <si>
    <t>Cash EBITDA, FY25 ($M)</t>
  </si>
  <si>
    <t>Cash EBITDA, LTM Q1 FY26 ($M)</t>
  </si>
  <si>
    <t>Value effect at the multiple ($M)</t>
  </si>
  <si>
    <t>Unrecovered metered power cost: FY25 utility cost vs cost booked (provisional)</t>
  </si>
  <si>
    <t>Transaction costs held back pending invoices</t>
  </si>
  <si>
    <t>Realized VPPA settlements included in adjusted EBITDA</t>
  </si>
  <si>
    <t>Severance add-back rejected</t>
  </si>
  <si>
    <t>Total ranked findings ($M)</t>
  </si>
  <si>
    <t>Check: ranked total value effect (D) vs seller vs buy-side value effect (E)</t>
  </si>
  <si>
    <t>Rent at risk: ledger (= GAAP) lease revenue above rent-roll contract rent after the straight-line share, FY25 full-year leases</t>
  </si>
  <si>
    <t>Receivables not backed by open invoices at 12/31/25 (NWC peg and revenue risk)</t>
  </si>
  <si>
    <t>Billing ledger conformed to the GL: ledger base rent equals GAAP lease revenue (vs implied cash rent) and every lease steps the same % each January</t>
  </si>
  <si>
    <t>Development funding gap: committed PHX II / ATL II spend not covered by undrawn facilities at 3/31/26</t>
  </si>
  <si>
    <t>n/p</t>
  </si>
  <si>
    <t>Assumption: 19.2x, the six campus appraisals ($4,095M as is at 3/31/26; 7.08, value conclusion in each report) over FY25 NOI less G&amp;A ($212.8M = audited NOI 246.6 less G&amp;A 33.8; 2.03 p4), i.e. EBITDA before other income. It values the operating buildings only: no platform premium, no development pipeline. The data room gives no price (the process letter asks bidders for a single EV). Replace with the bid multiple.</t>
  </si>
  <si>
    <t>Value effect at multiple</t>
  </si>
  <si>
    <t>Seller = management-adjusted; buy-side = diligence-adjusted less unrecovered power.</t>
  </si>
  <si>
    <t>LTM power figure illustrative.</t>
  </si>
  <si>
    <t>Seller presents no cash EBITDA; buy-side adjusted EBITDA less straight-line rent.</t>
  </si>
  <si>
    <t>Accrued property taxes in NWC, not net debt (NWC workbook).</t>
  </si>
  <si>
    <t>FY25 EBITDA difference x multiple, less the 12/31/25 net debt difference; equals the ranked findings total.</t>
  </si>
  <si>
    <t>Provisional: pending utility invoices</t>
  </si>
  <si>
    <t>Adjusted EBITDA workbook conclusion</t>
  </si>
  <si>
    <t>EBITDA at risk, not deducted: $3.9M FY25, $8.6M LTM, pending the lease-by-lease billing reconciliation</t>
  </si>
  <si>
    <t>Not an invoice record: January steps (1.8)% / +9.3% / +3.0% on every lease whatever its escalator date</t>
  </si>
  <si>
    <t>Sources and uses; debt-like only if the price credits the developments</t>
  </si>
  <si>
    <t/>
  </si>
  <si>
    <t>Valuation step-up from 2036; $0.2M larger than the QoE</t>
  </si>
  <si>
    <t>QoE Retest rows 7, 18</t>
  </si>
  <si>
    <t>QoE Retest row 20</t>
  </si>
  <si>
    <t/>
  </si>
  <si>
    <t>QoE Retest row 17; Revenue Quality (B); 6.04; 3.07; 2.05</t>
  </si>
  <si>
    <t>QoE Retest row 9; Adjusted EBITDA workbook (deal team), Summary tab</t>
  </si>
  <si>
    <t>QoE Retest row 11; Adjusted EBITDA workbook (deal team), Summary tab</t>
  </si>
  <si>
    <t>QoE Retest row 10; Adjusted EBITDA workbook (deal team), Summary tab</t>
  </si>
  <si>
    <t>QoE Retest row 12; Adjusted EBITDA workbook (deal team), Summary tab</t>
  </si>
  <si>
    <t>Revenue Quality rows 56-61; QoE Retest row 26</t>
  </si>
  <si>
    <t>Revenue Quality rows 8-15, (F)</t>
  </si>
  <si>
    <t>Takeaway: the billing ledger is not an invoice record: its base rent equals GAAP lease revenue in every year, and every lease in it moves by the same percentage each January ((1.8)% in 2024, +9.3% in 2025, +3.0% in 2026) whatever its escalator date (section F). On leases in place all of FY25, GAAP lease revenue exceeds rent-roll contract rent by $11.9M; about $8.0M of that is the in-place leases' estimated share of the $8.4M straight-line rent, leaving $3.9M ($8.6M LTM Q1 FY26) unexplained. That remainder is EBITDA at risk pending a lease-by-lease billing reconciliation and is not deducted in headline EBITDA. Metered power is not a clean pass-through: interval-meter data put FY25 utility cost at $92.4M against $84.2M recovered, while the GL books cost equal to recovery every month. Concentration agrees with the QoE; churn MW agrees but the QoE misdescribes the losses.</t>
  </si>
  <si>
    <t/>
  </si>
  <si>
    <t/>
  </si>
  <si>
    <t/>
  </si>
  <si>
    <t/>
  </si>
  <si>
    <t/>
  </si>
  <si>
    <t/>
  </si>
  <si>
    <t/>
  </si>
  <si>
    <t/>
  </si>
  <si>
    <t/>
  </si>
  <si>
    <t/>
  </si>
  <si>
    <t/>
  </si>
  <si>
    <t/>
  </si>
  <si>
    <t/>
  </si>
  <si>
    <t/>
  </si>
  <si>
    <t>Adjusted EBITDA workbook (deal team)</t>
  </si>
  <si>
    <t>NWC workbook (deal team)</t>
  </si>
  <si>
    <t>Summary tab (figures as given by the deal team)</t>
  </si>
  <si>
    <t>Treatment as given by the deal team</t>
  </si>
  <si>
    <t>Management-adjusted, diligence-adjusted and cash EBITDA; add-back test results; straight-line rent FY25 / LTM; 19.2x appraisal-implied multiple (7.08 campus appraisals: NOVA I 1,365, PHX I 925, DFW I 630, ATL I 525, CMH I 465, RNO I 185 = $4,095M; 2.03 p4 audited NOI 246.6 less G&amp;A 33.8 = $212.8M)</t>
  </si>
  <si>
    <t>Accrued property taxes included in net working capital and its peg</t>
  </si>
  <si>
    <t>Revenue Quality (C), (D), (F)</t>
  </si>
  <si>
    <t>Revenue Quality incl. (F), Proof of Cash</t>
  </si>
  <si>
    <t>QoE Retest, Findings, Revenue Quality row 61</t>
  </si>
  <si>
    <t/>
  </si>
  <si>
    <t>FY25 bonus accrual (inside 12/31/25 payables)</t>
  </si>
  <si>
    <t>Accrued adviser and transaction costs (assumption, illustrative)</t>
  </si>
  <si>
    <t>Construction payables and other accruals, incl. accrued interest (residual; to confirm in Q&amp;A)</t>
  </si>
  <si>
    <t>FY25 bonus paid March 2026 (shown in row 18)</t>
  </si>
  <si>
    <t>Not disclosed separately; sits inside accounts payable and accrued liabilities, so captured in the construction payables and other accruals line (row 20). Illustrative size: one month of FY25 cash interest ($92.5M / 12) = $7.7M (memo below).</t>
  </si>
  <si>
    <t>Accepted at 12/31/25. 3/31/26 retentions not disclosed: buy-side includes them in the construction payables and other accruals line (row 20) rather than carry the 12/31/25 figure.</t>
  </si>
  <si>
    <t>FY25 bonus funded at 108% of target, $9.4M aggregate payout, paid March 2026 (8.03). Accrued in audited payables at 12/31/25 but outside the QoE 'operating' payables, so in neither NWC nor seller net debt: debt-like at 12/31/25. Paid before 3/31/26, so nil at 3/31/26.</t>
  </si>
  <si>
    <t>Assumption (illustrative): Nov-Dec 2025 sale-process costs in 2.05 'Non-recurring' ($0.7M Nov, $1.2M Dec) taken as $1.2M unpaid at year end (the December amount). 3/31/26: $1.2M carried as an estimate (illustrative); Q1 FY26 sale-process costs were $1.7M (2.09). Confirm accrued adviser invoices in Q&amp;A.</t>
  </si>
  <si>
    <t/>
  </si>
  <si>
    <t>8.03 p1; 2.03 p5; 11.04 p15</t>
  </si>
  <si>
    <t>2.05 'Non-recurring' rows 6-9; 2.09 'Revenue &amp; Cost Detail' rows 80-84</t>
  </si>
  <si>
    <t>2.03 p5; 11.04 p15; Tie-out row 52</t>
  </si>
  <si>
    <t>RECONCILIATION: FORMER WORKING CAPITAL WORKBOOK DEBT-LIKE ADDITIONS TO THIS SCHEDULE (12/31/25)</t>
  </si>
  <si>
    <t>Construction payables and other accruals (residual)</t>
  </si>
  <si>
    <t>FY25 bonus accrual</t>
  </si>
  <si>
    <t>Former NWC workbook debt-like additions ($M)</t>
  </si>
  <si>
    <t>Items only this workbook carries</t>
  </si>
  <si>
    <t xml:space="preserve">  Other long-term liabilities (incl. swap and Caliza VPPA liabilities)</t>
  </si>
  <si>
    <t xml:space="preserve">  PHX II mechanic's lien: full claim above the $1.2M accrual</t>
  </si>
  <si>
    <t xml:space="preserve">  PHX II owner contingency overdrawn</t>
  </si>
  <si>
    <t>Total buy-side debt-like additions over the seller ($M)</t>
  </si>
  <si>
    <t>This workbook: buy-side less seller, total debt and debt-like items (row 28)</t>
  </si>
  <si>
    <t>Check: reconciled total less row 28 difference (should be zero)</t>
  </si>
  <si>
    <t>Former NWC workbook (input)</t>
  </si>
  <si>
    <t>This workbook (12/31/25)</t>
  </si>
  <si>
    <t>Note</t>
  </si>
  <si>
    <t>Input: former NWC workbook figure. This workbook: row 20.</t>
  </si>
  <si>
    <t>Input: former NWC workbook figure. This workbook: row 18.</t>
  </si>
  <si>
    <t>Input: former NWC workbook figure. This workbook: row 19 (assumption).</t>
  </si>
  <si>
    <t>Input: former NWC workbook figure. This workbook: row 24.</t>
  </si>
  <si>
    <t>Input: former NWC workbook figure. This workbook: row 23.</t>
  </si>
  <si>
    <t>Input: former NWC workbook figure. This workbook: row 21.</t>
  </si>
  <si>
    <t>$65.4M per the former NWC workbook; every line agrees to this schedule.</t>
  </si>
  <si>
    <t>Not in the former NWC workbook. This workbook: row 25.</t>
  </si>
  <si>
    <t>Not in the former NWC workbook. This workbook: row 15, difference column.</t>
  </si>
  <si>
    <t>Not in the former NWC workbook. This workbook: row 26.</t>
  </si>
  <si>
    <t>Former working capital workbook (deal team): debt-like additions, as given by the deal team</t>
  </si>
  <si>
    <t>This workbook</t>
  </si>
  <si>
    <t>Construction payables and other accruals (incl. accrued interest) outside both NWC and seller net debt: residual, to confirm in Q&amp;A</t>
  </si>
  <si>
    <t>FY25 bonus accrual in 12/31/25 payables, outside both NWC and seller net debt (paid March 2026)</t>
  </si>
  <si>
    <t>Accrued adviser and transaction costs in 12/31/25 payables, outside both NWC and seller net debt (assumption, illustrative)</t>
  </si>
  <si>
    <t>Buy-side position; composition to confirm in Q&amp;A</t>
  </si>
  <si>
    <t>Confirmed (8.03)</t>
  </si>
  <si>
    <t>Assumption (illustrative)</t>
  </si>
  <si>
    <t>Net Debt row 30</t>
  </si>
  <si>
    <t>Net Debt row 20; Tie-out row 52</t>
  </si>
  <si>
    <t>Net Debt row 24</t>
  </si>
  <si>
    <t>Net Debt row 18; 8.03 p1</t>
  </si>
  <si>
    <t>Net Debt row 21; 8.03 p2</t>
  </si>
  <si>
    <t>Net Debt row 26; 4.06</t>
  </si>
  <si>
    <t>Net Debt row 19; 2.05 'Non-recurring'</t>
  </si>
  <si>
    <t>Net Debt rows 51-53</t>
  </si>
  <si>
    <t>Takeaway: buy-side net debt and debt-like items are about $1,584M at 12/31/25 against the seller's $1,506.9M, $77M more ($1,648M vs $1,565.7M at 3/31/26, $82M more). The seller left $57.6M of payables outside both working capital and net debt and added back only $12.9M of it; the $44.7M balance splits into the $9.4M FY25 bonus accrual, $1.2M of accrued adviser costs (assumption) and a $34.1M residual of construction payables and other accruals to confirm in Q&amp;A; it also omitted tenant deposits, non-current deferred revenue, other long-term liabilities (which hold the swaps and the Caliza VPPA liability), the $6.5M retention pool, the uncovered $3.4M of the PHX II lien claim and the $1.8M PHX II contingency overrun. Accrued property taxes stay in net working capital, following the NWC workbook, and are not counted here. Committed development spend of $480M at 3/31/26 ($365M not covered by undrawn facilities) is a sources-and-uses item shown as a memo.</t>
  </si>
  <si>
    <t/>
  </si>
  <si>
    <t/>
  </si>
  <si>
    <t/>
  </si>
  <si>
    <t/>
  </si>
  <si>
    <t/>
  </si>
  <si>
    <t/>
  </si>
  <si>
    <t>Accrued property taxes are in the QoE NWC definition (Sec. 8.1) but not in its NWC table, and not in net debt. Buy-side follows the NWC workbook: in NWC and its peg, not debt-like (Net Debt row 22).</t>
  </si>
  <si>
    <t>Diligence request list: follow-up requests after first-round diligence</t>
  </si>
  <si>
    <t>Takeaway: 46 requests, 29 High. The High requests decide whether $8.2M of FY25 EBITDA (unrecovered power), $3.9M of FY25 rent at risk ($8.6M LTM), $3.5M of held-back add-backs and $77.1M of net debt and debt-like items above the seller's figure stand: utility invoices, a lease-by-lease billing reconciliation, the receivables subledger, a payables breakdown, swap marks and the construction facility agreements lead the list. Route through the data room Q&amp;A module per the process letter; tenant-level items go to the clean team.</t>
  </si>
  <si>
    <t>Priority: High = moves EBITDA, net debt or the price; Medium = the rest. Addressed to = party expected to answer (Management, QoE provider or Counsel). Source = data room evidence (file and page, or the two figures that disagree), with the workbook tab in brackets. US$ millions unless stated.</t>
  </si>
  <si>
    <t>Workstream</t>
  </si>
  <si>
    <t>Why we ask</t>
  </si>
  <si>
    <t>Addressed to</t>
  </si>
  <si>
    <t>Financial and accounting</t>
  </si>
  <si>
    <t>Monthly trial balances and journal-level GL detail, all entities and accounts, Jan-23 to Mar-26, Excel</t>
  </si>
  <si>
    <t>GL books power cost equal to reimbursement every month ($84.2M FY25) and 2.05 has quarter-end balance sheets only</t>
  </si>
  <si>
    <t>Medium</t>
  </si>
  <si>
    <t>Management</t>
  </si>
  <si>
    <t>Not in the data room; 2.05 Management Accounts FY25 'P&amp;L (Monthly)', 'BS and CF' (Revenue Quality row 21)</t>
  </si>
  <si>
    <t>Audit management letters, summaries of recorded and unrecorded audit adjustments, and management responses, FY23-FY25, PDF</t>
  </si>
  <si>
    <t>Billing ledger conformed to GAAP each January and power cost booked as a plug; need the auditor's control findings</t>
  </si>
  <si>
    <t>Not in the data room; 2.01-2.03 Audited FS FY23-FY25 only (Revenue Quality (B), (F))</t>
  </si>
  <si>
    <t>Itemization of 'management adjustments (net)' with GL support, FY23 and FY24, Excel by adjustment</t>
  </si>
  <si>
    <t>$2.8M FY23 and $2.2M FY24 of adjusted EBITDA are unexplained plugs; QoE dashboard counts only 2.9 / 1.6</t>
  </si>
  <si>
    <t>High</t>
  </si>
  <si>
    <t>QoE provider</t>
  </si>
  <si>
    <t>Residual $2.8M / $2.2M (2.04 '2023 IS', '2024 IS' vs audited memo) vs 11.04 Sell-Side QoE p4 dashboard 2.9 / 1.6 (Tie-out rows 31-39)</t>
  </si>
  <si>
    <t>Invoices and engagement letters behind the transaction-cost add-back, FY25-Q1 FY26, PDF plus Excel listing by vendor and month</t>
  </si>
  <si>
    <t>$2.9M of the $4.8M FY25 transaction-cost add-back held back until invoices are produced</t>
  </si>
  <si>
    <t>11.04 Sell-Side QoE p6-7; 2.05 'Non-recurring' rows 6-9 (QoE Retest row 11)</t>
  </si>
  <si>
    <t>Separation agreements and payroll records behind the severance add-back, FY25, PDF plus Excel by employee (aggregated through the clean team)</t>
  </si>
  <si>
    <t>$0.6M severance add-back rejected for want of support that it is non-recurring</t>
  </si>
  <si>
    <t>11.04 Sell-Side QoE p6-7 (QoE Retest row 12)</t>
  </si>
  <si>
    <t>Line-by-line reconciliation of other income between the Q1 FY26 statements and the flash report, Q1 FY26, Excel</t>
  </si>
  <si>
    <t>Other income $4.3M in the statements vs $3.8M in the flash; $0.5M moves LTM adjusted EBITDA ($62.5M vs $62.0M)</t>
  </si>
  <si>
    <t>2.09 Q1 FY26 FS 'Q1 FY26 IS'!B19 $4.3M vs 2.07 Q1 FY26 Flash 'Detail by Campus'!B93 $3.8M (Tie-out rows 69-72)</t>
  </si>
  <si>
    <t>Contracts, invoices and GL detail for development, management and energy fee income by counterparty, FY23-Q1 FY26, PDF plus Excel</t>
  </si>
  <si>
    <t>$5.76M of FY25 fee income sits in EBITDA; Q1 FY26 $2.8M vs $1.16M Q1 FY25, recurrence unproven</t>
  </si>
  <si>
    <t>2.05 'Other Income'!N8 $5.76M; 2.07 Q1 FY26 Flash row 92 $2.8M vs $1.16M; no contracts in the data room</t>
  </si>
  <si>
    <t>QoE net working capital schedule restated to the audited balance sheet, including accrued property taxes and tenant deposits per the QoE's own definition, monthly FY25-Q1 FY26, Excel</t>
  </si>
  <si>
    <t>QoE NWC uses AR $31.6M, prepaid $8.4M and deferred revenue $13.8M vs audited $34.2M, $12.4M and $18.6M</t>
  </si>
  <si>
    <t>11.04 Sell-Side QoE p15 vs 2.03 Audited FS FY25 p5 (Tie-out rows 43-55)</t>
  </si>
  <si>
    <t>Monthly balance sheets consistent with the audited and Q1 FY26 statements, Jan-25 to Mar-26, Excel</t>
  </si>
  <si>
    <t>The NWC peg needs monthly balances; the QoE says they are still being compiled</t>
  </si>
  <si>
    <t>11.04 Sell-Side QoE p15; 2.05 'BS and CF' holds quarter-end balance sheets only</t>
  </si>
  <si>
    <t>Accounts receivable subledger by customer and type (billed, unbilled, accrued, managed services, other) reconciled to the balance sheet, 12/31/25 and 3/31/26, Excel</t>
  </si>
  <si>
    <t>AR $34.2M vs $16.5M of open invoices at 12/31/25 ($17.7M unsupported); $35.1M vs $24.2M at 3/31/26</t>
  </si>
  <si>
    <t>2.03 Audited FS FY25 p5 $34.2M and 2.09 Q1 FY26 FS $35.1M vs 5.08 Invoice Register $16.5M / $24.2M (Proof of Cash (C))</t>
  </si>
  <si>
    <t>AR and AP agings by counterparty, month-end FY25-Q1 FY26, Excel, with the KPI DSO calculation</t>
  </si>
  <si>
    <t>KPI DSO is 19 days vs 30 days on balance sheet AR and 15 days on open invoices</t>
  </si>
  <si>
    <t>2.04 Consolidated FS 'KPIs' row 36 vs Proof of Cash rows 40-42; agings not in the data room</t>
  </si>
  <si>
    <t>Bank statements and bank-to-book reconciliations for all operating, deposit and construction accounts, monthly, Dec-24 to Mar-26, PDF plus Excel</t>
  </si>
  <si>
    <t>Proof of cash: register shows $387.3M collected on FY25 invoices against $412.0M revenue; the QoE's 97.6% is a cash-flow identity</t>
  </si>
  <si>
    <t>Not in the data room; 11.04 Sell-Side QoE p14; 5.08 Invoice Register (Proof of Cash (A), (B))</t>
  </si>
  <si>
    <t>Revenue and tenants</t>
  </si>
  <si>
    <t>Lease-by-lease billing reconciliation to executed leases and amendments (contract rent, escalator date and %, concessions, amount invoiced), monthly, FY25-Q1 FY26, Excel by lease</t>
  </si>
  <si>
    <t>Ledger (= GAAP) rent exceeds contract rent after straight-line by $3.9M FY25 and $8.6M LTM: EBITDA at risk</t>
  </si>
  <si>
    <t/>
  </si>
  <si>
    <t>Native billing-system invoice extract (not the 5.07 export) and an explanation of the January step applied to every lease, Jan-23 to Mar-26, Excel or CSV by invoice line</t>
  </si>
  <si>
    <t>Every lease steps the same % each January ((1.8)% 2024, +9.3% 2025, +3.0% 2026) whatever its escalator date; about $2.0M of Q1 FY26 rent is the off-cycle step</t>
  </si>
  <si>
    <t/>
  </si>
  <si>
    <t>Reconciliation of billed base rent to GAAP lease revenue and the straight-line rent schedule and receivable, by lease, FY23-Q1 FY26, Excel by lease</t>
  </si>
  <si>
    <t>Ledger base rent of $305.0M equals GAAP lease revenue; implied cash rent is $296.6M after $(8.4)M straight-line</t>
  </si>
  <si>
    <t>5.07 Billing Ledger $305.0M = 2.03 Audited FS FY25 p4 vs straight-line $(8.4)M (2.03 p7); straight-line receivable $42.6M (2.03 p5) (Revenue Quality rows 8-15)</t>
  </si>
  <si>
    <t>Billing and invoice records for managed and other services by customer and month, FY23-Q1 FY26, Excel</t>
  </si>
  <si>
    <t>$8.2M of FY25 managed services revenue ($2.4M Q1 FY26) has no billing or invoice record</t>
  </si>
  <si>
    <t>2.03 Audited FS FY25 p4 $8.2M vs nil in 5.07 Billing Ledger and 5.08 Invoice Register (Revenue Quality row 11; Proof of Cash (B))</t>
  </si>
  <si>
    <t>Credit note and SLA credit register with GL postings, FY23-Q1 FY26, Excel by tenant</t>
  </si>
  <si>
    <t>No credit or negative line in the ledger or register vs $0.19M of FY25 SLA credits and a $0.1M SLA dispute</t>
  </si>
  <si>
    <t>5.07 / 5.08: zero credit lines vs 2.04 Consolidated FS 'KPIs' row 29 $0.19M and 9.03 Litigation Summary p1 (Proof of Cash (D))</t>
  </si>
  <si>
    <t>December 2024 invoices and FY24 receivables cash application, Dec-24 to Mar-25, Excel by invoice</t>
  </si>
  <si>
    <t>The register starts January 2025 and January cash applied is only $16.1M, so the FY25 proof of cash is incomplete</t>
  </si>
  <si>
    <t>5.08 Invoice Register (Proof of Cash row 66)</t>
  </si>
  <si>
    <t/>
  </si>
  <si>
    <t/>
  </si>
  <si>
    <t/>
  </si>
  <si>
    <t>Expiring and renewed MW log behind the QoE retention rate, by lease, FY23-FY25, Excel</t>
  </si>
  <si>
    <t>QoE 91% retention is 42.5 renewed / 46.7 expiring MW, which cannot be rebuilt from the tenant data</t>
  </si>
  <si>
    <t/>
  </si>
  <si>
    <t>Executed leases, MSAs, amendments and side letters for the top 25 tenants, current, PDF plus Excel abstract</t>
  </si>
  <si>
    <t>Top 10 tenants are 63.9% of contracted ABR; only 13 leases and MSAs and no amendments are posted</t>
  </si>
  <si>
    <t>Counsel</t>
  </si>
  <si>
    <t/>
  </si>
  <si>
    <t>Power</t>
  </si>
  <si>
    <t>Utility invoices and GL power cost by campus, monthly, FY23-LTM Mar-26, Excel plus PDF invoices, with an explanation of why GL power cost equals reimbursement every month</t>
  </si>
  <si>
    <t>Meter data prices FY25 power at $92.4M vs $84.2M recovered: $8.2M unrecovered (LTM $8.8M illustrative)</t>
  </si>
  <si>
    <t>2.05 'Property Opex by Campus' row 13 $84.2M vs 6.04 Power and PUE Interval Data 'Monthly Summary' $92.4M (Revenue Quality (B); QoE Retest row 17)</t>
  </si>
  <si>
    <t>Power recovery terms by lease (pass-through basis, PUE factor, gross-up caps, house-load treatment), FY25-Q1 FY26, Excel by lease</t>
  </si>
  <si>
    <t>128.2 GWh of facility energy (1,656.6 vs 1,528.4 GWh billed) is not recovered; 3.07 says house loads are recovered through base rent</t>
  </si>
  <si>
    <t>6.04 Power and PUE Interval Data vs 3.07 Power Cost and Reimbursement Analysis (Revenue Quality rows 27-29)</t>
  </si>
  <si>
    <t>Utility supply agreements, tariff schedules and FY26 budget power cost and recovery assumptions by campus, FY26, PDF plus Excel</t>
  </si>
  <si>
    <t>The LTM estimate applies the FY25 unrecovered rate of 9.7% of reimbursements; forward rates are not provided</t>
  </si>
  <si>
    <t>6.01 Utility Capacity Summary; 2.06 FY26 Budget (QoE Retest rows 31-33)</t>
  </si>
  <si>
    <t>Capex and development</t>
  </si>
  <si>
    <t>Cost-to-complete and contingency forecast for PHX II and ATL II by budget division, at 12/31/25, 3/31/26 and latest, Excel</t>
  </si>
  <si>
    <t>Remaining committed spend was $552M at 12/31/25, while the QoE quotes ~$480M 'at 12/31/25', which is the 3/31/26 figure</t>
  </si>
  <si>
    <t>2.03 Audited FS FY25 p12 $552M vs 11.04 Sell-Side QoE p16 ~$480M = 4.05 Development Pipeline 'Projects UC' (Net Debt rows 51, 55-56)</t>
  </si>
  <si>
    <t>Funding plan (sources and uses) for committed development spend to completion, monthly, Apr-26 to completion, Excel</t>
  </si>
  <si>
    <t>$365M of PHX II / ATL II spend at 3/31/26 is not covered by $115M of undrawn construction facilities</t>
  </si>
  <si>
    <t>4.05 $480M remaining vs $600M commitments less $485M drawn (2.03 p12, p15; 2.09 Q1 FY26 FS BS) (Net Debt rows 51-53)</t>
  </si>
  <si>
    <t>Capex and maintenance history by campus, split growth, maintenance and repairs expensed, with deferred maintenance from the condition assessments, FY23-Q1 FY26, Excel</t>
  </si>
  <si>
    <t>Buy-side cash EBITDA of $198.5M FY25 is before maintenance capex, which the data room does not show</t>
  </si>
  <si>
    <t>Not in the data room; 6.03 Critical Equipment Schedule; 7.09 Property Condition Assessments (QoE Retest row 20)</t>
  </si>
  <si>
    <t>Net debt and debt-like items</t>
  </si>
  <si>
    <t>Breakdown of accounts payable and accrued liabilities by nature (construction payables, retentions, accrued interest, bonus, adviser costs, litigation, severance, other), 12/31/25 and 3/31/26, Excel by account with vendor detail</t>
  </si>
  <si>
    <t>$34.1M residual at 12/31/25 ($59.3M at 3/31/26) sits outside both NWC and seller net debt</t>
  </si>
  <si>
    <t>Audited payables $96.3M (2.03 Audited FS FY25 p5) vs QoE operating payables $38.7M (11.04 Sell-Side QoE p15) (Net Debt row 20; Tie-out row 52)</t>
  </si>
  <si>
    <t>FY25 bonus accrual: GL account and balance at 12/31/25 and the March 2026 payroll payment, Excel plus payroll register</t>
  </si>
  <si>
    <t>$9.4M FY25 bonus, paid March 2026, sits in 12/31/25 payables outside NWC and seller net debt</t>
  </si>
  <si>
    <t>8.03 Compensation and Equity Summary p1; 2.03 Audited FS FY25 p5 (Net Debt row 18)</t>
  </si>
  <si>
    <t>Accrued and unpaid adviser and transaction-cost invoices by adviser, 12/31/25 and 3/31/26, PDF plus Excel listing</t>
  </si>
  <si>
    <t>$1.2M carried as an assumption (the December 2025 sale-process cost); Q1 FY26 sale-process costs were $1.7M</t>
  </si>
  <si>
    <t>2.05 'Non-recurring' rows 6-9 ($0.7M Nov, $1.2M Dec); 2.09 Q1 FY26 FS 'Revenue &amp; Cost Detail' rows 80-84 (Net Debt row 19)</t>
  </si>
  <si>
    <t>Retention pool award letters, payment schedule and employer payroll tax estimate, plus executive change-of-control and severance payments the transaction triggers, aggregate by tranche, PDF plus Excel</t>
  </si>
  <si>
    <t>$6.5M retention pool is paid by the company, 50% at closing and 50% six months later; the seller leaves it out</t>
  </si>
  <si>
    <t>8.03 Compensation and Equity Summary p2 vs 11.04 Sell-Side QoE p13 (seller transaction cost) (Net Debt row 21)</t>
  </si>
  <si>
    <t>Tenant security deposit ledger by tenant and the bank account holding it, 12/31/25 and 3/31/26, Excel</t>
  </si>
  <si>
    <t>$9.4M of deposits ($9.6M at 3/31/26) held in cash are in neither the QoE NWC table nor seller net debt</t>
  </si>
  <si>
    <t>2.03 Audited FS FY25 p5; 2.09 Q1 FY26 FS BS; 11.04 Sell-Side QoE p15 (Net Debt row 24)</t>
  </si>
  <si>
    <t>Deferred revenue roll-forward split current and non-current by tenant and nature (prepaid rent, install fees), 12/31/25 and 3/31/26, Excel</t>
  </si>
  <si>
    <t>$4.8M non-current deferred revenue ($5.2M at 3/31/26) is in neither NWC nor net debt</t>
  </si>
  <si>
    <t>Audited $18.6M (2.03 Audited FS FY25 p5) vs QoE NWC $13.8M (11.04 Sell-Side QoE p15) (Net Debt row 23)</t>
  </si>
  <si>
    <t>Composition of other long-term liabilities (swap liabilities, Caliza VPPA liability, other) with fair value support, 12/31/25 and 3/31/26, Excel</t>
  </si>
  <si>
    <t>$6.5M ($6.7M at 3/31/26) has no note breakdown; the Caliza VPPA liability alone is $3.1M</t>
  </si>
  <si>
    <t>2.03 Audited FS FY25 p5, p13-14; 2.09 Q1 FY26 FS BS (Net Debt row 25)</t>
  </si>
  <si>
    <t>Dealer marks and termination estimates for every interest rate swap, with confirmation of the number of swaps, 12/31/25, 3/31/26 and latest, PDF plus Excel</t>
  </si>
  <si>
    <t>Audited Note 12 says two swaps; three confirmations total $632.5M notional; fair value not disclosed (illustrative $1.4M)</t>
  </si>
  <si>
    <t>2.03 Audited FS FY25 p13 'two interest rate swaps' vs 9.09 Swap Confirmations p1, p3, p5 ($250.0M / $232.5M / $150.0M) (Net Debt rows 12, 59-66)</t>
  </si>
  <si>
    <t>PHX II mechanic's lien: claim file, April 2026 mediation outcome, counsel's assessment and the GMP Amendment No. 2 cost allocation, current, PDF</t>
  </si>
  <si>
    <t>$4.6M claim vs $1.2M accrued: $3.4M uncovered, and the claim is excluded from the PHX II budget</t>
  </si>
  <si>
    <t>9.03 Litigation and Claims Summary p1; 2.03 Audited FS FY25 p11-12; 4.06 PHX II Budget 'Change Order Log' row 13 (Net Debt row 15)</t>
  </si>
  <si>
    <t>PHX II owner contingency and change-order log with forecast overrun, monthly, Dec-25 to latest, Excel</t>
  </si>
  <si>
    <t>Owner contingency is $(1.8)M after $11.8M of approved change orders: a committed overrun to fund</t>
  </si>
  <si>
    <t>4.06 PHX II Budget 'Budget by Division' row 14 (Net Debt row 26)</t>
  </si>
  <si>
    <t>Tax</t>
  </si>
  <si>
    <t>State and local tax returns, assessments and notices (Texas franchise, Ohio CAT, Nevada commerce, sales and use, property, including the PHX I refund assessment notice), FY23-FY25, PDF</t>
  </si>
  <si>
    <t>The tax overview states no open audits, but no returns or notices are posted to verify it</t>
  </si>
  <si>
    <t>12.04 Tax Structure Overview p1, p3; 7.05 Property Tax Schedule; returns not in the data room</t>
  </si>
  <si>
    <t>Texas franchise, Ohio CAT and Nevada commerce tax accruals with calculations, 12/31/25 and 3/31/26, Excel</t>
  </si>
  <si>
    <t>Pre-closing Texas franchise tax stays with the company; unquantified and shown at zero in net debt</t>
  </si>
  <si>
    <t>12.04 Tax Structure Overview p1, p3 (Net Debt row 27)</t>
  </si>
  <si>
    <t>Nevada counsel's analysis of transfer tax on the RNO I leasehold on a change of control, current, memo (PDF)</t>
  </si>
  <si>
    <t>Nevada transfer tax on the RNO I leasehold is still to be confirmed; unquantified, shown at zero</t>
  </si>
  <si>
    <t>12.04 Tax Structure Overview p3; 7.06 RNO I Ground Lease Abstract (Net Debt row 27)</t>
  </si>
  <si>
    <t>CMH I abatement agreement, benefit calculation and compliance conditions (clawback, job and investment commitments), FY23-FY25 and to expiry in 2036, PDF plus Excel</t>
  </si>
  <si>
    <t>Annual benefit is $3.1M per audited Note 9 vs $2.9M in the QoE</t>
  </si>
  <si>
    <t>2.03 Audited FS FY25 p13 $3.1M vs 11.04 Sell-Side QoE p7, p18 $2.9M (Findings, no value effect, 6)</t>
  </si>
  <si>
    <t>Legal</t>
  </si>
  <si>
    <t>PHX II and ATL II construction facility agreements with all amendments, payoff and breakage mechanics, current, PDF</t>
  </si>
  <si>
    <t>$420.0M drawn at 12/31/25 ($485.0M at 3/31/26) against $600.0M of commitments; agreements are not posted</t>
  </si>
  <si>
    <t>Not in the data room; only 9.07 A&amp;R Credit Agreement and 9.08 Amendment No. 1; 2.03 Audited FS FY25 p12, p15 (Net Debt rows 9, 13)</t>
  </si>
  <si>
    <t>Schedule of change-of-control and consent requirements across credit agreements, swaps, tenant leases and MSAs, the RNO I ground lease, vendor and utility agreements, current, Excel plus copies</t>
  </si>
  <si>
    <t>Change of control is an event of default on the $1,150.0M term loan; tenant and ground lease consents are not scheduled</t>
  </si>
  <si>
    <t>9.07 A&amp;R Credit Agreement; 9.02 Material Contract Summaries; 7.06 RNO I Ground Lease Abstract (Net Debt row 8)</t>
  </si>
  <si>
    <t>Litigation and claims letters from outside counsel and a schedule of pending and threatened claims, FY23-current, PDF</t>
  </si>
  <si>
    <t/>
  </si>
  <si>
    <t>9.03 Litigation and Claims Summary p1; 9.11 Lien, Litigation and Judgment Search</t>
  </si>
  <si>
    <t>Insurance claims history (loss runs) by policy and campus, including the storm repair claim and insurance recovery, FY23-current, PDF plus Excel</t>
  </si>
  <si>
    <t/>
  </si>
  <si>
    <t>11.04 Sell-Side QoE p6-7; 7.07 Insurance Schedule 2026; 7.15 Insurance Policy Declarations</t>
  </si>
  <si>
    <t>Employee, bonus, retention, equity and severance plan documents and executive employment agreements (aggregate outputs through the clean team), current, PDF</t>
  </si>
  <si>
    <t/>
  </si>
  <si>
    <t>8.03 Compensation and Equity Summary p1-2; 8.05 Employee Handbook; 00 Clean Team 'Employee Agreements'</t>
  </si>
  <si>
    <t>9.03 summarizes the PHX II lien and a $0.1M SLA dispute; no counsel letters are posted</t>
  </si>
  <si>
    <t>QoE adjustments include storm repair and an insurance recovery; coverage schedules are posted but no loss runs</t>
  </si>
  <si>
    <t>Residual: audited payables $96.3M less QoE 'operating' payables $38.7M, retentions $11.4M, litigation accrual $1.2M, severance $0.3M, FY25 bonus $9.4M and adviser costs $1.2M = $34.1M; expected to hold construction payables and accrued interest (illustrative one month $7.7M, memo). 3/31/26 (estimate): $101.5M less $39.5M, litigation $1.2M, severance $0.3M and adviser costs $1.2M = $59.3M, which includes the undisclosed 3/31/26 retentions and no bonus. Needs confirming in Q&amp;A (Request List item 28).</t>
  </si>
  <si>
    <t xml:space="preserve">  Swap confirmation 1: notional / fixed rate</t>
  </si>
  <si>
    <t xml:space="preserve">  Swap confirmation 2: notional / fixed rate</t>
  </si>
  <si>
    <t xml:space="preserve">  Swap confirmation 3: notional / fixed rate</t>
  </si>
  <si>
    <t>Estoppel test, aggregated per the clean team protocol: tenant-certified rent vs rent roll vs March 2026 billing</t>
  </si>
  <si>
    <t>Scope</t>
  </si>
  <si>
    <t>12 colocation leases in six signed estoppels (aggregate)</t>
  </si>
  <si>
    <t>Leases tested</t>
  </si>
  <si>
    <t>Signed estoppels</t>
  </si>
  <si>
    <t>Certified monthly rent ($)</t>
  </si>
  <si>
    <t>Mar-26 ledger rent ($)</t>
  </si>
  <si>
    <t>Leases where rent roll = certified rent</t>
  </si>
  <si>
    <t>Rent roll less certified ($)</t>
  </si>
  <si>
    <t>Mar-26 ledger above certified ($)</t>
  </si>
  <si>
    <t>Mar-26 ledger above certified (%)</t>
  </si>
  <si>
    <t>Rent-roll rent equals the certified rent on all 12 leases. In aggregate, March 2026 ledger rent is above certified rent, consistent with the off-cycle January step (section F). Lease-level and tenant-level detail stays with the clean team.</t>
  </si>
  <si>
    <t>Six signed tenant estoppel certificates (clean team room, June 2026), aggregated across the 12 leases; lease-level citations withheld per the clean team protocol; 3.10 rent roll; 5.07 billing ledger (March 2026)</t>
  </si>
  <si>
    <t>New leases Nov-25 / Jan-26 still on a rent ramp: Q1 FY26 ledger rent below contracted ABR.</t>
  </si>
  <si>
    <t>Q1 FY26 ledger 8.3% above contracted ABR.</t>
  </si>
  <si>
    <t>Q1 FY26 ledger 8.7% above contracted ABR.</t>
  </si>
  <si>
    <t>Q1 FY26 ledger 9.7% above contracted ABR.</t>
  </si>
  <si>
    <t>Q1 FY26 ledger 9.0% above contracted ABR.</t>
  </si>
  <si>
    <t>Ledger = GAAP lease revenue (rows 8 and 111), so this compares GAAP rent with contract rent, not billing with contract. Contract rent = rent roll ABR at 3/31/26 (equals the estoppel rent on all 12 leases tested) pro rata; escalators earlier than 3/31/26 would lower FY25 contract rent, so the gap is if anything understated. Straight-line share estimated by the in-place leases' share of lease revenue (all carry fixed escalators). The remainder is EBITDA at risk pending the lease-by-lease billing reconciliation: not deducted in headline EBITDA; straight-line sits only in cash EBITDA.</t>
  </si>
  <si>
    <t>FY25 bonus paid at 108% of target ($9.4M); executive severance and change-of-control exposure is not quantified (to be reported in aggregate only)</t>
  </si>
  <si>
    <t>FY25 ledger $291.2M vs contract $279.3M (5.07 Billing Ledger vs 3.10 Rent Roll); 12 estoppel leases: March 2026 ledger rent 5.0% above certified rent in aggregate (Revenue Quality rows 58-65)</t>
  </si>
  <si>
    <t>5.07 Billing Ledger December vs January by lease vs 3.10 Rent Roll escalators of 2.5%-3.5% (Revenue Quality (F) rows 98-111)</t>
  </si>
  <si>
    <t/>
  </si>
  <si>
    <t>11.04 Sell-Side QoE p11; not in 5.01 or 5.05 (Revenue Quality row 93; Tenant Cohorts)</t>
  </si>
  <si>
    <t>5.02 Top 25 Tenant Schedule; 00 Clean Team 'Tenant Leases' (3 wholesale leases, 10 colocation MSAs); 5.03 Lease Abstracts Top 15 (Revenue Quality row 73)</t>
  </si>
  <si>
    <t>All data inputs come from files under 'Project Voltaic VDR/', except the deal-team workbook results in rows 33-35, entered as labeled inputs as given by the deal team. Cell-level citations are attached to every blue data room input. Clean team estoppels were used only for the rent test in Revenue Quality (C), which is shown in aggregate only (12 leases, six certificates) per the clean team protocol; no lease-level, tenant-level or employee-level contract terms from the clean team room appear in this workbook.</t>
  </si>
  <si>
    <t>Certified monthly rent of the 12 leases, used in aggregate only (lease-level detail withheld per the clean team protocol)</t>
  </si>
  <si>
    <t>Tenant cohort workbook (deal team): Voltaic Tenant Cohorts.xlsx</t>
  </si>
  <si>
    <t>Summary tab: retention and churn-mix headline tables, notes (figures as given by the deal team)</t>
  </si>
  <si>
    <t>Retention by cohort and portfolio (NRR, GRR, logo, MW); churn mix; seller's MW-weighted retention claim; data-basis notes</t>
  </si>
  <si>
    <t>Tenant Cohorts</t>
  </si>
  <si>
    <t>Tenant cohorts: retention by cohort and portfolio; churn mix and the seller's claim</t>
  </si>
  <si>
    <t>Retention as a ratio; MW = contracted critical IT load; rent in US$ millions. Figures are hard-coded from the Summary tab of the deal team's tenant cohort workbook (Voltaic Tenant Cohorts.xlsx), which builds them from VDR 5.01 tenant data, 5.05 churn detail, 5.08 invoice register, 3.10 rent roll and the sell-side QoE report; they are not recalculated here. Blue on yellow = deal-team workbook input; black = calculation. Hyperscale tenants are not named.</t>
  </si>
  <si>
    <t>RETENTION BY COHORT AND PORTFOLIO</t>
  </si>
  <si>
    <t>Metric</t>
  </si>
  <si>
    <t>Net revenue retention: portfolio</t>
  </si>
  <si>
    <t>NRR: pre-2023 cohort</t>
  </si>
  <si>
    <t>NRR: 2023 cohort</t>
  </si>
  <si>
    <t>NRR: 2024 cohort</t>
  </si>
  <si>
    <t>NRR: 2025 cohort</t>
  </si>
  <si>
    <t>Gross revenue retention: portfolio</t>
  </si>
  <si>
    <t>Logo retention: portfolio</t>
  </si>
  <si>
    <t>Logo retention: pre-2023 cohort</t>
  </si>
  <si>
    <t>Gross MW retention: portfolio</t>
  </si>
  <si>
    <t>Net MW retention: portfolio</t>
  </si>
  <si>
    <t>CHURN MIX AND THE SELLER'S CLAIM</t>
  </si>
  <si>
    <t>Full churn (MW)</t>
  </si>
  <si>
    <t>Downgrades (MW)</t>
  </si>
  <si>
    <t>Total MW lost</t>
  </si>
  <si>
    <t>MW lost, % of opening MW</t>
  </si>
  <si>
    <t>Annualized rent at exit ($M)</t>
  </si>
  <si>
    <t>Seller: MW-weighted retention (renewed / expiring MW)</t>
  </si>
  <si>
    <t>Ours: gross MW retention, whole portfolio</t>
  </si>
  <si>
    <t>Difference: ours less seller</t>
  </si>
  <si>
    <t>NOTES ON THE DATA BASIS</t>
  </si>
  <si>
    <t>Only three years of history (5.01 runs Jan-23 to Mar-26), so the pre-2023 cohort mixes many vintages (first leases 2017-2022) and FY23 retention on FY22 cannot be measured.</t>
  </si>
  <si>
    <t>Revenue basis: FY23-FY25 from 5.01; LTM Q1 FY26 from 5.08 invoices; prior LTM Q1 FY25 from 5.01 (5.08 starts Jan-25). 5.07 billing ledger is not used. No tenant started in 2026.</t>
  </si>
  <si>
    <t>Caution: 5.01 and 5.08 agree to the dollar and both equal FY25 GAAP lease revenue of $305.0M, which includes $8.4M of non-cash straight-line rent (sell-side QoE report). Revenue-based retention carries that caveat; MW-based retention does not.</t>
  </si>
  <si>
    <t>Source: Voltaic Tenant Cohorts.xlsx (deal team), Summary tab, headline tables and notes; values hard-coded here.</t>
  </si>
  <si>
    <t>FY24 on FY23</t>
  </si>
  <si>
    <t>n.a.</t>
  </si>
  <si>
    <t>FY25 on FY24</t>
  </si>
  <si>
    <t>LTM Q1 FY26 on LTM Q1 FY25</t>
  </si>
  <si>
    <t>5.01 / 5.08 billed base rent</t>
  </si>
  <si>
    <t>5.01 / 5.08 billed base rent, by cohort of first lease</t>
  </si>
  <si>
    <t>Tenants active at period end</t>
  </si>
  <si>
    <t>5.01 contracted kW</t>
  </si>
  <si>
    <t>5.05 re-tested on 5.01</t>
  </si>
  <si>
    <t>Full churn + downgrades</t>
  </si>
  <si>
    <t>5.01 opening contracted kW</t>
  </si>
  <si>
    <t>5.05 annualized rent at exit</t>
  </si>
  <si>
    <t>Sell-side QoE report p11</t>
  </si>
  <si>
    <t>Row 16 (retention table)</t>
  </si>
  <si>
    <t>Percentage points</t>
  </si>
  <si>
    <t>Tenant cohort workbook (deal team), Summary tab</t>
  </si>
  <si>
    <t>This tab, row 16</t>
  </si>
  <si>
    <t>FY25 full churn is 2.2 MW: Gablemoor 1.4 MW (CMH I) and Vexbridge 0.8 MW (NOVA I), both colocation exits. Tenant C's 2.0 MW at ATL I is a downgrade (next row), not an exit. Total MW lost of 4.2 agrees to the QoE, but the QoE text describes the FY25 colocation losses as 1.2 MW DFW I and 1.0 MW NOVA I, which does not match the data.</t>
  </si>
  <si>
    <t>FY25: Tenant C did not renew 2.0 MW at ATL I but remains a tenant at 24.6 MW (26.6 MW before, 5.01 contracted kW), so this is a downgrade by a continuing tenant, not full churn. FY23 and FY24 have no downgrades: 5.05 labels the FY24 ATL I loss a 'downsize', but billing shows a full exit (0.8 MW).</t>
  </si>
  <si>
    <t>Zero at tenant level. Tenant C's 2.0 MW ATL I downgrade is contraction from a continuing tenant, but Tenant C's base-rent run-rate still rose over FY25, so the ATL I loss (about $2.7M run-rate) is netted inside its expansion (next row) rather than shown here. Revenue figures unchanged: the tenant-level method is applied consistently.</t>
  </si>
  <si>
    <t>NRR is flattered by billing above contract (Section C); on contracted rent it would be lower. Rebuilt FY25 NRR and GRR measure Tenant C at tenant level: its 2.0 MW ATL I downgrade (row 81) is netted inside its expansion because Tenant C remains a tenant at 24.6 MW.</t>
  </si>
  <si>
    <t>FY25 churn (MW) rebuilt from tenant data vs QoE: 2.2 MW full churn + 2.0 MW downgrade</t>
  </si>
  <si>
    <t>MW confirmed at 4.2 total: 2.2 MW full churn (1.4 MW CMH I, 0.8 MW NOVA I) plus a 2.0 MW downgrade by Tenant C at ATL I, which remains a tenant; QoE text misdescribes the colocation losses (1.2 MW DFW I, 1.0 MW NOVA I)</t>
  </si>
  <si>
    <t>Corrected FY25 churn description with tenant, campus and MW per lost lease, split full churn vs downgrade, FY23-FY25, Excel by lease</t>
  </si>
  <si>
    <t>QoE describes FY25 losses as 1.2 MW DFW I and 1.0 MW NOVA I; the data show 2.2 MW of full churn (1.4 MW CMH I, 0.8 MW NOVA I) and a 2.0 MW downgrade at ATL I by Tenant C, which remains a tenant (4.2 MW total agrees)</t>
  </si>
  <si>
    <t>11.04 Sell-Side QoE p11 vs 5.05 Churn Detail and 5.01 Tenant data (Revenue Quality rows 80-81; Tenant Cohorts)</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</si>
</sst>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0.0;(#,##0.0);&quot;–&quot;"/>
    <numFmt numFmtId="165" formatCode="0.0%;(0.0%);&quot;–&quot;"/>
    <numFmt numFmtId="166" formatCode="#,##0;(#,##0);&quot;–&quot;"/>
    <numFmt numFmtId="167" formatCode="0.0&quot;x&quot;"/>
    <numFmt numFmtId="168" formatCode="0.0"/>
    <numFmt numFmtId="169" formatCode="0.000%"/>
    <numFmt numFmtId="170" formatCode="0.00%;(0.00%);&quot;–&quot;"/>
  </numFmts>
  <fonts count="20">
    <font>
      <sz val="10"/>
      <color rgb="FF000000"/>
      <name val="Arial"/>
      <family val="2"/>
    </font>
    <font>
      <b/>
      <sz val="10"/>
      <color rgb="FF000000"/>
      <name val="Arial"/>
      <family val="2"/>
    </font>
    <font>
      <b/>
      <sz val="12"/>
      <color rgb="FF000000"/>
      <name val="Arial"/>
      <family val="2"/>
    </font>
    <font>
      <b/>
      <sz val="12"/>
      <color rgb="FF002060"/>
      <name val="Arial"/>
      <family val="2"/>
    </font>
    <font>
      <i/>
      <sz val="10"/>
      <color rgb="FF000000"/>
      <name val="Arial"/>
      <family val="2"/>
    </font>
    <font>
      <i/>
      <sz val="10"/>
      <color rgb="FF646464"/>
      <name val="Arial"/>
      <family val="2"/>
    </font>
    <font>
      <b/>
      <sz val="10"/>
      <color rgb="FF002060"/>
      <name val="Arial"/>
      <family val="2"/>
    </font>
    <font>
      <sz val="10"/>
      <color rgb="FFFFFFFF"/>
      <name val="Arial"/>
      <family val="2"/>
    </font>
    <font>
      <b/>
      <sz val="10"/>
      <color rgb="FFFFFFFF"/>
      <name val="Arial"/>
      <family val="2"/>
    </font>
    <font>
      <b/>
      <i/>
      <sz val="10"/>
      <color rgb="FF000000"/>
      <name val="Arial"/>
      <family val="2"/>
    </font>
    <font>
      <b/>
      <i/>
      <sz val="10"/>
      <color rgb="FFFFFFFF"/>
      <name val="Arial"/>
      <family val="2"/>
    </font>
    <font>
      <b/>
      <i/>
      <sz val="10"/>
      <color rgb="FF646464"/>
      <name val="Arial"/>
      <family val="2"/>
    </font>
    <font>
      <sz val="10"/>
      <color rgb="FF0000FF"/>
      <name val="Arial"/>
      <family val="2"/>
    </font>
    <font>
      <sz val="10"/>
      <color rgb="FF008000"/>
      <name val="Arial"/>
      <family val="2"/>
    </font>
    <font>
      <b/>
      <sz val="10"/>
      <color rgb="FF0000FF"/>
      <name val="Arial"/>
      <family val="2"/>
    </font>
    <font>
      <b/>
      <sz val="10"/>
      <color rgb="FF646464"/>
      <name val="Arial"/>
      <family val="2"/>
    </font>
    <font>
      <i/>
      <sz val="10"/>
      <color rgb="FFFFFFFF"/>
      <name val="Arial"/>
      <family val="2"/>
    </font>
    <font>
      <i/>
      <sz val="10"/>
      <color rgb="FF008000"/>
      <name val="Arial"/>
      <family val="2"/>
    </font>
    <font>
      <sz val="10"/>
      <color rgb="FF646464"/>
      <name val="Arial"/>
      <family val="2"/>
    </font>
    <font>
      <b/>
      <sz val="10"/>
      <color rgb="FF008000"/>
      <name val="Arial"/>
      <family val="2"/>
    </font>
  </fonts>
  <fills count="4">
    <fill>
      <patternFill patternType="none"/>
    </fill>
    <fill>
      <patternFill patternType="gray125"/>
    </fill>
    <fill>
      <patternFill patternType="solid">
        <fgColor rgb="FF002060"/>
        <bgColor indexed="64"/>
      </patternFill>
    </fill>
    <fill>
      <patternFill patternType="solid">
        <fgColor rgb="FFFFFFE0"/>
        <bgColor indexed="64"/>
      </patternFill>
    </fill>
  </fills>
  <borders count="5">
    <border>
      <left/>
      <right/>
      <top/>
      <bottom/>
      <diagonal/>
    </border>
    <border>
      <left/>
      <right/>
      <top/>
      <bottom style="thin"/>
      <diagonal/>
    </border>
    <border>
      <left/>
      <right/>
      <top style="thin"/>
      <bottom/>
      <diagonal/>
    </border>
    <border>
      <left/>
      <right/>
      <top/>
      <bottom style="thin">
        <color rgb="FF000000"/>
      </bottom>
      <diagonal/>
    </border>
    <border>
      <left/>
      <right/>
      <top style="thin">
        <color rgb="FF000000"/>
      </top>
      <bottom/>
      <diagonal/>
    </border>
  </borders>
  <cellStyleXfs count="1">
    <xf borderId="0" fillId="0" fontId="0" numFmtId="0" applyAlignment="1" applyFont="1" applyFill="1"/>
  </cellStyleXfs>
  <cellXfs count="104">
    <xf xfId="0" borderId="0" fillId="0" fontId="0" numFmtId="0"/>
    <xf xfId="0" borderId="0" fillId="0" fontId="1" numFmtId="0" applyFont="1"/>
    <xf xfId="0" borderId="0" fillId="0" fontId="3" numFmtId="0" applyFont="1"/>
    <xf xfId="0" borderId="0" fillId="0" fontId="0" numFmtId="0" applyAlignment="1">
      <alignment wrapText="1" vertical="top"/>
    </xf>
    <xf xfId="0" borderId="0" fillId="0" fontId="1" numFmtId="0" applyAlignment="1" applyFont="1">
      <alignment wrapText="1" vertical="top"/>
    </xf>
    <xf xfId="0" borderId="0" fillId="0" fontId="4" numFmtId="0" applyAlignment="1" applyFont="1">
      <alignment wrapText="1" vertical="top"/>
    </xf>
    <xf xfId="0" borderId="0" fillId="0" fontId="5" numFmtId="0" applyAlignment="1" applyFont="1">
      <alignment wrapText="1" vertical="top"/>
    </xf>
    <xf xfId="0" borderId="0" fillId="0" fontId="0" numFmtId="164"/>
    <xf xfId="0" borderId="0" fillId="0" fontId="0" numFmtId="165"/>
    <xf xfId="0" borderId="0" fillId="2" fontId="8" numFmtId="0" applyFont="1" applyFill="1"/>
    <xf xfId="0" borderId="0" fillId="2" fontId="8" numFmtId="164" applyFont="1" applyFill="1"/>
    <xf xfId="0" borderId="1" fillId="0" fontId="1" numFmtId="0" applyAlignment="1" applyFont="1">
      <alignment wrapText="1" vertical="bottom"/>
    </xf>
    <xf xfId="0" borderId="1" fillId="0" fontId="1" numFmtId="0" applyAlignment="1" applyFont="1">
      <alignment wrapText="1" horizontal="center" vertical="bottom"/>
    </xf>
    <xf xfId="0" borderId="2" fillId="0" fontId="1" numFmtId="0" applyFont="1"/>
    <xf xfId="0" borderId="2" fillId="0" fontId="1" numFmtId="164" applyFont="1"/>
    <xf xfId="0" borderId="0" fillId="0" fontId="5" numFmtId="0" applyFont="1"/>
    <xf xfId="0" borderId="2" fillId="0" fontId="11" numFmtId="0" applyAlignment="1" applyFont="1">
      <alignment wrapText="1" vertical="top"/>
    </xf>
    <xf xfId="0" borderId="0" fillId="2" fontId="11" numFmtId="0" applyAlignment="1" applyFont="1" applyFill="1">
      <alignment wrapText="1" vertical="top"/>
    </xf>
    <xf xfId="0" borderId="0" fillId="0" fontId="13" numFmtId="164" applyAlignment="1" applyFont="1">
      <alignment horizontal="right"/>
    </xf>
    <xf xfId="0" borderId="0" fillId="0" fontId="0" numFmtId="164" applyAlignment="1">
      <alignment horizontal="right"/>
    </xf>
    <xf xfId="0" borderId="0" fillId="0" fontId="12" numFmtId="164" applyAlignment="1" applyFont="1">
      <alignment horizontal="right"/>
    </xf>
    <xf xfId="0" borderId="2" fillId="0" fontId="1" numFmtId="164" applyAlignment="1" applyFont="1">
      <alignment horizontal="right"/>
    </xf>
    <xf xfId="0" borderId="0" fillId="0" fontId="13" numFmtId="165" applyAlignment="1" applyFont="1">
      <alignment horizontal="right"/>
    </xf>
    <xf xfId="0" borderId="0" fillId="0" fontId="0" numFmtId="165" applyAlignment="1">
      <alignment horizontal="right"/>
    </xf>
    <xf xfId="0" borderId="1" fillId="0" fontId="11" numFmtId="0" applyAlignment="1" applyFont="1">
      <alignment wrapText="1" horizontal="center" vertical="top"/>
    </xf>
    <xf xfId="0" borderId="2" fillId="0" fontId="14" numFmtId="164" applyAlignment="1" applyFont="1">
      <alignment horizontal="right"/>
    </xf>
    <xf xfId="0" borderId="0" fillId="0" fontId="5" numFmtId="164" applyAlignment="1" applyFont="1">
      <alignment wrapText="1" vertical="top"/>
    </xf>
    <xf xfId="0" borderId="0" fillId="0" fontId="0" numFmtId="166"/>
    <xf xfId="0" borderId="0" fillId="0" fontId="0" numFmtId="3"/>
    <xf xfId="0" borderId="2" fillId="0" fontId="1" numFmtId="165" applyAlignment="1" applyFont="1">
      <alignment horizontal="right"/>
    </xf>
    <xf xfId="0" borderId="0" fillId="0" fontId="12" numFmtId="3" applyAlignment="1" applyFont="1">
      <alignment horizontal="right"/>
    </xf>
    <xf xfId="0" borderId="0" fillId="0" fontId="12" numFmtId="166" applyAlignment="1" applyFont="1">
      <alignment horizontal="right"/>
    </xf>
    <xf xfId="0" borderId="0" fillId="0" fontId="12" numFmtId="165" applyAlignment="1" applyFont="1">
      <alignment horizontal="right"/>
    </xf>
    <xf xfId="0" borderId="0" fillId="0" fontId="0" numFmtId="3" applyAlignment="1">
      <alignment horizontal="right"/>
    </xf>
    <xf xfId="0" borderId="0" fillId="0" fontId="0" numFmtId="0" quotePrefix="1" applyAlignment="1">
      <alignment wrapText="1" vertical="top"/>
    </xf>
    <xf xfId="0" borderId="2" fillId="0" fontId="1" numFmtId="0" applyAlignment="1" applyFont="1">
      <alignment wrapText="1" vertical="top"/>
    </xf>
    <xf xfId="0" borderId="0" fillId="2" fontId="8" numFmtId="0" applyAlignment="1" applyFont="1" applyFill="1">
      <alignment wrapText="1" vertical="top"/>
    </xf>
    <xf xfId="0" borderId="0" fillId="3" fontId="12" numFmtId="3" applyAlignment="1" applyFont="1" applyFill="1">
      <alignment horizontal="right"/>
    </xf>
    <xf xfId="0" borderId="0" fillId="3" fontId="14" numFmtId="167" applyAlignment="1" applyFont="1" applyFill="1">
      <alignment horizontal="right"/>
    </xf>
    <xf xfId="0" borderId="1" fillId="3" fontId="14" numFmtId="1" applyAlignment="1" applyFont="1" applyFill="1">
      <alignment wrapText="1" horizontal="right" vertical="bottom"/>
    </xf>
    <xf xfId="0" borderId="0" fillId="3" fontId="12" numFmtId="168" applyAlignment="1" applyFont="1" applyFill="1">
      <alignment horizontal="right"/>
    </xf>
    <xf xfId="0" borderId="0" fillId="0" fontId="0" numFmtId="164" applyAlignment="1">
      <alignment wrapText="1" horizontal="right" vertical="top"/>
    </xf>
    <xf xfId="0" borderId="1" fillId="0" fontId="1" numFmtId="0" applyAlignment="1" applyFont="1">
      <alignment wrapText="1" horizontal="center" vertical="top"/>
    </xf>
    <xf xfId="0" borderId="2" fillId="0" fontId="5" numFmtId="0" applyAlignment="1" applyFont="1">
      <alignment wrapText="1" vertical="top"/>
    </xf>
    <xf xfId="0" borderId="0" fillId="0" fontId="0" numFmtId="169" applyAlignment="1">
      <alignment horizontal="right"/>
    </xf>
    <xf xfId="0" borderId="0" fillId="0" fontId="12" numFmtId="10" applyAlignment="1" applyFont="1">
      <alignment horizontal="right"/>
    </xf>
    <xf xfId="0" borderId="0" fillId="0" fontId="12" numFmtId="169" applyAlignment="1" applyFont="1">
      <alignment horizontal="right"/>
    </xf>
    <xf xfId="0" borderId="0" fillId="0" fontId="1" numFmtId="164" applyAlignment="1" applyFont="1">
      <alignment horizontal="right"/>
    </xf>
    <xf xfId="0" borderId="0" fillId="0" fontId="0" numFmtId="0" applyAlignment="1">
      <alignment vertical="top"/>
    </xf>
    <xf xfId="0" borderId="0" fillId="0" fontId="12" numFmtId="170" applyAlignment="1" applyFont="1">
      <alignment horizontal="right"/>
    </xf>
    <xf xfId="0" borderId="0" fillId="0" fontId="4" numFmtId="3" applyAlignment="1" applyFont="1">
      <alignment horizontal="right"/>
    </xf>
    <xf xfId="0" borderId="0" fillId="0" fontId="4" numFmtId="164" applyAlignment="1" applyFont="1">
      <alignment horizontal="right"/>
    </xf>
    <xf xfId="0" borderId="3" fillId="0" fontId="1" numFmtId="0" applyAlignment="1" applyFont="1">
      <alignment wrapText="1" vertical="top"/>
    </xf>
    <xf xfId="0" borderId="3" fillId="0" fontId="1" numFmtId="0" applyAlignment="1" applyFont="1">
      <alignment wrapText="1" horizontal="center"/>
    </xf>
    <xf xfId="0" borderId="3" fillId="0" fontId="1" numFmtId="164" applyAlignment="1" applyFont="1">
      <alignment wrapText="1" horizontal="center"/>
    </xf>
    <xf xfId="0" borderId="3" fillId="0" fontId="1" numFmtId="164" applyAlignment="1" applyFont="1">
      <alignment wrapText="1" horizontal="center" vertical="top"/>
    </xf>
    <xf xfId="0" borderId="3" fillId="0" fontId="1" numFmtId="0" applyAlignment="1" applyFont="1">
      <alignment wrapText="1" horizontal="center" vertical="top"/>
    </xf>
    <xf xfId="0" borderId="0" fillId="2" fontId="8" numFmtId="164" applyAlignment="1" applyFont="1" applyFill="1">
      <alignment horizontal="right"/>
    </xf>
    <xf xfId="0" borderId="0" fillId="2" fontId="8" numFmtId="164" applyAlignment="1" applyFont="1" applyFill="1">
      <alignment wrapText="1" vertical="top"/>
    </xf>
    <xf xfId="0" borderId="4" fillId="0" fontId="1" numFmtId="0" applyAlignment="1" applyFont="1">
      <alignment wrapText="1" vertical="top"/>
    </xf>
    <xf xfId="0" borderId="4" fillId="0" fontId="1" numFmtId="164" applyAlignment="1" applyFont="1">
      <alignment horizontal="right"/>
    </xf>
    <xf xfId="0" borderId="0" fillId="3" fontId="12" numFmtId="164" applyAlignment="1" applyFont="1" applyFill="1">
      <alignment horizontal="right"/>
    </xf>
    <xf xfId="0" borderId="4" fillId="3" fontId="14" numFmtId="164" applyAlignment="1" applyFont="1" applyFill="1">
      <alignment horizontal="right"/>
    </xf>
    <xf xfId="0" borderId="0" fillId="0" fontId="17" numFmtId="164" applyAlignment="1" applyFont="1">
      <alignment horizontal="right"/>
    </xf>
    <xf xfId="0" borderId="0" fillId="0" fontId="19" numFmtId="164" applyAlignment="1" applyFont="1">
      <alignment horizontal="right"/>
    </xf>
    <xf xfId="0" borderId="0" fillId="0" fontId="1" numFmtId="164" applyAlignment="1" applyFont="1">
      <alignment wrapText="1" horizontal="right" vertical="top"/>
    </xf>
    <xf xfId="0" borderId="0" fillId="0" fontId="0" numFmtId="0" applyAlignment="1">
      <alignment horizontal="left" vertical="top"/>
    </xf>
    <xf xfId="0" borderId="0" fillId="0" fontId="0" numFmtId="0" quotePrefix="1" applyAlignment="1">
      <alignment horizontal="left" vertical="top"/>
    </xf>
    <xf xfId="0" borderId="0" fillId="0" fontId="1" numFmtId="0" applyAlignment="1" applyFont="1">
      <alignment vertical="top"/>
    </xf>
    <xf xfId="0" borderId="0" fillId="2" fontId="8" numFmtId="0" applyAlignment="1" applyFont="1" applyFill="1">
      <alignment vertical="top"/>
    </xf>
    <xf xfId="0" borderId="0" fillId="2" fontId="8" numFmtId="0" applyAlignment="1" applyFont="1" applyFill="1"/>
    <xf xfId="0" borderId="0" fillId="2" fontId="8" numFmtId="0" applyAlignment="1" applyFont="1" applyFill="1">
      <alignment horizontal="left" vertical="top"/>
    </xf>
    <xf xfId="0" borderId="3" fillId="0" fontId="1" numFmtId="0" applyAlignment="1" applyFont="1">
      <alignment wrapText="1" horizontal="left" vertical="bottom"/>
    </xf>
    <xf xfId="0" borderId="3" fillId="0" fontId="1" numFmtId="0" applyAlignment="1" applyFont="1">
      <alignment wrapText="1" horizontal="center" vertical="bottom"/>
    </xf>
    <xf xfId="0" borderId="3" fillId="0" fontId="1" numFmtId="164" applyAlignment="1" applyFont="1">
      <alignment wrapText="1" horizontal="center" vertical="bottom"/>
    </xf>
    <xf xfId="0" borderId="4" fillId="0" fontId="1" numFmtId="0" applyAlignment="1" applyFont="1">
      <alignment horizontal="left" vertical="top"/>
    </xf>
    <xf xfId="0" borderId="4" fillId="0" fontId="11" numFmtId="0" applyAlignment="1" applyFont="1">
      <alignment wrapText="1" vertical="top"/>
    </xf>
    <xf xfId="0" borderId="4" fillId="0" fontId="5" numFmtId="0" applyAlignment="1" applyFont="1">
      <alignment wrapText="1" vertical="top"/>
    </xf>
    <xf xfId="0" borderId="0" fillId="0" fontId="4" numFmtId="0" applyAlignment="1" applyFont="1">
      <alignment horizontal="left" vertical="top"/>
    </xf>
    <xf xfId="0" borderId="0" fillId="0" fontId="13" numFmtId="164" applyAlignment="1" applyFont="1">
      <alignment horizontal="right" vertical="top"/>
    </xf>
    <xf xfId="0" borderId="0" fillId="0" fontId="0" numFmtId="164" applyAlignment="1">
      <alignment horizontal="right" vertical="top"/>
    </xf>
    <xf xfId="0" borderId="0" fillId="0" fontId="0" numFmtId="165" applyAlignment="1">
      <alignment horizontal="right" vertical="top"/>
    </xf>
    <xf xfId="0" borderId="4" fillId="0" fontId="1" numFmtId="164" applyAlignment="1" applyFont="1">
      <alignment horizontal="right" vertical="top"/>
    </xf>
    <xf xfId="0" borderId="0" fillId="2" fontId="8" numFmtId="164" applyAlignment="1" applyFont="1" applyFill="1">
      <alignment horizontal="right" vertical="top"/>
    </xf>
    <xf xfId="0" borderId="0" fillId="0" fontId="12" numFmtId="164" applyAlignment="1" applyFont="1">
      <alignment horizontal="right" vertical="top"/>
    </xf>
    <xf xfId="0" borderId="0" fillId="0" fontId="4" numFmtId="164" applyAlignment="1" applyFont="1">
      <alignment horizontal="right" vertical="top"/>
    </xf>
    <xf xfId="0" borderId="0" fillId="3" fontId="12" numFmtId="0" applyFont="1" applyFill="1"/>
    <xf xfId="0" borderId="0" fillId="0" fontId="0" numFmtId="0" applyAlignment="1">
      <alignment wrapText="1" horizontal="center" vertical="top"/>
    </xf>
    <xf xfId="0" borderId="3" fillId="0" fontId="0" numFmtId="0" applyAlignment="1">
      <alignment wrapText="1" horizontal="center" vertical="top"/>
    </xf>
    <xf xfId="0" borderId="3" fillId="0" fontId="0" numFmtId="0" applyAlignment="1">
      <alignment wrapText="1" vertical="top"/>
    </xf>
    <xf xfId="0" borderId="0" fillId="0" fontId="12" numFmtId="166" applyAlignment="1" applyFont="1">
      <alignment horizontal="right" vertical="top"/>
    </xf>
    <xf xfId="0" borderId="0" fillId="0" fontId="0" numFmtId="166" applyAlignment="1">
      <alignment horizontal="right" vertical="top"/>
    </xf>
    <xf xfId="0" borderId="0" fillId="0" fontId="0" numFmtId="165" applyAlignment="1">
      <alignment horizontal="right" vertical="top"/>
    </xf>
    <xf xfId="0" borderId="3" fillId="0" fontId="1" numFmtId="0" applyAlignment="1" applyFont="1">
      <alignment wrapText="1" vertical="bottom"/>
    </xf>
    <xf xfId="0" borderId="3" fillId="0" fontId="1" numFmtId="0" applyAlignment="1" applyFont="1">
      <alignment wrapText="1" horizontal="center" vertical="bottom"/>
    </xf>
    <xf xfId="0" borderId="3" fillId="0" fontId="1" numFmtId="0" applyAlignment="1" applyFont="1">
      <alignment wrapText="1" horizontal="left" vertical="bottom"/>
    </xf>
    <xf xfId="0" borderId="0" fillId="3" fontId="12" numFmtId="165" applyAlignment="1" applyFont="1" applyFill="1">
      <alignment horizontal="right" vertical="top"/>
    </xf>
    <xf xfId="0" borderId="3" fillId="0" fontId="1" numFmtId="0" applyAlignment="1" applyFont="1">
      <alignment wrapText="1" vertical="top"/>
    </xf>
    <xf xfId="0" borderId="3" fillId="0" fontId="1" numFmtId="0" applyAlignment="1" applyFont="1">
      <alignment wrapText="1" horizontal="center" vertical="top"/>
    </xf>
    <xf xfId="0" borderId="0" fillId="3" fontId="12" numFmtId="164" applyAlignment="1" applyFont="1" applyFill="1">
      <alignment horizontal="right" vertical="top"/>
    </xf>
    <xf xfId="0" borderId="4" fillId="0" fontId="1" numFmtId="0" applyAlignment="1" applyFont="1">
      <alignment vertical="top"/>
    </xf>
    <xf xfId="0" borderId="4" fillId="0" fontId="1" numFmtId="164" applyAlignment="1" applyFont="1">
      <alignment horizontal="right" vertical="top"/>
    </xf>
    <xf xfId="0" borderId="4" fillId="0" fontId="1" numFmtId="165" applyAlignment="1" applyFont="1">
      <alignment vertical="top"/>
    </xf>
    <xf xfId="0" borderId="4" fillId="0" fontId="1" numFmtId="165" applyAlignment="1" applyFont="1">
      <alignment horizontal="right" vertical="top"/>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styles" Target="styles.xml"/><Relationship Id="rId11" Type="http://schemas.openxmlformats.org/officeDocument/2006/relationships/sharedStrings" Target="sharedStrings.xml"/><Relationship Id="rId1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commentsDrawing1.vml"/></Relationships>
</file>

<file path=xl/worksheets/_rels/sheet2.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commentsDrawing2.vml"/></Relationships>
</file>

<file path=xl/worksheets/_rels/sheet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commentsDrawing3.vml"/></Relationships>
</file>

<file path=xl/worksheets/_rels/sheet4.xml.rels><?xml version="1.0" encoding="UTF-8" standalone="yes"?>
<Relationships xmlns="http://schemas.openxmlformats.org/package/2006/relationships"><Relationship Id="rId1" Type="http://schemas.openxmlformats.org/officeDocument/2006/relationships/comments" Target="../comments4.xml"/><Relationship Id="rId2" Type="http://schemas.openxmlformats.org/officeDocument/2006/relationships/vmlDrawing" Target="../drawings/commentsDrawing4.vml"/></Relationships>
</file>

<file path=xl/worksheets/_rels/sheet5.xml.rels><?xml version="1.0" encoding="UTF-8" standalone="yes"?>
<Relationships xmlns="http://schemas.openxmlformats.org/package/2006/relationships"><Relationship Id="rId1" Type="http://schemas.openxmlformats.org/officeDocument/2006/relationships/comments" Target="../comments5.xml"/><Relationship Id="rId2" Type="http://schemas.openxmlformats.org/officeDocument/2006/relationships/vmlDrawing" Target="../drawings/commentsDrawing5.vml"/></Relationships>
</file>

<file path=xl/worksheets/_rels/sheet6.xml.rels><?xml version="1.0" encoding="UTF-8" standalone="yes"?>
<Relationships xmlns="http://schemas.openxmlformats.org/package/2006/relationships"><Relationship Id="rId1" Type="http://schemas.openxmlformats.org/officeDocument/2006/relationships/comments" Target="../comments6.xml"/><Relationship Id="rId2" Type="http://schemas.openxmlformats.org/officeDocument/2006/relationships/vmlDrawing" Target="../drawings/commentsDrawing6.vml"/></Relationships>
</file>

<file path=xl/worksheets/_rels/sheet7.xml.rels><?xml version="1.0" encoding="UTF-8" standalone="yes"?>
<Relationships xmlns="http://schemas.openxmlformats.org/package/2006/relationships"><Relationship Id="rId1" Type="http://schemas.openxmlformats.org/officeDocument/2006/relationships/comments" Target="../comments7.xml"/><Relationship Id="rId2" Type="http://schemas.openxmlformats.org/officeDocument/2006/relationships/vmlDrawing" Target="../drawings/comments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K44"/>
  <sheetViews>
    <sheetView showGridLines="0" tabSelected="1" workbookViewId="0">
      <selection activeCell="A1" sqref="A1"/>
    </sheetView>
  </sheetViews>
  <cols>
    <col min="1" max="1" width="2.359375" customWidth="1"/>
    <col min="2" max="2" width="5.7890625" customWidth="1"/>
    <col min="3" max="3" width="73.21875" customWidth="1"/>
    <col min="4" max="8" width="14.07421875" customWidth="1"/>
    <col min="9" max="9" width="16.50390625" customWidth="1"/>
    <col min="10" max="10" width="40.07421875" customWidth="1"/>
    <col min="11" max="11" width="51.9296875" customWidth="1"/>
  </cols>
  <sheetData>
    <row r="2">
      <c r="B2" t="s" s="2">
        <v>549</v>
      </c>
    </row>
    <row r="3" ht="46" customHeight="1">
      <c r="B3" t="s" s="4">
        <v>972</v>
      </c>
      <c r="C3" s="3"/>
      <c r="D3" s="3"/>
      <c r="E3" s="3"/>
      <c r="F3" s="3"/>
      <c r="G3" s="3"/>
      <c r="H3" s="3"/>
      <c r="I3" s="3"/>
      <c r="J3" s="3"/>
      <c r="K3" s="3"/>
    </row>
    <row r="4" ht="28" customHeight="1">
      <c r="B4" t="s" s="6">
        <v>973</v>
      </c>
      <c r="C4" s="3"/>
      <c r="D4" s="3"/>
      <c r="E4" s="3"/>
      <c r="F4" s="3"/>
      <c r="G4" s="3"/>
      <c r="H4" s="3"/>
      <c r="I4" s="3"/>
      <c r="J4" s="3"/>
      <c r="K4" s="3"/>
    </row>
    <row r="6">
      <c r="B6" t="s" s="68">
        <v>974</v>
      </c>
      <c r="C6" s="3"/>
      <c r="E6" s="38">
        <v>19.2</v>
      </c>
      <c r="F6" t="s" s="15">
        <v>991</v>
      </c>
    </row>
    <row r="7">
      <c r="B7" s="48"/>
      <c r="C7" s="3"/>
    </row>
    <row r="8" ht="16" customHeight="1">
      <c r="B8" t="s" s="69">
        <v>568</v>
      </c>
      <c r="C8" s="69"/>
      <c r="D8" s="70"/>
      <c r="E8" s="70"/>
      <c r="F8" s="70"/>
      <c r="G8" s="70"/>
      <c r="H8" s="70"/>
      <c r="I8" s="70"/>
      <c r="J8" s="70"/>
      <c r="K8" s="70"/>
    </row>
    <row r="9">
      <c r="B9" t="s" s="72">
        <v>553</v>
      </c>
      <c r="C9" t="s" s="73">
        <v>592</v>
      </c>
      <c r="D9" t="s" s="74">
        <v>332</v>
      </c>
      <c r="E9" t="s" s="74">
        <v>334</v>
      </c>
      <c r="F9" t="s" s="74">
        <v>335</v>
      </c>
      <c r="G9" t="s" s="74">
        <v>346</v>
      </c>
      <c r="H9" s="74"/>
      <c r="I9" s="74"/>
      <c r="J9" t="s" s="73">
        <v>365</v>
      </c>
      <c r="K9" t="s" s="73">
        <v>620</v>
      </c>
    </row>
    <row r="10" ht="25.5" customHeight="1">
      <c r="B10" s="66"/>
      <c r="C10" t="s" s="3">
        <v>593</v>
      </c>
      <c r="D10" s="79">
        <f>'QoE Retest'!C7</f>
        <v>224</v>
      </c>
      <c r="E10" s="79">
        <f>'QoE Retest'!C18</f>
        <v>206.919348</v>
      </c>
      <c r="F10" s="80">
        <f>E10-D10</f>
        <v>-17.080651999999986</v>
      </c>
      <c r="G10" s="81">
        <f>F10/D10</f>
        <v>-0.07625291071428565</v>
      </c>
      <c r="H10" s="80"/>
      <c r="I10" s="80"/>
      <c r="J10" t="s" s="6">
        <v>993</v>
      </c>
      <c r="K10" t="s" s="6">
        <v>1005</v>
      </c>
    </row>
    <row r="11">
      <c r="B11" s="66"/>
      <c r="C11" t="s" s="3">
        <v>594</v>
      </c>
      <c r="D11" s="79">
        <f>'QoE Retest'!D7</f>
        <v>235.6</v>
      </c>
      <c r="E11" s="79">
        <f>'QoE Retest'!D18</f>
        <v>217.8761660969121</v>
      </c>
      <c r="F11" s="80">
        <f>E11-D11</f>
        <v>-17.723833903087893</v>
      </c>
      <c r="G11" s="81">
        <f>F11/D11</f>
        <v>-0.07522849704196899</v>
      </c>
      <c r="H11" s="80"/>
      <c r="I11" s="80"/>
      <c r="J11" t="s" s="6">
        <v>994</v>
      </c>
      <c r="K11" t="s" s="6">
        <v>1005</v>
      </c>
    </row>
    <row r="12" ht="25.5" customHeight="1">
      <c r="B12" s="66"/>
      <c r="C12" t="s" s="3">
        <v>977</v>
      </c>
      <c r="D12" t="s" s="80">
        <v>990</v>
      </c>
      <c r="E12" s="79">
        <f>'QoE Retest'!C20</f>
        <v>198.519348</v>
      </c>
      <c r="F12" s="80"/>
      <c r="G12" s="81"/>
      <c r="H12" s="80"/>
      <c r="I12" s="80"/>
      <c r="J12" t="s" s="6">
        <v>995</v>
      </c>
      <c r="K12" t="s" s="6">
        <v>1006</v>
      </c>
    </row>
    <row r="13">
      <c r="B13" s="66"/>
      <c r="C13" t="s" s="3">
        <v>978</v>
      </c>
      <c r="D13" t="s" s="80">
        <v>990</v>
      </c>
      <c r="E13" s="79">
        <f>'QoE Retest'!D20</f>
        <v>209.3761660969121</v>
      </c>
      <c r="F13" s="80"/>
      <c r="G13" s="81"/>
      <c r="H13" s="80"/>
      <c r="I13" s="80"/>
      <c r="J13" s="6"/>
      <c r="K13" t="s" s="6">
        <v>1006</v>
      </c>
    </row>
    <row r="14" ht="25.5" customHeight="1">
      <c r="B14" s="66"/>
      <c r="C14" t="s" s="3">
        <v>596</v>
      </c>
      <c r="D14" s="79">
        <f>'Net Debt'!C30</f>
        <v>1506.9</v>
      </c>
      <c r="E14" s="79">
        <f>'Net Debt'!D30</f>
        <v>1584</v>
      </c>
      <c r="F14" s="80">
        <f>E14-D14</f>
        <v>77.09999999999991</v>
      </c>
      <c r="G14" s="81">
        <f>F14/D14</f>
        <v>0.05116464264383828</v>
      </c>
      <c r="H14" s="80"/>
      <c r="I14" s="80"/>
      <c r="J14" t="s" s="6">
        <v>996</v>
      </c>
      <c r="K14" t="s" s="6">
        <v>1084</v>
      </c>
    </row>
    <row r="15">
      <c r="B15" s="66"/>
      <c r="C15" t="s" s="3">
        <v>597</v>
      </c>
      <c r="D15" s="79">
        <f>'Net Debt'!F30</f>
        <v>1565.7</v>
      </c>
      <c r="E15" s="79">
        <f>'Net Debt'!G30</f>
        <v>1647.9999999999998</v>
      </c>
      <c r="F15" s="80">
        <f>E15-D15</f>
        <v>82.29999999999973</v>
      </c>
      <c r="G15" s="81">
        <f>F15/D15</f>
        <v>0.0525643482148558</v>
      </c>
      <c r="H15" s="80"/>
      <c r="I15" s="80"/>
      <c r="J15" s="6"/>
      <c r="K15" t="s" s="6">
        <v>1084</v>
      </c>
    </row>
    <row r="16" ht="38.25" customHeight="1">
      <c r="B16" s="75"/>
      <c r="C16" t="s" s="59">
        <v>979</v>
      </c>
      <c r="D16" s="82"/>
      <c r="E16" s="82"/>
      <c r="F16" s="82">
        <f>F10*$E$6-F14</f>
        <v>-405.04851839999964</v>
      </c>
      <c r="G16" s="82"/>
      <c r="H16" s="82"/>
      <c r="I16" s="82"/>
      <c r="J16" t="s" s="77">
        <v>997</v>
      </c>
      <c r="K16" s="77"/>
    </row>
    <row r="17">
      <c r="B17" s="66"/>
      <c r="C17" s="3"/>
      <c r="D17" s="80"/>
      <c r="E17" s="80"/>
      <c r="F17" s="80"/>
      <c r="G17" s="80"/>
      <c r="H17" s="80"/>
      <c r="I17" s="80"/>
      <c r="J17" s="6"/>
      <c r="K17" s="6"/>
    </row>
    <row r="18" ht="16" customHeight="1">
      <c r="B18" t="s" s="71">
        <v>975</v>
      </c>
      <c r="C18" s="69"/>
      <c r="D18" s="83"/>
      <c r="E18" s="83"/>
      <c r="F18" s="83"/>
      <c r="G18" s="83"/>
      <c r="H18" s="83"/>
      <c r="I18" s="83"/>
      <c r="J18" s="69"/>
      <c r="K18" s="69"/>
    </row>
    <row r="19" ht="25.5" customHeight="1">
      <c r="B19" t="s" s="72">
        <v>553</v>
      </c>
      <c r="C19" t="s" s="73">
        <v>569</v>
      </c>
      <c r="D19" t="s" s="55">
        <v>599</v>
      </c>
      <c r="E19" t="s" s="55">
        <v>600</v>
      </c>
      <c r="F19" t="s" s="55">
        <v>335</v>
      </c>
      <c r="G19" t="s" s="55">
        <v>602</v>
      </c>
      <c r="H19" t="s" s="55">
        <v>603</v>
      </c>
      <c r="I19" t="s" s="55">
        <v>992</v>
      </c>
      <c r="J19" t="s" s="73">
        <v>606</v>
      </c>
      <c r="K19" t="s" s="73">
        <v>620</v>
      </c>
    </row>
    <row r="20">
      <c r="B20" t="s" s="67">
        <v>554</v>
      </c>
      <c r="C20" t="s" s="3">
        <v>980</v>
      </c>
      <c r="D20" s="79">
        <f>'Revenue Quality'!E21</f>
        <v>-84.2</v>
      </c>
      <c r="E20" s="79">
        <f>'Revenue Quality'!E24</f>
        <v>-92.380652</v>
      </c>
      <c r="F20" s="80">
        <f>E20-D20</f>
        <v>-8.180651999999995</v>
      </c>
      <c r="G20" s="79">
        <f>'QoE Retest'!C17</f>
        <v>-8.180651999999995</v>
      </c>
      <c r="H20" s="84">
        <v>0</v>
      </c>
      <c r="I20" s="80">
        <f>G20*$E$6-H20</f>
        <v>-157.0685183999999</v>
      </c>
      <c r="J20" t="s" s="6">
        <v>998</v>
      </c>
      <c r="K20" t="s" s="6">
        <v>1008</v>
      </c>
    </row>
    <row r="21" ht="25.5" customHeight="1">
      <c r="B21" t="s" s="67">
        <v>555</v>
      </c>
      <c r="C21" t="s" s="3">
        <v>572</v>
      </c>
      <c r="D21" s="79">
        <f>-'QoE Retest'!C9</f>
        <v>3.2</v>
      </c>
      <c r="E21" s="84">
        <v>0</v>
      </c>
      <c r="F21" s="80">
        <f>E21-D21</f>
        <v>-3.2</v>
      </c>
      <c r="G21" s="79">
        <f>'QoE Retest'!C9</f>
        <v>-3.2</v>
      </c>
      <c r="H21" s="84">
        <v>0</v>
      </c>
      <c r="I21" s="80">
        <f>G21*$E$6-H21</f>
        <v>-61.44</v>
      </c>
      <c r="J21" t="s" s="6">
        <v>999</v>
      </c>
      <c r="K21" t="s" s="6">
        <v>1009</v>
      </c>
    </row>
    <row r="22" ht="25.5" customHeight="1">
      <c r="B22" t="s" s="67">
        <v>556</v>
      </c>
      <c r="C22" t="s" s="3">
        <v>981</v>
      </c>
      <c r="D22" s="79">
        <f>-'QoE Retest'!C11</f>
        <v>2.9</v>
      </c>
      <c r="E22" s="84">
        <v>0</v>
      </c>
      <c r="F22" s="80">
        <f>E22-D22</f>
        <v>-2.9</v>
      </c>
      <c r="G22" s="79">
        <f>'QoE Retest'!C11</f>
        <v>-2.9</v>
      </c>
      <c r="H22" s="84">
        <v>0</v>
      </c>
      <c r="I22" s="80">
        <f>G22*$E$6-H22</f>
        <v>-55.68</v>
      </c>
      <c r="J22" t="s" s="6">
        <v>999</v>
      </c>
      <c r="K22" t="s" s="6">
        <v>1010</v>
      </c>
    </row>
    <row r="23" ht="25.5" customHeight="1">
      <c r="B23" t="s" s="67">
        <v>557</v>
      </c>
      <c r="C23" t="s" s="3">
        <v>982</v>
      </c>
      <c r="D23" s="79">
        <f>-'QoE Retest'!C10</f>
        <v>2.2</v>
      </c>
      <c r="E23" s="84">
        <v>0</v>
      </c>
      <c r="F23" s="80">
        <f>E23-D23</f>
        <v>-2.2</v>
      </c>
      <c r="G23" s="79">
        <f>'QoE Retest'!C10</f>
        <v>-2.2</v>
      </c>
      <c r="H23" s="84">
        <v>0</v>
      </c>
      <c r="I23" s="80">
        <f>G23*$E$6-H23</f>
        <v>-42.24</v>
      </c>
      <c r="J23" t="s" s="6">
        <v>999</v>
      </c>
      <c r="K23" t="s" s="6">
        <v>1011</v>
      </c>
    </row>
    <row r="24">
      <c r="B24" t="s" s="67">
        <v>558</v>
      </c>
      <c r="C24" t="s" s="3">
        <v>1078</v>
      </c>
      <c r="D24" s="79">
        <f>'Net Debt'!C20</f>
        <v>0</v>
      </c>
      <c r="E24" s="79">
        <f>'Net Debt'!D20</f>
        <v>34.099999999999994</v>
      </c>
      <c r="F24" s="80">
        <f>E24-D24</f>
        <v>34.099999999999994</v>
      </c>
      <c r="G24" s="84">
        <v>0</v>
      </c>
      <c r="H24" s="79">
        <f>'Net Debt'!E20</f>
        <v>34.099999999999994</v>
      </c>
      <c r="I24" s="80">
        <f>G24*$E$6-H24</f>
        <v>-34.099999999999994</v>
      </c>
      <c r="J24" t="s" s="6">
        <v>1081</v>
      </c>
      <c r="K24" t="s" s="6">
        <v>1085</v>
      </c>
    </row>
    <row r="25" ht="25.5" customHeight="1">
      <c r="B25" t="s" s="67">
        <v>559</v>
      </c>
      <c r="C25" t="s" s="3">
        <v>983</v>
      </c>
      <c r="D25" s="79">
        <f>-'QoE Retest'!C12</f>
        <v>0.6</v>
      </c>
      <c r="E25" s="84">
        <v>0</v>
      </c>
      <c r="F25" s="80">
        <f>E25-D25</f>
        <v>-0.6</v>
      </c>
      <c r="G25" s="79">
        <f>'QoE Retest'!C12</f>
        <v>-0.6</v>
      </c>
      <c r="H25" s="84">
        <v>0</v>
      </c>
      <c r="I25" s="80">
        <f>G25*$E$6-H25</f>
        <v>-11.52</v>
      </c>
      <c r="J25" t="s" s="6">
        <v>999</v>
      </c>
      <c r="K25" t="s" s="6">
        <v>1012</v>
      </c>
    </row>
    <row r="26">
      <c r="B26" t="s" s="67">
        <v>560</v>
      </c>
      <c r="C26" t="s" s="3">
        <v>576</v>
      </c>
      <c r="D26" s="79">
        <f>'Net Debt'!C24</f>
        <v>0</v>
      </c>
      <c r="E26" s="79">
        <f>'Net Debt'!D24</f>
        <v>9.4</v>
      </c>
      <c r="F26" s="80">
        <f>E26-D26</f>
        <v>9.4</v>
      </c>
      <c r="G26" s="84">
        <v>0</v>
      </c>
      <c r="H26" s="79">
        <f>'Net Debt'!E24</f>
        <v>9.4</v>
      </c>
      <c r="I26" s="80">
        <f>G26*$E$6-H26</f>
        <v>-9.4</v>
      </c>
      <c r="J26" t="s" s="6">
        <v>609</v>
      </c>
      <c r="K26" t="s" s="6">
        <v>1086</v>
      </c>
    </row>
    <row r="27">
      <c r="B27" t="s" s="67">
        <v>561</v>
      </c>
      <c r="C27" t="s" s="3">
        <v>1079</v>
      </c>
      <c r="D27" s="79">
        <f>'Net Debt'!C18</f>
        <v>0</v>
      </c>
      <c r="E27" s="79">
        <f>'Net Debt'!D18</f>
        <v>9.4</v>
      </c>
      <c r="F27" s="80">
        <f>E27-D27</f>
        <v>9.4</v>
      </c>
      <c r="G27" s="84">
        <v>0</v>
      </c>
      <c r="H27" s="79">
        <f>'Net Debt'!E18</f>
        <v>9.4</v>
      </c>
      <c r="I27" s="80">
        <f>G27*$E$6-H27</f>
        <v>-9.4</v>
      </c>
      <c r="J27" t="s" s="6">
        <v>1082</v>
      </c>
      <c r="K27" t="s" s="6">
        <v>1087</v>
      </c>
    </row>
    <row r="28">
      <c r="B28" t="s" s="67">
        <v>562</v>
      </c>
      <c r="C28" t="s" s="3">
        <v>577</v>
      </c>
      <c r="D28" s="79">
        <f>'Net Debt'!C21</f>
        <v>0</v>
      </c>
      <c r="E28" s="79">
        <f>'Net Debt'!D21</f>
        <v>6.5</v>
      </c>
      <c r="F28" s="80">
        <f>E28-D28</f>
        <v>6.5</v>
      </c>
      <c r="G28" s="84">
        <v>0</v>
      </c>
      <c r="H28" s="79">
        <f>'Net Debt'!E21</f>
        <v>6.5</v>
      </c>
      <c r="I28" s="80">
        <f>G28*$E$6-H28</f>
        <v>-6.5</v>
      </c>
      <c r="J28" t="s" s="6">
        <v>608</v>
      </c>
      <c r="K28" t="s" s="6">
        <v>1088</v>
      </c>
    </row>
    <row r="29">
      <c r="B29" t="s" s="67">
        <v>563</v>
      </c>
      <c r="C29" t="s" s="3">
        <v>578</v>
      </c>
      <c r="D29" s="79">
        <f>'Net Debt'!C25</f>
        <v>0</v>
      </c>
      <c r="E29" s="79">
        <f>'Net Debt'!D25</f>
        <v>6.5</v>
      </c>
      <c r="F29" s="80">
        <f>E29-D29</f>
        <v>6.5</v>
      </c>
      <c r="G29" s="84">
        <v>0</v>
      </c>
      <c r="H29" s="79">
        <f>'Net Debt'!E25</f>
        <v>6.5</v>
      </c>
      <c r="I29" s="80">
        <f>G29*$E$6-H29</f>
        <v>-6.5</v>
      </c>
      <c r="J29" t="s" s="6">
        <v>609</v>
      </c>
      <c r="K29" t="s" s="6">
        <v>753</v>
      </c>
    </row>
    <row r="30">
      <c r="B30" t="s" s="67">
        <v>564</v>
      </c>
      <c r="C30" t="s" s="3">
        <v>579</v>
      </c>
      <c r="D30" s="79">
        <f>'Net Debt'!C23</f>
        <v>0</v>
      </c>
      <c r="E30" s="79">
        <f>'Net Debt'!D23</f>
        <v>4.800000000000001</v>
      </c>
      <c r="F30" s="80">
        <f>E30-D30</f>
        <v>4.800000000000001</v>
      </c>
      <c r="G30" s="84">
        <v>0</v>
      </c>
      <c r="H30" s="79">
        <f>'Net Debt'!E23</f>
        <v>4.800000000000001</v>
      </c>
      <c r="I30" s="80">
        <f>G30*$E$6-H30</f>
        <v>-4.800000000000001</v>
      </c>
      <c r="J30" t="s" s="6">
        <v>609</v>
      </c>
      <c r="K30" t="s" s="6">
        <v>628</v>
      </c>
    </row>
    <row r="31">
      <c r="B31" t="s" s="67">
        <v>565</v>
      </c>
      <c r="C31" t="s" s="3">
        <v>580</v>
      </c>
      <c r="D31" s="79">
        <f>'Net Debt'!C15</f>
        <v>1.2</v>
      </c>
      <c r="E31" s="79">
        <f>'Net Debt'!D15</f>
        <v>4.6</v>
      </c>
      <c r="F31" s="80">
        <f>E31-D31</f>
        <v>3.3999999999999995</v>
      </c>
      <c r="G31" s="84">
        <v>0</v>
      </c>
      <c r="H31" s="79">
        <f>'Net Debt'!E15</f>
        <v>3.3999999999999995</v>
      </c>
      <c r="I31" s="80">
        <f>G31*$E$6-H31</f>
        <v>-3.3999999999999995</v>
      </c>
      <c r="J31" t="s" s="6">
        <v>609</v>
      </c>
      <c r="K31" t="s" s="6">
        <v>630</v>
      </c>
    </row>
    <row r="32">
      <c r="B32" t="s" s="67">
        <v>566</v>
      </c>
      <c r="C32" t="s" s="3">
        <v>480</v>
      </c>
      <c r="D32" s="79">
        <f>'Net Debt'!C26</f>
        <v>0</v>
      </c>
      <c r="E32" s="79">
        <f>'Net Debt'!D26</f>
        <v>1.8</v>
      </c>
      <c r="F32" s="80">
        <f>E32-D32</f>
        <v>1.8</v>
      </c>
      <c r="G32" s="84">
        <v>0</v>
      </c>
      <c r="H32" s="79">
        <f>'Net Debt'!E26</f>
        <v>1.8</v>
      </c>
      <c r="I32" s="80">
        <f>G32*$E$6-H32</f>
        <v>-1.8</v>
      </c>
      <c r="J32" t="s" s="6">
        <v>608</v>
      </c>
      <c r="K32" t="s" s="6">
        <v>1089</v>
      </c>
    </row>
    <row r="33">
      <c r="B33" t="s" s="67">
        <v>647</v>
      </c>
      <c r="C33" t="s" s="3">
        <v>1080</v>
      </c>
      <c r="D33" s="79">
        <f>'Net Debt'!C19</f>
        <v>0</v>
      </c>
      <c r="E33" s="79">
        <f>'Net Debt'!D19</f>
        <v>1.2</v>
      </c>
      <c r="F33" s="80">
        <f>E33-D33</f>
        <v>1.2</v>
      </c>
      <c r="G33" s="84">
        <v>0</v>
      </c>
      <c r="H33" s="79">
        <f>'Net Debt'!E19</f>
        <v>1.2</v>
      </c>
      <c r="I33" s="80">
        <f>G33*$E$6-H33</f>
        <v>-1.2</v>
      </c>
      <c r="J33" t="s" s="6">
        <v>1083</v>
      </c>
      <c r="K33" t="s" s="6">
        <v>1090</v>
      </c>
    </row>
    <row r="34">
      <c r="B34" s="75"/>
      <c r="C34" t="s" s="59">
        <v>984</v>
      </c>
      <c r="D34" s="82"/>
      <c r="E34" s="82"/>
      <c r="F34" s="82"/>
      <c r="G34" s="82">
        <f>SUM(G20:G33)</f>
        <v>-17.080651999999997</v>
      </c>
      <c r="H34" s="82">
        <f>SUM(H20:H33)</f>
        <v>77.1</v>
      </c>
      <c r="I34" s="82">
        <f>SUM(I20:I33)</f>
        <v>-405.0485183999999</v>
      </c>
      <c r="J34" s="76"/>
      <c r="K34" s="76"/>
    </row>
    <row r="35">
      <c r="B35" s="78"/>
      <c r="C35" t="s" s="5">
        <v>985</v>
      </c>
      <c r="D35" s="85">
        <f>I34</f>
        <v>-405.0485183999999</v>
      </c>
      <c r="E35" s="85">
        <f>F16</f>
        <v>-405.04851839999964</v>
      </c>
      <c r="F35" s="85">
        <f>D35-E35</f>
        <v>-2.8421709430404007e-13</v>
      </c>
      <c r="G35" s="80"/>
      <c r="H35" s="80"/>
      <c r="I35" s="80"/>
      <c r="J35" s="6"/>
      <c r="K35" s="6"/>
    </row>
    <row r="36">
      <c r="B36" s="66"/>
      <c r="C36" s="3"/>
      <c r="D36" s="80"/>
      <c r="E36" s="80"/>
      <c r="F36" s="80"/>
      <c r="G36" s="80"/>
      <c r="H36" s="80"/>
      <c r="I36" s="80"/>
      <c r="J36" s="6"/>
      <c r="K36" s="6"/>
    </row>
    <row r="37" ht="16" customHeight="1">
      <c r="B37" t="s" s="71">
        <v>976</v>
      </c>
      <c r="C37" s="69"/>
      <c r="D37" s="83"/>
      <c r="E37" s="83"/>
      <c r="F37" s="83"/>
      <c r="G37" s="83"/>
      <c r="H37" s="83"/>
      <c r="I37" s="83"/>
      <c r="J37" s="69"/>
      <c r="K37" s="69"/>
    </row>
    <row r="38" ht="25.5" customHeight="1">
      <c r="B38" t="s" s="72">
        <v>553</v>
      </c>
      <c r="C38" t="s" s="73">
        <v>569</v>
      </c>
      <c r="D38" t="s" s="55">
        <v>599</v>
      </c>
      <c r="E38" t="s" s="55">
        <v>600</v>
      </c>
      <c r="F38" t="s" s="55">
        <v>335</v>
      </c>
      <c r="G38" t="s" s="55">
        <v>602</v>
      </c>
      <c r="H38" t="s" s="55">
        <v>603</v>
      </c>
      <c r="I38" t="s" s="55">
        <v>992</v>
      </c>
      <c r="J38" t="s" s="73">
        <v>606</v>
      </c>
      <c r="K38" t="s" s="73">
        <v>620</v>
      </c>
    </row>
    <row r="39" ht="38.25" customHeight="1">
      <c r="B39" t="s" s="67">
        <v>554</v>
      </c>
      <c r="C39" t="s" s="3">
        <v>986</v>
      </c>
      <c r="D39" s="79">
        <f>'Revenue Quality'!D58</f>
        <v>291.232163</v>
      </c>
      <c r="E39" s="79">
        <f>'Revenue Quality'!E58+'Revenue Quality'!M58</f>
        <v>287.36298522688526</v>
      </c>
      <c r="F39" s="80">
        <f>E39-D39</f>
        <v>-3.8691777731147567</v>
      </c>
      <c r="G39" s="84">
        <v>0</v>
      </c>
      <c r="H39" s="84">
        <v>0</v>
      </c>
      <c r="I39" s="80">
        <f>G39*$E$6-H39</f>
        <v>0.0</v>
      </c>
      <c r="J39" t="s" s="6">
        <v>1000</v>
      </c>
      <c r="K39" t="s" s="6">
        <v>1013</v>
      </c>
    </row>
    <row r="40">
      <c r="B40" t="s" s="67">
        <v>555</v>
      </c>
      <c r="C40" t="s" s="3">
        <v>987</v>
      </c>
      <c r="D40" s="79">
        <f>'Proof of Cash'!C36</f>
        <v>34.2</v>
      </c>
      <c r="E40" s="79">
        <f>'Proof of Cash'!C38</f>
        <v>16.4955</v>
      </c>
      <c r="F40" s="80">
        <f>E40-D40</f>
        <v>-17.704500000000003</v>
      </c>
      <c r="G40" s="84">
        <v>0</v>
      </c>
      <c r="H40" s="84">
        <v>0</v>
      </c>
      <c r="I40" s="80">
        <f>G40*$E$6-H40</f>
        <v>0.0</v>
      </c>
      <c r="J40" t="s" s="6">
        <v>612</v>
      </c>
      <c r="K40" t="s" s="6">
        <v>633</v>
      </c>
    </row>
    <row r="41" ht="38.25" customHeight="1">
      <c r="B41" t="s" s="67">
        <v>556</v>
      </c>
      <c r="C41" t="s" s="3">
        <v>988</v>
      </c>
      <c r="D41" s="79">
        <f>'Revenue Quality'!I8</f>
        <v>305</v>
      </c>
      <c r="E41" s="79">
        <f>'Revenue Quality'!E14</f>
        <v>296.6</v>
      </c>
      <c r="F41" s="80">
        <f>E41-D41</f>
        <v>-8.399999999999977</v>
      </c>
      <c r="G41" s="84">
        <v>0</v>
      </c>
      <c r="H41" s="84">
        <v>0</v>
      </c>
      <c r="I41" s="80">
        <f>G41*$E$6-H41</f>
        <v>0.0</v>
      </c>
      <c r="J41" t="s" s="6">
        <v>1001</v>
      </c>
      <c r="K41" t="s" s="6">
        <v>1014</v>
      </c>
    </row>
    <row r="42" ht="25.5" customHeight="1">
      <c r="B42" t="s" s="67">
        <v>557</v>
      </c>
      <c r="C42" t="s" s="3">
        <v>989</v>
      </c>
      <c r="D42" s="80"/>
      <c r="E42" s="79">
        <f>'Net Debt'!G53</f>
        <v>365</v>
      </c>
      <c r="F42" s="80">
        <f>E42-D42</f>
        <v>365</v>
      </c>
      <c r="G42" s="84">
        <v>0</v>
      </c>
      <c r="H42" s="84">
        <v>0</v>
      </c>
      <c r="I42" s="80">
        <f>G42*$E$6-H42</f>
        <v>0.0</v>
      </c>
      <c r="J42" t="s" s="6">
        <v>1002</v>
      </c>
      <c r="K42" t="s" s="6">
        <v>1091</v>
      </c>
    </row>
    <row r="43" ht="38.25" customHeight="1">
      <c r="B43" t="s" s="67">
        <v>558</v>
      </c>
      <c r="C43" t="s" s="3">
        <v>1342</v>
      </c>
      <c r="D43" s="79">
        <f>'Revenue Quality'!E82</f>
        <v>4.2</v>
      </c>
      <c r="E43" s="79">
        <f>'Revenue Quality'!E80+'Revenue Quality'!E81</f>
        <v>4.2</v>
      </c>
      <c r="F43" s="80">
        <f>E43-D43</f>
        <v>0</v>
      </c>
      <c r="G43" s="84">
        <v>0</v>
      </c>
      <c r="H43" s="84">
        <v>0</v>
      </c>
      <c r="I43" s="80">
        <f>G43*$E$6-H43</f>
        <v>0.0</v>
      </c>
      <c r="J43" t="s" s="6">
        <v>1343</v>
      </c>
      <c r="K43" t="s" s="6">
        <v>640</v>
      </c>
    </row>
    <row r="44" ht="25.5" customHeight="1">
      <c r="B44" t="s" s="67">
        <v>559</v>
      </c>
      <c r="C44" t="s" s="3">
        <v>587</v>
      </c>
      <c r="D44" s="84">
        <v>2.9</v>
      </c>
      <c r="E44" s="84">
        <v>3.1</v>
      </c>
      <c r="F44" s="80">
        <f>E44-D44</f>
        <v>0.20000000000000018</v>
      </c>
      <c r="G44" s="84">
        <v>0</v>
      </c>
      <c r="H44" s="84">
        <v>0</v>
      </c>
      <c r="I44" s="80">
        <f>G44*$E$6-H44</f>
        <v>0.0</v>
      </c>
      <c r="J44" t="s" s="6">
        <v>1004</v>
      </c>
      <c r="K44" t="s" s="6">
        <v>637</v>
      </c>
    </row>
  </sheetData>
  <mergeCells count="2">
    <mergeCell ref="B3:K3"/>
    <mergeCell ref="B4:K4"/>
  </mergeCells>
  <pageMargins left="0.7" right="0.7" top="0.75" bottom="0.75" header="0.3" footer="0.3"/>
  <pageSetup orientation="landscape" fitToWidth="1" fitToHeight="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O72"/>
  <sheetViews>
    <sheetView showGridLines="0" workbookViewId="0">
      <selection activeCell="A1" sqref="A1"/>
    </sheetView>
  </sheetViews>
  <cols>
    <col min="1" max="1" width="2.359375" customWidth="1"/>
    <col min="2" max="2" width="54.21875" customWidth="1"/>
    <col min="3" max="13" width="14.07421875" customWidth="1"/>
    <col min="14" max="14" width="73.21875" customWidth="1"/>
    <col min="15" max="15" width="51.9296875" customWidth="1"/>
  </cols>
  <sheetData>
    <row r="2">
      <c r="B2" t="s" s="2">
        <v>0</v>
      </c>
    </row>
    <row r="3" ht="58" customHeight="1">
      <c r="B3" t="s" s="4">
        <v>1</v>
      </c>
      <c r="C3" s="3"/>
      <c r="D3" s="3"/>
      <c r="E3" s="3"/>
      <c r="F3" s="3"/>
      <c r="G3" s="3"/>
      <c r="H3" s="3"/>
      <c r="I3" s="3"/>
      <c r="J3" s="3"/>
      <c r="K3" s="3"/>
      <c r="L3" s="3"/>
      <c r="M3" s="3"/>
      <c r="N3" s="3"/>
      <c r="O3" s="3"/>
    </row>
    <row r="4" ht="28" customHeight="1">
      <c r="B4" t="s" s="6">
        <v>2</v>
      </c>
      <c r="C4" s="3"/>
      <c r="D4" s="3"/>
      <c r="E4" s="3"/>
      <c r="F4" s="3"/>
      <c r="G4" s="3"/>
      <c r="H4" s="3"/>
      <c r="I4" s="3"/>
      <c r="J4" s="3"/>
      <c r="K4" s="3"/>
      <c r="L4" s="3"/>
      <c r="M4" s="3"/>
      <c r="N4" s="3"/>
      <c r="O4" s="3"/>
    </row>
    <row r="6">
      <c r="B6" t="s" s="9">
        <v>3</v>
      </c>
      <c r="C6" s="9"/>
      <c r="D6" s="9"/>
      <c r="E6" s="9"/>
      <c r="F6" s="9"/>
      <c r="G6" s="9"/>
      <c r="H6" s="9"/>
      <c r="I6" s="9"/>
      <c r="J6" s="9"/>
      <c r="K6" s="9"/>
      <c r="L6" s="9"/>
      <c r="M6" s="9"/>
      <c r="N6" s="9"/>
      <c r="O6" s="9"/>
    </row>
    <row r="7">
      <c r="B7" t="s" s="11">
        <v>4</v>
      </c>
      <c r="C7" t="s" s="12">
        <v>31</v>
      </c>
      <c r="D7" t="s" s="12">
        <v>33</v>
      </c>
      <c r="E7" t="s" s="12">
        <v>35</v>
      </c>
      <c r="F7" t="s" s="12">
        <v>37</v>
      </c>
      <c r="G7" t="s" s="12">
        <v>39</v>
      </c>
      <c r="H7" t="s" s="12">
        <v>40</v>
      </c>
      <c r="I7" t="s" s="12">
        <v>41</v>
      </c>
      <c r="J7" s="12"/>
      <c r="K7" s="12"/>
      <c r="L7" s="12"/>
      <c r="M7" s="12"/>
      <c r="N7" t="s" s="12">
        <v>42</v>
      </c>
      <c r="O7" t="s" s="12">
        <v>54</v>
      </c>
    </row>
    <row r="8">
      <c r="B8" t="s">
        <v>5</v>
      </c>
      <c r="C8" s="20">
        <v>305</v>
      </c>
      <c r="D8" s="20">
        <v>305</v>
      </c>
      <c r="E8" s="20">
        <v>305</v>
      </c>
      <c r="F8" s="20">
        <v>305</v>
      </c>
      <c r="G8" s="19">
        <f>IF(OR(C8="",D8=""),"",C8-D8)</f>
        <v>0</v>
      </c>
      <c r="H8" s="19">
        <f>IF(OR(E8="",D8=""),"",E8-D8)</f>
        <v>0</v>
      </c>
      <c r="I8" s="19">
        <f>IF(OR(ISTEXT(F8),F8="",D8=""),"",F8-D8)</f>
        <v>0</v>
      </c>
      <c r="J8" s="7"/>
      <c r="K8" s="7"/>
      <c r="L8" s="7"/>
      <c r="M8" s="7"/>
      <c r="N8" t="s" s="6">
        <v>43</v>
      </c>
      <c r="O8" t="s" s="6">
        <v>55</v>
      </c>
    </row>
    <row r="9">
      <c r="B9" t="s">
        <v>6</v>
      </c>
      <c r="C9" s="20">
        <v>84.2</v>
      </c>
      <c r="D9" s="20">
        <v>84.2</v>
      </c>
      <c r="E9" s="20">
        <v>84.2</v>
      </c>
      <c r="F9" s="20">
        <v>84.2</v>
      </c>
      <c r="G9" s="19">
        <f>IF(OR(C9="",D9=""),"",C9-D9)</f>
        <v>0</v>
      </c>
      <c r="H9" s="19">
        <f>IF(OR(E9="",D9=""),"",E9-D9)</f>
        <v>0</v>
      </c>
      <c r="I9" s="19">
        <f>IF(OR(ISTEXT(F9),F9="",D9=""),"",F9-D9)</f>
        <v>0</v>
      </c>
      <c r="J9" s="7"/>
      <c r="K9" s="7"/>
      <c r="L9" s="7"/>
      <c r="M9" s="7"/>
      <c r="N9" t="s" s="6">
        <v>44</v>
      </c>
      <c r="O9" s="6"/>
    </row>
    <row r="10">
      <c r="B10" t="s">
        <v>7</v>
      </c>
      <c r="C10" s="20">
        <v>14.6</v>
      </c>
      <c r="D10" s="20">
        <v>14.6</v>
      </c>
      <c r="E10" s="20">
        <v>14.6</v>
      </c>
      <c r="F10" s="20">
        <v>14.6</v>
      </c>
      <c r="G10" s="19">
        <f>IF(OR(C10="",D10=""),"",C10-D10)</f>
        <v>0</v>
      </c>
      <c r="H10" s="19">
        <f>IF(OR(E10="",D10=""),"",E10-D10)</f>
        <v>0</v>
      </c>
      <c r="I10" s="19">
        <f>IF(OR(ISTEXT(F10),F10="",D10=""),"",F10-D10)</f>
        <v>0</v>
      </c>
      <c r="J10" s="7"/>
      <c r="K10" s="7"/>
      <c r="L10" s="7"/>
      <c r="M10" s="7"/>
      <c r="N10" s="6"/>
      <c r="O10" s="6"/>
    </row>
    <row r="11">
      <c r="B11" t="s">
        <v>8</v>
      </c>
      <c r="C11" s="20">
        <v>8.2</v>
      </c>
      <c r="D11" s="20">
        <v>8.2</v>
      </c>
      <c r="E11" s="20">
        <v>8.2</v>
      </c>
      <c r="F11" s="20">
        <v>8.2</v>
      </c>
      <c r="G11" s="19">
        <f>IF(OR(C11="",D11=""),"",C11-D11)</f>
        <v>0</v>
      </c>
      <c r="H11" s="19">
        <f>IF(OR(E11="",D11=""),"",E11-D11)</f>
        <v>0</v>
      </c>
      <c r="I11" s="19">
        <f>IF(OR(ISTEXT(F11),F11="",D11=""),"",F11-D11)</f>
        <v>0</v>
      </c>
      <c r="J11" s="7"/>
      <c r="K11" s="7"/>
      <c r="L11" s="7"/>
      <c r="M11" s="7"/>
      <c r="N11" s="6"/>
      <c r="O11" s="6"/>
    </row>
    <row r="12">
      <c r="B12" t="s" s="13">
        <v>9</v>
      </c>
      <c r="C12" s="21">
        <f>SUM(C8:C11)</f>
        <v>412</v>
      </c>
      <c r="D12" s="21">
        <f>SUM(D8:D11)</f>
        <v>412</v>
      </c>
      <c r="E12" s="21">
        <f>SUM(E8:E11)</f>
        <v>412</v>
      </c>
      <c r="F12" s="21">
        <f>SUM(F8:F11)</f>
        <v>412</v>
      </c>
      <c r="G12" s="21">
        <f>IF(OR(C12="",D12=""),"",C12-D12)</f>
        <v>0</v>
      </c>
      <c r="H12" s="21">
        <f>IF(OR(E12="",D12=""),"",E12-D12)</f>
        <v>0</v>
      </c>
      <c r="I12" s="21">
        <f>IF(OR(ISTEXT(F12),F12="",D12=""),"",F12-D12)</f>
        <v>0</v>
      </c>
      <c r="J12" s="14"/>
      <c r="K12" s="14"/>
      <c r="L12" s="14"/>
      <c r="M12" s="14"/>
      <c r="N12" t="s" s="43">
        <v>43</v>
      </c>
      <c r="O12" s="43"/>
    </row>
    <row r="13">
      <c r="B13" t="s">
        <v>10</v>
      </c>
      <c r="C13" s="20">
        <v>-145.2</v>
      </c>
      <c r="D13" s="20">
        <v>-145.2</v>
      </c>
      <c r="E13" s="20">
        <v>-145.2</v>
      </c>
      <c r="F13" s="20">
        <v>-145.2</v>
      </c>
      <c r="G13" s="19">
        <f>IF(OR(C13="",D13=""),"",C13-D13)</f>
        <v>0</v>
      </c>
      <c r="H13" s="19">
        <f>IF(OR(E13="",D13=""),"",E13-D13)</f>
        <v>0</v>
      </c>
      <c r="I13" s="19">
        <f>IF(OR(ISTEXT(F13),F13="",D13=""),"",F13-D13)</f>
        <v>0</v>
      </c>
      <c r="J13" s="7"/>
      <c r="K13" s="7"/>
      <c r="L13" s="7"/>
      <c r="M13" s="7"/>
      <c r="N13" t="s" s="6">
        <v>45</v>
      </c>
      <c r="O13" s="6"/>
    </row>
    <row r="14">
      <c r="B14" t="s">
        <v>11</v>
      </c>
      <c r="C14" s="20">
        <v>-19.6</v>
      </c>
      <c r="D14" s="20">
        <v>-19.6</v>
      </c>
      <c r="E14" s="20">
        <v>-19.6</v>
      </c>
      <c r="F14" s="20">
        <v>-19.6</v>
      </c>
      <c r="G14" s="19">
        <f>IF(OR(C14="",D14=""),"",C14-D14)</f>
        <v>0</v>
      </c>
      <c r="H14" s="19">
        <f>IF(OR(E14="",D14=""),"",E14-D14)</f>
        <v>0</v>
      </c>
      <c r="I14" s="19">
        <f>IF(OR(ISTEXT(F14),F14="",D14=""),"",F14-D14)</f>
        <v>0</v>
      </c>
      <c r="J14" s="7"/>
      <c r="K14" s="7"/>
      <c r="L14" s="7"/>
      <c r="M14" s="7"/>
      <c r="N14" s="6"/>
      <c r="O14" s="6"/>
    </row>
    <row r="15">
      <c r="B15" t="s">
        <v>12</v>
      </c>
      <c r="C15" s="20">
        <v>-0.6</v>
      </c>
      <c r="D15" s="20">
        <v>-0.6</v>
      </c>
      <c r="E15" s="20">
        <v>-0.6</v>
      </c>
      <c r="F15" s="20">
        <v>-0.6</v>
      </c>
      <c r="G15" s="19">
        <f>IF(OR(C15="",D15=""),"",C15-D15)</f>
        <v>0</v>
      </c>
      <c r="H15" s="19">
        <f>IF(OR(E15="",D15=""),"",E15-D15)</f>
        <v>0</v>
      </c>
      <c r="I15" s="19">
        <f>IF(OR(ISTEXT(F15),F15="",D15=""),"",F15-D15)</f>
        <v>0</v>
      </c>
      <c r="J15" s="7"/>
      <c r="K15" s="7"/>
      <c r="L15" s="7"/>
      <c r="M15" s="7"/>
      <c r="N15" s="6"/>
      <c r="O15" s="6"/>
    </row>
    <row r="16">
      <c r="B16" t="s" s="13">
        <v>13</v>
      </c>
      <c r="C16" s="21">
        <f>C12+SUM(C13:C15)</f>
        <v>246.60000000000002</v>
      </c>
      <c r="D16" s="21">
        <f>D12+SUM(D13:D15)</f>
        <v>246.60000000000002</v>
      </c>
      <c r="E16" s="21">
        <f>E12+SUM(E13:E15)</f>
        <v>246.60000000000002</v>
      </c>
      <c r="F16" s="21">
        <f>F12+SUM(F13:F15)</f>
        <v>246.60000000000002</v>
      </c>
      <c r="G16" s="21">
        <f>IF(OR(C16="",D16=""),"",C16-D16)</f>
        <v>0</v>
      </c>
      <c r="H16" s="21">
        <f>IF(OR(E16="",D16=""),"",E16-D16)</f>
        <v>0</v>
      </c>
      <c r="I16" s="21">
        <f>IF(OR(ISTEXT(F16),F16="",D16=""),"",F16-D16)</f>
        <v>0</v>
      </c>
      <c r="J16" s="14"/>
      <c r="K16" s="14"/>
      <c r="L16" s="14"/>
      <c r="M16" s="14"/>
      <c r="N16" t="s" s="43">
        <v>43</v>
      </c>
      <c r="O16" s="43"/>
    </row>
    <row r="17">
      <c r="B17" t="s">
        <v>14</v>
      </c>
      <c r="C17" s="20">
        <v>-33.8</v>
      </c>
      <c r="D17" s="20">
        <v>-33.8</v>
      </c>
      <c r="E17" s="20">
        <v>-33.8</v>
      </c>
      <c r="F17" s="20">
        <v>-33.8</v>
      </c>
      <c r="G17" s="19">
        <f>IF(OR(C17="",D17=""),"",C17-D17)</f>
        <v>0</v>
      </c>
      <c r="H17" s="19">
        <f>IF(OR(E17="",D17=""),"",E17-D17)</f>
        <v>0</v>
      </c>
      <c r="I17" s="19">
        <f>IF(OR(ISTEXT(F17),F17="",D17=""),"",F17-D17)</f>
        <v>0</v>
      </c>
      <c r="J17" s="7"/>
      <c r="K17" s="7"/>
      <c r="L17" s="7"/>
      <c r="M17" s="7"/>
      <c r="N17" s="6"/>
      <c r="O17" s="6"/>
    </row>
    <row r="18">
      <c r="B18" t="s">
        <v>15</v>
      </c>
      <c r="C18" s="20">
        <v>-4.8</v>
      </c>
      <c r="D18" s="20">
        <v>-4.8</v>
      </c>
      <c r="E18" s="20">
        <v>-4.8</v>
      </c>
      <c r="F18" s="20">
        <v>-4.8</v>
      </c>
      <c r="G18" s="19">
        <f>IF(OR(C18="",D18=""),"",C18-D18)</f>
        <v>0</v>
      </c>
      <c r="H18" s="19">
        <f>IF(OR(E18="",D18=""),"",E18-D18)</f>
        <v>0</v>
      </c>
      <c r="I18" s="19">
        <f>IF(OR(ISTEXT(F18),F18="",D18=""),"",F18-D18)</f>
        <v>0</v>
      </c>
      <c r="J18" s="7"/>
      <c r="K18" s="7"/>
      <c r="L18" s="7"/>
      <c r="M18" s="7"/>
      <c r="N18" s="6"/>
      <c r="O18" t="s" s="6">
        <v>56</v>
      </c>
    </row>
    <row r="19">
      <c r="B19" t="s">
        <v>16</v>
      </c>
      <c r="C19" s="20">
        <v>11.1</v>
      </c>
      <c r="D19" s="20">
        <v>11.1</v>
      </c>
      <c r="E19" s="20">
        <v>11.1</v>
      </c>
      <c r="F19" s="20">
        <v>11.2</v>
      </c>
      <c r="G19" s="19">
        <f>IF(OR(C19="",D19=""),"",C19-D19)</f>
        <v>0</v>
      </c>
      <c r="H19" s="19">
        <f>IF(OR(E19="",D19=""),"",E19-D19)</f>
        <v>0</v>
      </c>
      <c r="I19" s="19">
        <f>IF(OR(ISTEXT(F19),F19="",D19=""),"",F19-D19)</f>
        <v>0.09999999999999964</v>
      </c>
      <c r="J19" s="7"/>
      <c r="K19" s="7"/>
      <c r="L19" s="7"/>
      <c r="M19" s="7"/>
      <c r="N19" t="s" s="6">
        <v>46</v>
      </c>
      <c r="O19" t="s" s="6">
        <v>57</v>
      </c>
    </row>
    <row r="20">
      <c r="B20" t="s" s="13">
        <v>17</v>
      </c>
      <c r="C20" s="21">
        <f>C16+SUM(C17:C19)</f>
        <v>219.10000000000002</v>
      </c>
      <c r="D20" s="21">
        <f>D16+SUM(D17:D19)</f>
        <v>219.10000000000002</v>
      </c>
      <c r="E20" s="21">
        <f>E16+SUM(E17:E19)</f>
        <v>219.10000000000002</v>
      </c>
      <c r="F20" s="21">
        <f>F16+SUM(F17:F19)</f>
        <v>219.20000000000002</v>
      </c>
      <c r="G20" s="21">
        <f>IF(OR(C20="",D20=""),"",C20-D20)</f>
        <v>0</v>
      </c>
      <c r="H20" s="21">
        <f>IF(OR(E20="",D20=""),"",E20-D20)</f>
        <v>0</v>
      </c>
      <c r="I20" s="21">
        <f>IF(OR(ISTEXT(F20),F20="",D20=""),"",F20-D20)</f>
        <v>0.09999999999999432</v>
      </c>
      <c r="J20" s="14"/>
      <c r="K20" s="14"/>
      <c r="L20" s="14"/>
      <c r="M20" s="14"/>
      <c r="N20" t="s" s="43">
        <v>47</v>
      </c>
      <c r="O20" s="43"/>
    </row>
    <row r="21">
      <c r="B21" t="s">
        <v>18</v>
      </c>
      <c r="C21" s="20">
        <v>-126.9</v>
      </c>
      <c r="D21" s="20">
        <v>-126.9</v>
      </c>
      <c r="E21" s="20">
        <v>-126.9</v>
      </c>
      <c r="F21" t="s" s="7">
        <v>38</v>
      </c>
      <c r="G21" s="19">
        <f>IF(OR(C21="",D21=""),"",C21-D21)</f>
        <v>0</v>
      </c>
      <c r="H21" s="19">
        <f>IF(OR(E21="",D21=""),"",E21-D21)</f>
        <v>0</v>
      </c>
      <c r="I21" t="str" s="7">
        <f>IF(OR(ISTEXT(F21),F21="",D21=""),"",F21-D21)</f>
        <v/>
      </c>
      <c r="J21" s="7"/>
      <c r="K21" s="7"/>
      <c r="L21" s="7"/>
      <c r="M21" s="7"/>
      <c r="N21" t="s" s="6">
        <v>48</v>
      </c>
      <c r="O21" t="s" s="6">
        <v>58</v>
      </c>
    </row>
    <row r="22">
      <c r="B22" t="s">
        <v>19</v>
      </c>
      <c r="C22" s="20">
        <v>-94.3</v>
      </c>
      <c r="D22" s="20">
        <v>-94.3</v>
      </c>
      <c r="E22" s="20">
        <v>-94.3</v>
      </c>
      <c r="F22" t="s" s="7">
        <v>38</v>
      </c>
      <c r="G22" s="19">
        <f>IF(OR(C22="",D22=""),"",C22-D22)</f>
        <v>0</v>
      </c>
      <c r="H22" s="19">
        <f>IF(OR(E22="",D22=""),"",E22-D22)</f>
        <v>0</v>
      </c>
      <c r="I22" t="str" s="7">
        <f>IF(OR(ISTEXT(F22),F22="",D22=""),"",F22-D22)</f>
        <v/>
      </c>
      <c r="J22" s="7"/>
      <c r="K22" s="7"/>
      <c r="L22" s="7"/>
      <c r="M22" s="7"/>
      <c r="N22" s="6"/>
      <c r="O22" s="6"/>
    </row>
    <row r="23">
      <c r="B23" t="s" s="13">
        <v>20</v>
      </c>
      <c r="C23" s="21">
        <f>SUM(C20:C22)</f>
        <v>-2.09999999999998</v>
      </c>
      <c r="D23" s="21">
        <f>SUM(D20:D22)</f>
        <v>-2.09999999999998</v>
      </c>
      <c r="E23" s="21">
        <f>SUM(E20:E22)</f>
        <v>-2.09999999999998</v>
      </c>
      <c r="F23" t="s" s="14">
        <v>38</v>
      </c>
      <c r="G23" s="21">
        <f>IF(OR(C23="",D23=""),"",C23-D23)</f>
        <v>0</v>
      </c>
      <c r="H23" s="21">
        <f>IF(OR(E23="",D23=""),"",E23-D23)</f>
        <v>0</v>
      </c>
      <c r="I23" t="str" s="14">
        <f>IF(OR(ISTEXT(F23),F23="",D23=""),"",F23-D23)</f>
        <v/>
      </c>
      <c r="J23" s="14"/>
      <c r="K23" s="14"/>
      <c r="L23" s="14"/>
      <c r="M23" s="14"/>
      <c r="N23" s="43"/>
      <c r="O23" s="43"/>
    </row>
    <row r="24">
      <c r="B24" t="s" s="13">
        <v>21</v>
      </c>
      <c r="C24" s="25">
        <v>224</v>
      </c>
      <c r="D24" s="25">
        <v>224</v>
      </c>
      <c r="E24" s="25">
        <v>224</v>
      </c>
      <c r="F24" s="25">
        <v>224</v>
      </c>
      <c r="G24" s="21">
        <f>IF(OR(C24="",D24=""),"",C24-D24)</f>
        <v>0</v>
      </c>
      <c r="H24" s="21">
        <f>IF(OR(E24="",D24=""),"",E24-D24)</f>
        <v>0</v>
      </c>
      <c r="I24" s="21">
        <f>IF(OR(ISTEXT(F24),F24="",D24=""),"",F24-D24)</f>
        <v>0</v>
      </c>
      <c r="J24" s="14"/>
      <c r="K24" s="14"/>
      <c r="L24" s="14"/>
      <c r="M24" s="14"/>
      <c r="N24" t="s" s="43">
        <v>49</v>
      </c>
      <c r="O24" t="s" s="43">
        <v>59</v>
      </c>
    </row>
    <row r="25">
      <c r="B25" t="s">
        <v>22</v>
      </c>
      <c r="C25" s="19">
        <f>C24-C20</f>
        <v>4.899999999999977</v>
      </c>
      <c r="D25" s="19">
        <f>D24-D20</f>
        <v>4.899999999999977</v>
      </c>
      <c r="E25" s="19">
        <f>E24-E20</f>
        <v>4.899999999999977</v>
      </c>
      <c r="F25" s="19">
        <f>F24-F20</f>
        <v>4.799999999999983</v>
      </c>
      <c r="G25" s="19">
        <f>IF(OR(C25="",D25=""),"",C25-D25)</f>
        <v>0</v>
      </c>
      <c r="H25" s="19">
        <f>IF(OR(E25="",D25=""),"",E25-D25)</f>
        <v>0</v>
      </c>
      <c r="I25" s="19">
        <f>IF(OR(ISTEXT(F25),F25="",D25=""),"",F25-D25)</f>
        <v>-0.09999999999999432</v>
      </c>
      <c r="J25" s="7"/>
      <c r="K25" s="7"/>
      <c r="L25" s="7"/>
      <c r="M25" s="7"/>
      <c r="N25" t="s" s="6">
        <v>50</v>
      </c>
      <c r="O25" s="6"/>
    </row>
    <row r="26">
      <c r="B26" t="s">
        <v>23</v>
      </c>
      <c r="C26" s="19">
        <f>C16+C17</f>
        <v>212.8</v>
      </c>
      <c r="D26" s="7"/>
      <c r="E26" s="7"/>
      <c r="F26" s="7"/>
      <c r="G26" s="7"/>
      <c r="H26" s="7"/>
      <c r="I26" s="7"/>
      <c r="J26" s="7"/>
      <c r="K26" s="7"/>
      <c r="L26" s="7"/>
      <c r="M26" s="7"/>
      <c r="N26" s="6"/>
      <c r="O26" s="6"/>
    </row>
    <row r="27">
      <c r="B27" t="s">
        <v>24</v>
      </c>
      <c r="C27" s="19">
        <f>C24-C26</f>
        <v>11.199999999999989</v>
      </c>
      <c r="D27" s="7"/>
      <c r="E27" s="7"/>
      <c r="F27" s="7"/>
      <c r="G27" s="7"/>
      <c r="H27" s="7"/>
      <c r="I27" s="7"/>
      <c r="J27" s="7"/>
      <c r="K27" s="7"/>
      <c r="L27" s="7"/>
      <c r="M27" s="7"/>
      <c r="N27" t="s" s="6">
        <v>51</v>
      </c>
      <c r="O27" s="6"/>
    </row>
    <row r="28">
      <c r="N28" s="6"/>
      <c r="O28" s="6"/>
    </row>
    <row r="29">
      <c r="B29" t="s" s="9">
        <v>25</v>
      </c>
      <c r="C29" s="9"/>
      <c r="D29" s="9"/>
      <c r="E29" s="9"/>
      <c r="F29" s="9"/>
      <c r="G29" s="9"/>
      <c r="H29" s="9"/>
      <c r="I29" s="9"/>
      <c r="J29" s="9"/>
      <c r="K29" s="9"/>
      <c r="L29" s="9"/>
      <c r="M29" s="9"/>
      <c r="N29" s="17"/>
      <c r="O29" s="17"/>
    </row>
    <row r="30">
      <c r="B30" t="s" s="11">
        <v>4</v>
      </c>
      <c r="C30" t="s" s="12">
        <v>32</v>
      </c>
      <c r="D30" t="s" s="12">
        <v>34</v>
      </c>
      <c r="E30" t="s" s="12">
        <v>36</v>
      </c>
      <c r="F30" s="12"/>
      <c r="G30" s="12"/>
      <c r="H30" s="12"/>
      <c r="I30" s="12"/>
      <c r="J30" s="12"/>
      <c r="K30" s="12"/>
      <c r="L30" s="12"/>
      <c r="M30" s="12"/>
      <c r="N30" t="s" s="24">
        <v>42</v>
      </c>
      <c r="O30" t="s" s="24">
        <v>54</v>
      </c>
    </row>
    <row r="31">
      <c r="B31" t="s">
        <v>26</v>
      </c>
      <c r="C31" s="20">
        <v>156</v>
      </c>
      <c r="D31" s="20">
        <v>196</v>
      </c>
      <c r="E31" s="20">
        <v>246.6</v>
      </c>
      <c r="N31" s="6"/>
      <c r="O31" t="s" s="6">
        <v>60</v>
      </c>
    </row>
    <row r="32">
      <c r="B32" t="s">
        <v>14</v>
      </c>
      <c r="C32" s="20">
        <v>-24.1</v>
      </c>
      <c r="D32" s="20">
        <v>-28.4</v>
      </c>
      <c r="E32" s="20">
        <v>-33.8</v>
      </c>
      <c r="N32" s="6"/>
      <c r="O32" s="6"/>
    </row>
    <row r="33">
      <c r="B33" t="s">
        <v>15</v>
      </c>
      <c r="C33" s="20">
        <v>-2.9</v>
      </c>
      <c r="D33" s="20">
        <v>-1.6</v>
      </c>
      <c r="E33" s="20">
        <v>-4.8</v>
      </c>
      <c r="N33" s="6"/>
      <c r="O33" s="6"/>
    </row>
    <row r="34">
      <c r="B34" t="s">
        <v>16</v>
      </c>
      <c r="C34" s="20">
        <v>4.3</v>
      </c>
      <c r="D34" s="20">
        <v>8.2</v>
      </c>
      <c r="E34" s="20">
        <v>11.1</v>
      </c>
      <c r="N34" s="6"/>
      <c r="O34" s="6"/>
    </row>
    <row r="35">
      <c r="B35" t="s" s="13">
        <v>17</v>
      </c>
      <c r="C35" s="21">
        <f>SUM(C31:C34)</f>
        <v>133.3</v>
      </c>
      <c r="D35" s="21">
        <f>SUM(D31:D34)</f>
        <v>174.2</v>
      </c>
      <c r="E35" s="21">
        <f>SUM(E31:E34)</f>
        <v>219.1</v>
      </c>
      <c r="F35" s="13"/>
      <c r="G35" s="13"/>
      <c r="H35" s="13"/>
      <c r="I35" s="13"/>
      <c r="J35" s="13"/>
      <c r="K35" s="13"/>
      <c r="L35" s="13"/>
      <c r="M35" s="13"/>
      <c r="N35" s="43"/>
      <c r="O35" s="43"/>
    </row>
    <row r="36">
      <c r="B36" t="s">
        <v>27</v>
      </c>
      <c r="C36" s="19">
        <f>-C33</f>
        <v>2.9</v>
      </c>
      <c r="D36" s="19">
        <f>-D33</f>
        <v>1.6</v>
      </c>
      <c r="E36" s="19">
        <f>-E33</f>
        <v>4.8</v>
      </c>
      <c r="N36" s="6"/>
      <c r="O36" s="6"/>
    </row>
    <row r="37">
      <c r="B37" t="s">
        <v>28</v>
      </c>
      <c r="C37" s="20">
        <v>139</v>
      </c>
      <c r="D37" s="20">
        <v>178</v>
      </c>
      <c r="E37" s="20">
        <v>224</v>
      </c>
      <c r="N37" s="6"/>
      <c r="O37" s="6"/>
    </row>
    <row r="38">
      <c r="B38" t="s" s="13">
        <v>29</v>
      </c>
      <c r="C38" s="21">
        <f>C37-C35-C36</f>
        <v>2.7999999999999887</v>
      </c>
      <c r="D38" s="21">
        <f>D37-D35-D36</f>
        <v>2.2000000000000113</v>
      </c>
      <c r="E38" s="21">
        <f>E37-E35-E36</f>
        <v>0.10000000000000586</v>
      </c>
      <c r="F38" s="13"/>
      <c r="G38" s="13"/>
      <c r="H38" s="13"/>
      <c r="I38" s="13"/>
      <c r="J38" s="13"/>
      <c r="K38" s="13"/>
      <c r="L38" s="13"/>
      <c r="M38" s="13"/>
      <c r="N38" t="s" s="43">
        <v>876</v>
      </c>
      <c r="O38" s="43"/>
    </row>
    <row r="39">
      <c r="B39" t="s">
        <v>30</v>
      </c>
      <c r="C39" s="20">
        <v>2.9</v>
      </c>
      <c r="D39" s="20">
        <v>1.6</v>
      </c>
      <c r="E39" s="20">
        <v>4.9</v>
      </c>
      <c r="N39" t="s" s="6">
        <v>53</v>
      </c>
      <c r="O39" s="6"/>
    </row>
    <row r="40">
      <c r="N40" s="6"/>
      <c r="O40" s="6"/>
    </row>
    <row r="41">
      <c r="B41" t="s" s="9">
        <v>61</v>
      </c>
      <c r="C41" s="9"/>
      <c r="D41" s="9"/>
      <c r="E41" s="9"/>
      <c r="F41" s="9"/>
      <c r="G41" s="9"/>
      <c r="H41" s="9"/>
      <c r="I41" s="9"/>
      <c r="J41" s="9"/>
      <c r="K41" s="9"/>
      <c r="L41" s="9"/>
      <c r="M41" s="9"/>
      <c r="N41" s="17"/>
      <c r="O41" s="17"/>
    </row>
    <row r="42">
      <c r="B42" t="s" s="11">
        <v>4</v>
      </c>
      <c r="C42" t="s" s="12">
        <v>86</v>
      </c>
      <c r="D42" t="s" s="12">
        <v>88</v>
      </c>
      <c r="E42" t="s" s="12">
        <v>33</v>
      </c>
      <c r="F42" t="s" s="12">
        <v>91</v>
      </c>
      <c r="G42" t="s" s="12">
        <v>93</v>
      </c>
      <c r="H42" t="s" s="12">
        <v>95</v>
      </c>
      <c r="I42" t="s" s="12">
        <v>97</v>
      </c>
      <c r="J42" t="s" s="12">
        <v>99</v>
      </c>
      <c r="K42" t="s" s="12">
        <v>100</v>
      </c>
      <c r="L42" t="s" s="12">
        <v>101</v>
      </c>
      <c r="M42" t="s" s="12">
        <v>102</v>
      </c>
      <c r="N42" t="s" s="24">
        <v>42</v>
      </c>
      <c r="O42" t="s" s="24">
        <v>54</v>
      </c>
    </row>
    <row r="43">
      <c r="B43" t="s">
        <v>62</v>
      </c>
      <c r="C43" s="20">
        <v>85</v>
      </c>
      <c r="D43" s="7"/>
      <c r="E43" s="20">
        <v>85</v>
      </c>
      <c r="F43" s="20">
        <v>85</v>
      </c>
      <c r="G43" s="19">
        <f>IF(C43="","",C43-E43)</f>
        <v>0</v>
      </c>
      <c r="H43" t="str" s="7">
        <f>IF(D43="","",D43-E43)</f>
        <v/>
      </c>
      <c r="I43" s="20">
        <v>91.2</v>
      </c>
      <c r="J43" s="7"/>
      <c r="K43" s="20">
        <v>91.2</v>
      </c>
      <c r="L43" s="19">
        <f>IF(I43="","",I43-K43)</f>
        <v>0</v>
      </c>
      <c r="M43" t="str" s="7">
        <f>IF(J43="","",J43-K43)</f>
        <v/>
      </c>
      <c r="N43" s="6"/>
      <c r="O43" t="s" s="6">
        <v>113</v>
      </c>
    </row>
    <row r="44">
      <c r="B44" t="s">
        <v>63</v>
      </c>
      <c r="C44" s="20">
        <v>34.2</v>
      </c>
      <c r="D44" s="20">
        <v>31.6</v>
      </c>
      <c r="E44" s="20">
        <v>34.2</v>
      </c>
      <c r="F44" s="20">
        <v>34.2</v>
      </c>
      <c r="G44" s="19">
        <f>IF(C44="","",C44-E44)</f>
        <v>0</v>
      </c>
      <c r="H44" s="19">
        <f>IF(D44="","",D44-E44)</f>
        <v>-2.6000000000000014</v>
      </c>
      <c r="I44" s="20">
        <v>35.1</v>
      </c>
      <c r="J44" s="20">
        <v>32.4</v>
      </c>
      <c r="K44" s="20">
        <v>35.1</v>
      </c>
      <c r="L44" s="19">
        <f>IF(I44="","",I44-K44)</f>
        <v>0</v>
      </c>
      <c r="M44" s="19">
        <f>IF(J44="","",J44-K44)</f>
        <v>-2.700000000000003</v>
      </c>
      <c r="N44" t="s" s="6">
        <v>103</v>
      </c>
      <c r="O44" s="6"/>
    </row>
    <row r="45">
      <c r="B45" t="s">
        <v>64</v>
      </c>
      <c r="C45" s="7"/>
      <c r="D45" s="20">
        <v>8.4</v>
      </c>
      <c r="E45" s="20">
        <v>12.4</v>
      </c>
      <c r="F45" s="20">
        <v>12.4</v>
      </c>
      <c r="G45" t="str" s="7">
        <f>IF(C45="","",C45-E45)</f>
        <v/>
      </c>
      <c r="H45" s="19">
        <f>IF(D45="","",D45-E45)</f>
        <v>-4</v>
      </c>
      <c r="I45" s="7"/>
      <c r="J45" s="20">
        <v>8.9</v>
      </c>
      <c r="K45" s="20">
        <v>13</v>
      </c>
      <c r="L45" t="str" s="7">
        <f>IF(I45="","",I45-K45)</f>
        <v/>
      </c>
      <c r="M45" s="19">
        <f>IF(J45="","",J45-K45)</f>
        <v>-4.1</v>
      </c>
      <c r="N45" t="s" s="6">
        <v>104</v>
      </c>
      <c r="O45" s="6"/>
    </row>
    <row r="46">
      <c r="B46" t="s">
        <v>65</v>
      </c>
      <c r="C46" s="20">
        <v>1978</v>
      </c>
      <c r="D46" s="7"/>
      <c r="E46" s="20">
        <v>1978</v>
      </c>
      <c r="F46" s="20">
        <v>1978</v>
      </c>
      <c r="G46" s="19">
        <f>IF(C46="","",C46-E46)</f>
        <v>0</v>
      </c>
      <c r="H46" t="str" s="7">
        <f>IF(D46="","",D46-E46)</f>
        <v/>
      </c>
      <c r="I46" s="20">
        <v>2020.7</v>
      </c>
      <c r="J46" s="7"/>
      <c r="K46" s="20">
        <v>2020.7</v>
      </c>
      <c r="L46" s="19">
        <f>IF(I46="","",I46-K46)</f>
        <v>0</v>
      </c>
      <c r="M46" t="str" s="7">
        <f>IF(J46="","",J46-K46)</f>
        <v/>
      </c>
      <c r="N46" s="6"/>
      <c r="O46" s="6"/>
    </row>
    <row r="47">
      <c r="B47" t="s">
        <v>66</v>
      </c>
      <c r="C47" s="20">
        <v>42.6</v>
      </c>
      <c r="D47" s="7"/>
      <c r="E47" s="20">
        <v>42.6</v>
      </c>
      <c r="F47" s="20">
        <v>42.6</v>
      </c>
      <c r="G47" s="19">
        <f>IF(C47="","",C47-E47)</f>
        <v>0</v>
      </c>
      <c r="H47" t="str" s="7">
        <f>IF(D47="","",D47-E47)</f>
        <v/>
      </c>
      <c r="I47" s="20">
        <v>44.8</v>
      </c>
      <c r="J47" s="7"/>
      <c r="K47" s="20">
        <v>44.8</v>
      </c>
      <c r="L47" s="19">
        <f>IF(I47="","",I47-K47)</f>
        <v>0</v>
      </c>
      <c r="M47" t="str" s="7">
        <f>IF(J47="","",J47-K47)</f>
        <v/>
      </c>
      <c r="N47" s="6"/>
      <c r="O47" s="6"/>
    </row>
    <row r="48">
      <c r="B48" t="s">
        <v>67</v>
      </c>
      <c r="C48" s="7"/>
      <c r="D48" s="7"/>
      <c r="E48" s="20">
        <v>28.4</v>
      </c>
      <c r="F48" s="20">
        <v>28.4</v>
      </c>
      <c r="G48" t="str" s="7">
        <f>IF(C48="","",C48-E48)</f>
        <v/>
      </c>
      <c r="H48" t="str" s="7">
        <f>IF(D48="","",D48-E48)</f>
        <v/>
      </c>
      <c r="I48" s="7"/>
      <c r="J48" s="7"/>
      <c r="K48" s="20">
        <v>28.6</v>
      </c>
      <c r="L48" t="str" s="7">
        <f>IF(I48="","",I48-K48)</f>
        <v/>
      </c>
      <c r="M48" t="str" s="7">
        <f>IF(J48="","",J48-K48)</f>
        <v/>
      </c>
      <c r="N48" s="6"/>
      <c r="O48" s="6"/>
    </row>
    <row r="49">
      <c r="B49" t="s">
        <v>68</v>
      </c>
      <c r="C49" s="7"/>
      <c r="D49" s="7"/>
      <c r="E49" s="20">
        <v>8.2</v>
      </c>
      <c r="F49" s="20">
        <v>8.2</v>
      </c>
      <c r="G49" t="str" s="7">
        <f>IF(C49="","",C49-E49)</f>
        <v/>
      </c>
      <c r="H49" t="str" s="7">
        <f>IF(D49="","",D49-E49)</f>
        <v/>
      </c>
      <c r="I49" s="7"/>
      <c r="J49" s="7"/>
      <c r="K49" s="20">
        <v>8.2</v>
      </c>
      <c r="L49" t="str" s="7">
        <f>IF(I49="","",I49-K49)</f>
        <v/>
      </c>
      <c r="M49" t="str" s="7">
        <f>IF(J49="","",J49-K49)</f>
        <v/>
      </c>
      <c r="N49" s="6"/>
      <c r="O49" s="6"/>
    </row>
    <row r="50">
      <c r="B50" t="s">
        <v>69</v>
      </c>
      <c r="C50" s="7"/>
      <c r="D50" s="7"/>
      <c r="E50" s="20">
        <v>11.8</v>
      </c>
      <c r="F50" s="20">
        <v>11.8</v>
      </c>
      <c r="G50" t="str" s="7">
        <f>IF(C50="","",C50-E50)</f>
        <v/>
      </c>
      <c r="H50" t="str" s="7">
        <f>IF(D50="","",D50-E50)</f>
        <v/>
      </c>
      <c r="I50" s="7"/>
      <c r="J50" s="7"/>
      <c r="K50" s="20">
        <v>12.1</v>
      </c>
      <c r="L50" t="str" s="7">
        <f>IF(I50="","",I50-K50)</f>
        <v/>
      </c>
      <c r="M50" t="str" s="7">
        <f>IF(J50="","",J50-K50)</f>
        <v/>
      </c>
      <c r="N50" s="6"/>
      <c r="O50" s="6"/>
    </row>
    <row r="51">
      <c r="B51" t="s" s="13">
        <v>70</v>
      </c>
      <c r="C51" s="25">
        <v>2200.6</v>
      </c>
      <c r="D51" s="14"/>
      <c r="E51" s="25">
        <v>2200.6</v>
      </c>
      <c r="F51" s="25">
        <v>2200.6</v>
      </c>
      <c r="G51" s="21">
        <f>IF(C51="","",C51-E51)</f>
        <v>0</v>
      </c>
      <c r="H51" t="str" s="14">
        <f>IF(D51="","",D51-E51)</f>
        <v/>
      </c>
      <c r="I51" s="25">
        <v>2253.7</v>
      </c>
      <c r="J51" s="14"/>
      <c r="K51" s="25">
        <v>2253.7</v>
      </c>
      <c r="L51" s="21">
        <f>IF(I51="","",I51-K51)</f>
        <v>0</v>
      </c>
      <c r="M51" t="str" s="14">
        <f>IF(J51="","",J51-K51)</f>
        <v/>
      </c>
      <c r="N51" t="s" s="43">
        <v>105</v>
      </c>
      <c r="O51" s="43"/>
    </row>
    <row r="52">
      <c r="B52" t="s">
        <v>71</v>
      </c>
      <c r="C52" s="7"/>
      <c r="D52" s="20">
        <v>38.7</v>
      </c>
      <c r="E52" s="20">
        <v>96.3</v>
      </c>
      <c r="F52" s="20">
        <v>96.3</v>
      </c>
      <c r="G52" t="str" s="7">
        <f>IF(C52="","",C52-E52)</f>
        <v/>
      </c>
      <c r="H52" s="19">
        <f>IF(D52="","",D52-E52)</f>
        <v>-57.599999999999994</v>
      </c>
      <c r="I52" s="7"/>
      <c r="J52" s="20">
        <v>39.5</v>
      </c>
      <c r="K52" s="20">
        <v>101.5</v>
      </c>
      <c r="L52" t="str" s="7">
        <f>IF(I52="","",I52-K52)</f>
        <v/>
      </c>
      <c r="M52" s="19">
        <f>IF(J52="","",J52-K52)</f>
        <v>-62</v>
      </c>
      <c r="N52" t="s" s="6">
        <v>106</v>
      </c>
      <c r="O52" s="6"/>
    </row>
    <row r="53">
      <c r="B53" t="s">
        <v>72</v>
      </c>
      <c r="C53" s="7"/>
      <c r="D53" s="7"/>
      <c r="E53" s="20">
        <v>11.2</v>
      </c>
      <c r="F53" s="20">
        <v>11.2</v>
      </c>
      <c r="G53" t="str" s="7">
        <f>IF(C53="","",C53-E53)</f>
        <v/>
      </c>
      <c r="H53" t="str" s="7">
        <f>IF(D53="","",D53-E53)</f>
        <v/>
      </c>
      <c r="I53" s="7"/>
      <c r="J53" s="7"/>
      <c r="K53" s="20">
        <v>11.6</v>
      </c>
      <c r="L53" t="str" s="7">
        <f>IF(I53="","",I53-K53)</f>
        <v/>
      </c>
      <c r="M53" t="str" s="7">
        <f>IF(J53="","",J53-K53)</f>
        <v/>
      </c>
      <c r="N53" t="s" s="6">
        <v>1099</v>
      </c>
      <c r="O53" s="6"/>
    </row>
    <row r="54">
      <c r="B54" t="s">
        <v>73</v>
      </c>
      <c r="C54" s="7"/>
      <c r="D54" s="20">
        <v>13.8</v>
      </c>
      <c r="E54" s="20">
        <v>18.6</v>
      </c>
      <c r="F54" s="20">
        <v>18.6</v>
      </c>
      <c r="G54" t="str" s="7">
        <f>IF(C54="","",C54-E54)</f>
        <v/>
      </c>
      <c r="H54" s="19">
        <f>IF(D54="","",D54-E54)</f>
        <v>-4.800000000000001</v>
      </c>
      <c r="I54" s="7"/>
      <c r="J54" s="20">
        <v>14.1</v>
      </c>
      <c r="K54" s="20">
        <v>19.3</v>
      </c>
      <c r="L54" t="str" s="7">
        <f>IF(I54="","",I54-K54)</f>
        <v/>
      </c>
      <c r="M54" s="19">
        <f>IF(J54="","",J54-K54)</f>
        <v>-5.200000000000001</v>
      </c>
      <c r="N54" t="s" s="6">
        <v>108</v>
      </c>
      <c r="O54" s="6"/>
    </row>
    <row r="55">
      <c r="B55" t="s">
        <v>74</v>
      </c>
      <c r="C55" s="7"/>
      <c r="D55" s="7"/>
      <c r="E55" s="20">
        <v>9.4</v>
      </c>
      <c r="F55" s="20">
        <v>9.4</v>
      </c>
      <c r="G55" t="str" s="7">
        <f>IF(C55="","",C55-E55)</f>
        <v/>
      </c>
      <c r="H55" t="str" s="7">
        <f>IF(D55="","",D55-E55)</f>
        <v/>
      </c>
      <c r="I55" s="7"/>
      <c r="J55" s="7"/>
      <c r="K55" s="20">
        <v>9.6</v>
      </c>
      <c r="L55" t="str" s="7">
        <f>IF(I55="","",I55-K55)</f>
        <v/>
      </c>
      <c r="M55" t="str" s="7">
        <f>IF(J55="","",J55-K55)</f>
        <v/>
      </c>
      <c r="N55" t="s" s="6">
        <v>109</v>
      </c>
      <c r="O55" s="6"/>
    </row>
    <row r="56">
      <c r="B56" t="s">
        <v>75</v>
      </c>
      <c r="C56" s="20">
        <v>1143.9</v>
      </c>
      <c r="D56" s="7"/>
      <c r="E56" s="20">
        <v>1143.9</v>
      </c>
      <c r="F56" s="20">
        <v>1143.9</v>
      </c>
      <c r="G56" s="19">
        <f>IF(C56="","",C56-E56)</f>
        <v>0</v>
      </c>
      <c r="H56" t="str" s="7">
        <f>IF(D56="","",D56-E56)</f>
        <v/>
      </c>
      <c r="I56" s="20">
        <v>1144.3</v>
      </c>
      <c r="J56" s="7"/>
      <c r="K56" s="20">
        <v>1144.3</v>
      </c>
      <c r="L56" s="19">
        <f>IF(I56="","",I56-K56)</f>
        <v>0</v>
      </c>
      <c r="M56" t="str" s="7">
        <f>IF(J56="","",J56-K56)</f>
        <v/>
      </c>
      <c r="N56" s="6"/>
      <c r="O56" s="6"/>
    </row>
    <row r="57">
      <c r="B57" t="s">
        <v>76</v>
      </c>
      <c r="C57" s="20">
        <v>420</v>
      </c>
      <c r="D57" s="7"/>
      <c r="E57" s="20">
        <v>420</v>
      </c>
      <c r="F57" s="20">
        <v>420</v>
      </c>
      <c r="G57" s="19">
        <f>IF(C57="","",C57-E57)</f>
        <v>0</v>
      </c>
      <c r="H57" t="str" s="7">
        <f>IF(D57="","",D57-E57)</f>
        <v/>
      </c>
      <c r="I57" s="20">
        <v>485</v>
      </c>
      <c r="J57" s="7"/>
      <c r="K57" s="20">
        <v>485</v>
      </c>
      <c r="L57" s="19">
        <f>IF(I57="","",I57-K57)</f>
        <v>0</v>
      </c>
      <c r="M57" t="str" s="7">
        <f>IF(J57="","",J57-K57)</f>
        <v/>
      </c>
      <c r="N57" s="6"/>
      <c r="O57" s="6"/>
    </row>
    <row r="58">
      <c r="B58" t="s">
        <v>77</v>
      </c>
      <c r="C58" s="7"/>
      <c r="D58" s="7"/>
      <c r="E58" s="20">
        <v>9</v>
      </c>
      <c r="F58" s="20">
        <v>9</v>
      </c>
      <c r="G58" t="str" s="7">
        <f>IF(C58="","",C58-E58)</f>
        <v/>
      </c>
      <c r="H58" t="str" s="7">
        <f>IF(D58="","",D58-E58)</f>
        <v/>
      </c>
      <c r="I58" s="7"/>
      <c r="J58" s="7"/>
      <c r="K58" s="20">
        <v>9</v>
      </c>
      <c r="L58" t="str" s="7">
        <f>IF(I58="","",I58-K58)</f>
        <v/>
      </c>
      <c r="M58" t="str" s="7">
        <f>IF(J58="","",J58-K58)</f>
        <v/>
      </c>
      <c r="N58" s="6"/>
      <c r="O58" s="6"/>
    </row>
    <row r="59">
      <c r="B59" t="s">
        <v>78</v>
      </c>
      <c r="C59" s="7"/>
      <c r="D59" s="7"/>
      <c r="E59" s="20">
        <v>6.5</v>
      </c>
      <c r="F59" s="20">
        <v>6.5</v>
      </c>
      <c r="G59" t="str" s="7">
        <f>IF(C59="","",C59-E59)</f>
        <v/>
      </c>
      <c r="H59" t="str" s="7">
        <f>IF(D59="","",D59-E59)</f>
        <v/>
      </c>
      <c r="I59" s="7"/>
      <c r="J59" s="7"/>
      <c r="K59" s="20">
        <v>6.7</v>
      </c>
      <c r="L59" t="str" s="7">
        <f>IF(I59="","",I59-K59)</f>
        <v/>
      </c>
      <c r="M59" t="str" s="7">
        <f>IF(J59="","",J59-K59)</f>
        <v/>
      </c>
      <c r="N59" s="6"/>
      <c r="O59" s="6"/>
    </row>
    <row r="60">
      <c r="B60" t="s" s="13">
        <v>79</v>
      </c>
      <c r="C60" s="25">
        <v>1714.9</v>
      </c>
      <c r="D60" s="14"/>
      <c r="E60" s="25">
        <v>1714.9</v>
      </c>
      <c r="F60" s="25">
        <v>1714.9</v>
      </c>
      <c r="G60" s="21">
        <f>IF(C60="","",C60-E60)</f>
        <v>0</v>
      </c>
      <c r="H60" t="str" s="14">
        <f>IF(D60="","",D60-E60)</f>
        <v/>
      </c>
      <c r="I60" s="25">
        <v>1787</v>
      </c>
      <c r="J60" s="14"/>
      <c r="K60" s="25">
        <v>1787</v>
      </c>
      <c r="L60" s="21">
        <f>IF(I60="","",I60-K60)</f>
        <v>0</v>
      </c>
      <c r="M60" t="str" s="14">
        <f>IF(J60="","",J60-K60)</f>
        <v/>
      </c>
      <c r="N60" s="43"/>
      <c r="O60" s="43"/>
    </row>
    <row r="61">
      <c r="B61" t="s">
        <v>80</v>
      </c>
      <c r="C61" s="20">
        <v>485.7</v>
      </c>
      <c r="D61" s="7"/>
      <c r="E61" s="20">
        <v>485.7</v>
      </c>
      <c r="F61" s="20">
        <v>485.7</v>
      </c>
      <c r="G61" s="19">
        <f>IF(C61="","",C61-E61)</f>
        <v>0</v>
      </c>
      <c r="H61" t="str" s="7">
        <f>IF(D61="","",D61-E61)</f>
        <v/>
      </c>
      <c r="I61" s="20">
        <v>466.7</v>
      </c>
      <c r="J61" s="7"/>
      <c r="K61" s="20">
        <v>466.7</v>
      </c>
      <c r="L61" s="19">
        <f>IF(I61="","",I61-K61)</f>
        <v>0</v>
      </c>
      <c r="M61" t="str" s="7">
        <f>IF(J61="","",J61-K61)</f>
        <v/>
      </c>
      <c r="N61" s="6"/>
      <c r="O61" s="6"/>
    </row>
    <row r="62">
      <c r="N62" s="6"/>
      <c r="O62" s="6"/>
    </row>
    <row r="63">
      <c r="N63" s="6"/>
      <c r="O63" s="6"/>
    </row>
    <row r="64">
      <c r="B64" t="s" s="9">
        <v>81</v>
      </c>
      <c r="C64" s="9"/>
      <c r="D64" s="9"/>
      <c r="E64" s="9"/>
      <c r="F64" s="9"/>
      <c r="G64" s="9"/>
      <c r="H64" s="9"/>
      <c r="I64" s="9"/>
      <c r="J64" s="9"/>
      <c r="K64" s="9"/>
      <c r="L64" s="9"/>
      <c r="M64" s="9"/>
      <c r="N64" s="17"/>
      <c r="O64" s="17"/>
    </row>
    <row r="65">
      <c r="B65" t="s" s="11">
        <v>4</v>
      </c>
      <c r="C65" t="s" s="12">
        <v>87</v>
      </c>
      <c r="D65" t="s" s="12">
        <v>89</v>
      </c>
      <c r="E65" t="s" s="12">
        <v>90</v>
      </c>
      <c r="F65" t="s" s="12">
        <v>115</v>
      </c>
      <c r="G65" t="s" s="12">
        <v>94</v>
      </c>
      <c r="H65" t="s" s="12">
        <v>96</v>
      </c>
      <c r="I65" t="s" s="12">
        <v>98</v>
      </c>
      <c r="J65" s="12"/>
      <c r="K65" s="12"/>
      <c r="L65" s="12"/>
      <c r="M65" s="12"/>
      <c r="N65" t="s" s="24">
        <v>42</v>
      </c>
      <c r="O65" t="s" s="24">
        <v>54</v>
      </c>
    </row>
    <row r="66">
      <c r="B66" t="s">
        <v>9</v>
      </c>
      <c r="C66" s="20">
        <v>412</v>
      </c>
      <c r="D66" s="20">
        <v>113</v>
      </c>
      <c r="E66" s="20">
        <v>113</v>
      </c>
      <c r="F66" s="20">
        <v>94.15</v>
      </c>
      <c r="G66" s="19">
        <f>C66+D66-F66</f>
        <v>430.85</v>
      </c>
      <c r="H66" s="20">
        <v>430.8</v>
      </c>
      <c r="I66" s="19">
        <f>H66-G66</f>
        <v>-0.05000000000001137</v>
      </c>
      <c r="N66" t="s" s="6">
        <v>110</v>
      </c>
      <c r="O66" t="s" s="6">
        <v>114</v>
      </c>
    </row>
    <row r="67">
      <c r="B67" t="s">
        <v>13</v>
      </c>
      <c r="C67" s="20">
        <v>246.6</v>
      </c>
      <c r="D67" s="20">
        <v>67.5</v>
      </c>
      <c r="E67" s="20">
        <v>67.5</v>
      </c>
      <c r="F67" s="20">
        <v>56.55</v>
      </c>
      <c r="G67" s="19">
        <f>C67+D67-F67</f>
        <v>257.55</v>
      </c>
      <c r="H67" s="20">
        <v>257.6</v>
      </c>
      <c r="I67" s="19">
        <f>H67-G67</f>
        <v>0.05000000000001137</v>
      </c>
      <c r="N67" s="6"/>
      <c r="O67" s="6"/>
    </row>
    <row r="68">
      <c r="B68" t="s">
        <v>14</v>
      </c>
      <c r="C68" s="20">
        <v>-33.8</v>
      </c>
      <c r="D68" s="20">
        <v>-9.3</v>
      </c>
      <c r="E68" s="20">
        <v>-9.3</v>
      </c>
      <c r="F68" s="20">
        <v>-8.28</v>
      </c>
      <c r="G68" s="19">
        <f>C68+D68-F68</f>
        <v>-34.81999999999999</v>
      </c>
      <c r="H68" s="20">
        <v>-34.8</v>
      </c>
      <c r="I68" s="19">
        <f>H68-G68</f>
        <v>0.01999999999999602</v>
      </c>
      <c r="N68" s="6"/>
      <c r="O68" s="6"/>
    </row>
    <row r="69">
      <c r="B69" t="s">
        <v>82</v>
      </c>
      <c r="C69" s="20">
        <v>11.2</v>
      </c>
      <c r="D69" s="20">
        <v>3.8</v>
      </c>
      <c r="E69" s="20">
        <v>4.3</v>
      </c>
      <c r="F69" s="20">
        <v>2.13</v>
      </c>
      <c r="G69" s="19">
        <f>C69+D69-F69</f>
        <v>12.870000000000001</v>
      </c>
      <c r="H69" s="7"/>
      <c r="I69" s="7"/>
      <c r="N69" t="s" s="6">
        <v>111</v>
      </c>
      <c r="O69" s="6"/>
    </row>
    <row r="70">
      <c r="B70" t="s" s="13">
        <v>83</v>
      </c>
      <c r="C70" s="21">
        <f>SUM(C67:C69)</f>
        <v>224</v>
      </c>
      <c r="D70" s="21">
        <f>SUM(D67:D69)</f>
        <v>62</v>
      </c>
      <c r="E70" s="21">
        <f>SUM(E67:E69)</f>
        <v>62.5</v>
      </c>
      <c r="F70" s="21">
        <f>SUM(F67:F69)</f>
        <v>50.4</v>
      </c>
      <c r="G70" s="21">
        <f>SUM(G67:G69)</f>
        <v>235.60000000000002</v>
      </c>
      <c r="H70" s="25">
        <v>235.6</v>
      </c>
      <c r="I70" s="21">
        <f>H70-G70</f>
        <v>0</v>
      </c>
      <c r="J70" s="13"/>
      <c r="K70" s="13"/>
      <c r="L70" s="13"/>
      <c r="M70" s="13"/>
      <c r="N70" t="s" s="43">
        <v>112</v>
      </c>
      <c r="O70" s="43"/>
    </row>
    <row r="71">
      <c r="B71" t="s">
        <v>84</v>
      </c>
      <c r="C71" s="20">
        <v>224</v>
      </c>
      <c r="D71" s="20">
        <v>62</v>
      </c>
      <c r="E71" s="20">
        <v>62</v>
      </c>
      <c r="F71" s="20">
        <v>50.4</v>
      </c>
      <c r="G71" s="7"/>
      <c r="H71" s="7"/>
      <c r="I71" s="7"/>
      <c r="N71" s="6"/>
      <c r="O71" s="6"/>
    </row>
    <row r="72">
      <c r="B72" t="s">
        <v>85</v>
      </c>
      <c r="C72" s="19">
        <f>C70-C71</f>
        <v>0</v>
      </c>
      <c r="D72" s="19">
        <f>D70-D71</f>
        <v>0</v>
      </c>
      <c r="E72" s="19">
        <f>E70-E71</f>
        <v>0.5</v>
      </c>
      <c r="F72" s="19">
        <f>F70-F71</f>
        <v>0</v>
      </c>
      <c r="G72" s="7"/>
      <c r="H72" s="7"/>
      <c r="I72" s="7"/>
      <c r="N72" s="6"/>
      <c r="O72" s="6"/>
    </row>
  </sheetData>
  <mergeCells count="2">
    <mergeCell ref="B3:O3"/>
    <mergeCell ref="B4:O4"/>
  </mergeCells>
  <pageMargins left="0.7" right="0.7" top="0.75" bottom="0.75" header="0.3" footer="0.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33"/>
  <sheetViews>
    <sheetView showGridLines="0" workbookViewId="0">
      <selection activeCell="A1" sqref="A1"/>
    </sheetView>
  </sheetViews>
  <cols>
    <col min="1" max="1" width="2.359375" customWidth="1"/>
    <col min="2" max="2" width="66.07421875" customWidth="1"/>
    <col min="3" max="5" width="14.07421875" customWidth="1"/>
    <col min="6" max="6" width="23.50390625" customWidth="1"/>
    <col min="7" max="7" width="92.07421875" customWidth="1"/>
    <col min="8" max="8" width="47.21875" customWidth="1"/>
  </cols>
  <sheetData>
    <row r="2">
      <c r="B2" t="s" s="2">
        <v>922</v>
      </c>
    </row>
    <row r="3" ht="58" customHeight="1">
      <c r="B3" t="s" s="4">
        <v>923</v>
      </c>
      <c r="C3" s="3"/>
      <c r="D3" s="3"/>
      <c r="E3" s="3"/>
      <c r="F3" s="3"/>
      <c r="G3" s="3"/>
      <c r="H3" s="3"/>
    </row>
    <row r="4" ht="28" customHeight="1">
      <c r="B4" t="s" s="6">
        <v>924</v>
      </c>
      <c r="C4" s="3"/>
      <c r="D4" s="3"/>
      <c r="E4" s="3"/>
      <c r="F4" s="3"/>
      <c r="G4" s="3"/>
      <c r="H4" s="3"/>
    </row>
    <row r="6">
      <c r="B6" t="s" s="52">
        <v>301</v>
      </c>
      <c r="C6" t="s" s="53">
        <v>36</v>
      </c>
      <c r="D6" t="s" s="53">
        <v>322</v>
      </c>
      <c r="E6" s="53"/>
      <c r="F6" t="s" s="53">
        <v>606</v>
      </c>
      <c r="G6" t="s" s="53">
        <v>951</v>
      </c>
      <c r="H6" t="s" s="53">
        <v>54</v>
      </c>
    </row>
    <row r="7">
      <c r="B7" t="s" s="3">
        <v>925</v>
      </c>
      <c r="C7" s="61">
        <v>224</v>
      </c>
      <c r="D7" s="61">
        <v>235.6</v>
      </c>
      <c r="E7" s="19"/>
      <c r="F7" t="s" s="26">
        <v>947</v>
      </c>
      <c r="G7" t="s" s="6">
        <v>952</v>
      </c>
      <c r="H7" t="s" s="6">
        <v>965</v>
      </c>
    </row>
    <row r="8" ht="16" customHeight="1">
      <c r="B8" t="s" s="36">
        <v>926</v>
      </c>
      <c r="C8" s="57"/>
      <c r="D8" s="57"/>
      <c r="E8" s="57"/>
      <c r="F8" s="58"/>
      <c r="G8" s="36"/>
      <c r="H8" s="36"/>
    </row>
    <row r="9">
      <c r="B9" t="s" s="3">
        <v>325</v>
      </c>
      <c r="C9" s="61">
        <v>-3.2</v>
      </c>
      <c r="D9" s="19"/>
      <c r="E9" s="19"/>
      <c r="F9" t="s" s="26">
        <v>947</v>
      </c>
      <c r="G9" t="s" s="6">
        <v>953</v>
      </c>
      <c r="H9" t="s" s="6">
        <v>965</v>
      </c>
    </row>
    <row r="10">
      <c r="B10" t="s" s="3">
        <v>927</v>
      </c>
      <c r="C10" s="61">
        <v>-2.2</v>
      </c>
      <c r="D10" s="19"/>
      <c r="E10" s="19"/>
      <c r="F10" t="s" s="26">
        <v>947</v>
      </c>
      <c r="G10" t="s" s="6">
        <v>954</v>
      </c>
      <c r="H10" t="s" s="6">
        <v>965</v>
      </c>
    </row>
    <row r="11">
      <c r="B11" t="s" s="3">
        <v>928</v>
      </c>
      <c r="C11" s="61">
        <v>-2.9</v>
      </c>
      <c r="D11" s="19"/>
      <c r="E11" s="19"/>
      <c r="F11" t="s" s="26">
        <v>947</v>
      </c>
      <c r="G11" t="s" s="6">
        <v>955</v>
      </c>
      <c r="H11" t="s" s="6">
        <v>965</v>
      </c>
    </row>
    <row r="12">
      <c r="B12" t="s" s="3">
        <v>929</v>
      </c>
      <c r="C12" s="61">
        <v>-0.6</v>
      </c>
      <c r="D12" s="19"/>
      <c r="E12" s="19"/>
      <c r="F12" t="s" s="26">
        <v>947</v>
      </c>
      <c r="G12" t="s" s="6">
        <v>956</v>
      </c>
      <c r="H12" t="s" s="6">
        <v>965</v>
      </c>
    </row>
    <row r="13" ht="25.5" customHeight="1">
      <c r="B13" t="s" s="59">
        <v>930</v>
      </c>
      <c r="C13" s="60">
        <f>SUM(C9:C12)</f>
        <v>-8.9</v>
      </c>
      <c r="D13" s="60">
        <f>D14-D7</f>
        <v>-8.900000000000006</v>
      </c>
      <c r="E13" s="60"/>
      <c r="F13" t="s" s="26">
        <v>948</v>
      </c>
      <c r="G13" t="s" s="6">
        <v>957</v>
      </c>
      <c r="H13" s="6"/>
    </row>
    <row r="14">
      <c r="B14" t="s" s="59">
        <v>931</v>
      </c>
      <c r="C14" s="62">
        <v>215.1</v>
      </c>
      <c r="D14" s="62">
        <v>226.7</v>
      </c>
      <c r="E14" s="60"/>
      <c r="F14" t="s" s="26">
        <v>947</v>
      </c>
      <c r="G14" t="s" s="6">
        <v>958</v>
      </c>
      <c r="H14" t="s" s="6">
        <v>965</v>
      </c>
    </row>
    <row r="15" ht="25.5" customHeight="1">
      <c r="B15" t="s" s="5">
        <v>932</v>
      </c>
      <c r="C15" s="51">
        <f>C7+C13-C14</f>
        <v>0</v>
      </c>
      <c r="D15" s="51">
        <f>D7+D13-D14</f>
        <v>0</v>
      </c>
      <c r="E15" s="19"/>
      <c r="F15" t="s" s="26">
        <v>949</v>
      </c>
      <c r="G15" t="s" s="6">
        <v>959</v>
      </c>
      <c r="H15" s="6"/>
    </row>
    <row r="16" ht="16" customHeight="1">
      <c r="B16" t="s" s="36">
        <v>933</v>
      </c>
      <c r="C16" s="57"/>
      <c r="D16" s="57"/>
      <c r="E16" s="57"/>
      <c r="F16" s="58"/>
      <c r="G16" s="36"/>
      <c r="H16" s="36"/>
    </row>
    <row r="17" ht="25.5" customHeight="1">
      <c r="B17" t="s" s="3">
        <v>934</v>
      </c>
      <c r="C17" s="18">
        <f>'Revenue Quality'!E25</f>
        <v>-8.180651999999995</v>
      </c>
      <c r="D17" s="19">
        <f>F33</f>
        <v>-8.82383390308788</v>
      </c>
      <c r="E17" s="19"/>
      <c r="F17" t="s" s="26">
        <v>607</v>
      </c>
      <c r="G17" t="s" s="6">
        <v>960</v>
      </c>
      <c r="H17" t="s" s="6">
        <v>376</v>
      </c>
    </row>
    <row r="18">
      <c r="B18" t="s" s="59">
        <v>328</v>
      </c>
      <c r="C18" s="60">
        <f>C14+C17</f>
        <v>206.919348</v>
      </c>
      <c r="D18" s="60">
        <f>D14+D17</f>
        <v>217.8761660969121</v>
      </c>
      <c r="E18" s="60"/>
      <c r="F18" s="26"/>
      <c r="G18" s="6"/>
      <c r="H18" s="6"/>
    </row>
    <row r="19" ht="25.5" customHeight="1">
      <c r="B19" t="s" s="3">
        <v>935</v>
      </c>
      <c r="C19" s="61">
        <v>-8.4</v>
      </c>
      <c r="D19" s="61">
        <v>-8.5</v>
      </c>
      <c r="E19" s="19"/>
      <c r="F19" t="s" s="26">
        <v>947</v>
      </c>
      <c r="G19" t="s" s="6">
        <v>961</v>
      </c>
      <c r="H19" t="s" s="6">
        <v>966</v>
      </c>
    </row>
    <row r="20">
      <c r="B20" t="s" s="59">
        <v>936</v>
      </c>
      <c r="C20" s="60">
        <f>C18+C19</f>
        <v>198.519348</v>
      </c>
      <c r="D20" s="60">
        <f>D18+D19</f>
        <v>209.3761660969121</v>
      </c>
      <c r="E20" s="60"/>
      <c r="F20" s="26"/>
      <c r="G20" s="6"/>
      <c r="H20" s="6"/>
    </row>
    <row r="21">
      <c r="B21" s="3"/>
      <c r="C21" s="19"/>
      <c r="D21" s="19"/>
      <c r="E21" s="19"/>
      <c r="F21" s="26"/>
      <c r="G21" s="6"/>
      <c r="H21" s="6"/>
    </row>
    <row r="22" ht="16" customHeight="1">
      <c r="B22" t="s" s="36">
        <v>937</v>
      </c>
      <c r="C22" s="57"/>
      <c r="D22" s="57"/>
      <c r="E22" s="57"/>
      <c r="F22" s="58"/>
      <c r="G22" s="36"/>
      <c r="H22" s="36"/>
    </row>
    <row r="23">
      <c r="B23" t="s" s="3">
        <v>938</v>
      </c>
      <c r="C23" s="61">
        <v>206.7</v>
      </c>
      <c r="D23" s="61">
        <v>218.2</v>
      </c>
      <c r="E23" s="19"/>
      <c r="F23" t="s" s="26">
        <v>947</v>
      </c>
      <c r="G23" t="s" s="6">
        <v>962</v>
      </c>
      <c r="H23" t="s" s="6">
        <v>965</v>
      </c>
    </row>
    <row r="24">
      <c r="B24" t="s" s="5">
        <v>939</v>
      </c>
      <c r="C24" s="51">
        <f>C14+C19-C23</f>
        <v>0</v>
      </c>
      <c r="D24" s="51">
        <f>D14+D19-D23</f>
        <v>0</v>
      </c>
      <c r="E24" s="19"/>
      <c r="F24" t="s" s="26">
        <v>949</v>
      </c>
      <c r="G24" s="6"/>
      <c r="H24" s="6"/>
    </row>
    <row r="25">
      <c r="B25" t="s" s="5">
        <v>940</v>
      </c>
      <c r="C25" s="63">
        <f>C19-'Revenue Quality'!E13</f>
        <v>0</v>
      </c>
      <c r="D25" s="51"/>
      <c r="E25" s="19"/>
      <c r="F25" t="s" s="26">
        <v>949</v>
      </c>
      <c r="G25" s="6"/>
      <c r="H25" t="s" s="6">
        <v>967</v>
      </c>
    </row>
    <row r="26" ht="25.5" customHeight="1">
      <c r="B26" t="s" s="3">
        <v>941</v>
      </c>
      <c r="C26" s="18">
        <f>-'Revenue Quality'!N58</f>
        <v>-3.8691777731147443</v>
      </c>
      <c r="D26" s="18">
        <f>-'Revenue Quality'!N61</f>
        <v>-8.59784607798405</v>
      </c>
      <c r="E26" s="19"/>
      <c r="F26" t="s" s="26">
        <v>950</v>
      </c>
      <c r="G26" t="s" s="6">
        <v>963</v>
      </c>
      <c r="H26" t="s" s="6">
        <v>968</v>
      </c>
    </row>
    <row r="27">
      <c r="B27" t="s" s="3">
        <v>942</v>
      </c>
      <c r="C27" s="19">
        <f>C18+C26</f>
        <v>203.05017022688526</v>
      </c>
      <c r="D27" s="19">
        <f>D18+D26</f>
        <v>209.27832001892804</v>
      </c>
      <c r="E27" s="19"/>
      <c r="F27" t="s" s="26">
        <v>948</v>
      </c>
      <c r="G27" s="6"/>
      <c r="H27" s="6"/>
    </row>
    <row r="28">
      <c r="B28" s="3"/>
      <c r="C28" s="19"/>
      <c r="D28" s="19"/>
      <c r="E28" s="19"/>
      <c r="F28" s="26"/>
      <c r="G28" s="6"/>
      <c r="H28" s="6"/>
    </row>
    <row r="29" ht="16" customHeight="1">
      <c r="B29" t="s" s="36">
        <v>943</v>
      </c>
      <c r="C29" s="57"/>
      <c r="D29" s="57"/>
      <c r="E29" s="57"/>
      <c r="F29" s="58"/>
      <c r="G29" s="36"/>
      <c r="H29" s="36"/>
    </row>
    <row r="30">
      <c r="B30" t="s" s="52">
        <v>301</v>
      </c>
      <c r="C30" t="s" s="54">
        <v>36</v>
      </c>
      <c r="D30" t="s" s="54">
        <v>151</v>
      </c>
      <c r="E30" t="s" s="54">
        <v>196</v>
      </c>
      <c r="F30" t="s" s="55">
        <v>322</v>
      </c>
      <c r="G30" t="s" s="56">
        <v>365</v>
      </c>
      <c r="H30" t="s" s="56">
        <v>54</v>
      </c>
    </row>
    <row r="31">
      <c r="B31" t="s" s="3">
        <v>944</v>
      </c>
      <c r="C31" s="18">
        <f>'Revenue Quality'!E20</f>
        <v>84.2</v>
      </c>
      <c r="D31" s="18">
        <f>'Revenue Quality'!F20</f>
        <v>23.6</v>
      </c>
      <c r="E31" s="20">
        <v>16.98</v>
      </c>
      <c r="F31" s="41">
        <f>C31+D31-E31</f>
        <v>90.82000000000001</v>
      </c>
      <c r="G31" s="6"/>
      <c r="H31" t="s" s="6">
        <v>969</v>
      </c>
    </row>
    <row r="32">
      <c r="B32" t="s" s="3">
        <v>945</v>
      </c>
      <c r="C32" s="22">
        <f>'Revenue Quality'!E26</f>
        <v>0.09715738717339661</v>
      </c>
      <c r="D32" s="19"/>
      <c r="E32" s="19"/>
      <c r="F32" s="41"/>
      <c r="G32" s="6"/>
      <c r="H32" t="s" s="6">
        <v>970</v>
      </c>
    </row>
    <row r="33" ht="25.5" customHeight="1">
      <c r="B33" t="s" s="4">
        <v>946</v>
      </c>
      <c r="C33" s="64">
        <f>'Revenue Quality'!E25</f>
        <v>-8.180651999999995</v>
      </c>
      <c r="D33" s="47">
        <f>-$C$32*D31</f>
        <v>-2.29291433729216</v>
      </c>
      <c r="E33" s="47">
        <f>-$C$32*E31</f>
        <v>-1.6497324342042745</v>
      </c>
      <c r="F33" s="65">
        <f>C33+D33-E33</f>
        <v>-8.82383390308788</v>
      </c>
      <c r="G33" t="s" s="6">
        <v>964</v>
      </c>
      <c r="H33" s="6"/>
    </row>
  </sheetData>
  <mergeCells count="2">
    <mergeCell ref="B3:H3"/>
    <mergeCell ref="B4:H4"/>
  </mergeCells>
  <pageMargins left="0.7" right="0.7" top="0.75" bottom="0.75" header="0.3" footer="0.3"/>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P111"/>
  <sheetViews>
    <sheetView showGridLines="0" workbookViewId="0">
      <selection activeCell="A1" sqref="A1"/>
    </sheetView>
  </sheetViews>
  <cols>
    <col min="1" max="1" width="2.359375" customWidth="1"/>
    <col min="2" max="2" width="56.64453125" customWidth="1"/>
    <col min="3" max="3" width="25.9296875" customWidth="1"/>
    <col min="4" max="14" width="14.07421875" customWidth="1"/>
    <col min="15" max="15" width="73.21875" customWidth="1"/>
    <col min="16" max="16" width="51.9296875" customWidth="1"/>
  </cols>
  <sheetData>
    <row r="2">
      <c r="B2" t="s" s="2">
        <v>116</v>
      </c>
    </row>
    <row r="3" ht="72" customHeight="1">
      <c r="B3" t="s" s="4">
        <v>1015</v>
      </c>
      <c r="C3" s="3"/>
      <c r="D3" s="3"/>
      <c r="E3" s="3"/>
      <c r="F3" s="3"/>
      <c r="G3" s="3"/>
      <c r="H3" s="3"/>
      <c r="I3" s="3"/>
      <c r="J3" s="3"/>
      <c r="K3" s="3"/>
      <c r="L3" s="3"/>
      <c r="M3" s="3"/>
      <c r="N3" s="3"/>
      <c r="O3" s="3"/>
      <c r="P3" s="3"/>
    </row>
    <row r="4" ht="28" customHeight="1">
      <c r="B4" t="s" s="6">
        <v>118</v>
      </c>
      <c r="C4" s="3"/>
      <c r="D4" s="3"/>
      <c r="E4" s="3"/>
      <c r="F4" s="3"/>
      <c r="G4" s="3"/>
      <c r="H4" s="3"/>
      <c r="I4" s="3"/>
      <c r="J4" s="3"/>
      <c r="K4" s="3"/>
      <c r="L4" s="3"/>
      <c r="M4" s="3"/>
      <c r="N4" s="3"/>
      <c r="O4" s="3"/>
      <c r="P4" s="3"/>
    </row>
    <row r="6">
      <c r="B6" t="s" s="9">
        <v>119</v>
      </c>
      <c r="C6" s="9"/>
      <c r="D6" s="9"/>
      <c r="E6" s="9"/>
      <c r="F6" s="9"/>
      <c r="G6" s="9"/>
      <c r="H6" s="9"/>
      <c r="I6" s="9"/>
      <c r="J6" s="9"/>
      <c r="K6" s="9"/>
      <c r="L6" s="9"/>
      <c r="M6" s="9"/>
      <c r="N6" s="9"/>
      <c r="O6" s="9"/>
      <c r="P6" s="9"/>
    </row>
    <row r="7">
      <c r="B7" t="s" s="11">
        <v>120</v>
      </c>
      <c r="C7" t="s" s="12">
        <v>143</v>
      </c>
      <c r="D7" t="s" s="12">
        <v>146</v>
      </c>
      <c r="E7" t="s" s="12">
        <v>148</v>
      </c>
      <c r="F7" t="s" s="12">
        <v>150</v>
      </c>
      <c r="G7" t="s" s="12">
        <v>153</v>
      </c>
      <c r="H7" t="s" s="12">
        <v>159</v>
      </c>
      <c r="I7" t="s" s="12">
        <v>161</v>
      </c>
      <c r="J7" t="s" s="12">
        <v>163</v>
      </c>
      <c r="K7" t="s" s="12">
        <v>165</v>
      </c>
      <c r="L7" t="s" s="12">
        <v>167</v>
      </c>
      <c r="M7" t="s" s="12">
        <v>169</v>
      </c>
      <c r="N7" t="s" s="12">
        <v>171</v>
      </c>
      <c r="O7" t="s" s="12">
        <v>42</v>
      </c>
      <c r="P7" t="s" s="12">
        <v>54</v>
      </c>
    </row>
    <row r="8">
      <c r="B8" t="s">
        <v>5</v>
      </c>
      <c r="C8" s="20">
        <v>199.4</v>
      </c>
      <c r="D8" s="20">
        <v>246.9</v>
      </c>
      <c r="E8" s="20">
        <v>305</v>
      </c>
      <c r="F8" s="20">
        <v>82.9</v>
      </c>
      <c r="G8" s="20">
        <v>199.4</v>
      </c>
      <c r="H8" s="20">
        <v>246.9</v>
      </c>
      <c r="I8" s="20">
        <v>305</v>
      </c>
      <c r="J8" s="20">
        <v>82.9</v>
      </c>
      <c r="K8" s="19">
        <f>G8-C8</f>
        <v>0</v>
      </c>
      <c r="L8" s="19">
        <f>H8-D8</f>
        <v>0</v>
      </c>
      <c r="M8" s="19">
        <f>I8-E8</f>
        <v>0</v>
      </c>
      <c r="N8" s="19">
        <f>J8-F8</f>
        <v>0</v>
      </c>
      <c r="O8" t="s" s="6">
        <v>173</v>
      </c>
      <c r="P8" t="s" s="6">
        <v>176</v>
      </c>
    </row>
    <row r="9">
      <c r="B9" t="s">
        <v>6</v>
      </c>
      <c r="C9" s="20">
        <v>55.8</v>
      </c>
      <c r="D9" s="20">
        <v>68.7</v>
      </c>
      <c r="E9" s="20">
        <v>84.2</v>
      </c>
      <c r="F9" s="20">
        <v>23.6</v>
      </c>
      <c r="G9" s="20">
        <v>55.8</v>
      </c>
      <c r="H9" s="20">
        <v>68.7</v>
      </c>
      <c r="I9" s="20">
        <v>84.2</v>
      </c>
      <c r="J9" s="20">
        <v>23.6</v>
      </c>
      <c r="K9" s="19">
        <f>G9-C9</f>
        <v>0</v>
      </c>
      <c r="L9" s="19">
        <f>H9-D9</f>
        <v>0</v>
      </c>
      <c r="M9" s="19">
        <f>I9-E9</f>
        <v>0</v>
      </c>
      <c r="N9" s="19">
        <f>J9-F9</f>
        <v>0</v>
      </c>
      <c r="O9" s="6"/>
      <c r="P9" s="6"/>
    </row>
    <row r="10">
      <c r="B10" t="s">
        <v>7</v>
      </c>
      <c r="C10" s="20">
        <v>9.1</v>
      </c>
      <c r="D10" s="20">
        <v>11.9</v>
      </c>
      <c r="E10" s="20">
        <v>14.6</v>
      </c>
      <c r="F10" s="20">
        <v>4.1</v>
      </c>
      <c r="G10" s="20">
        <v>9.1</v>
      </c>
      <c r="H10" s="20">
        <v>11.9</v>
      </c>
      <c r="I10" s="20">
        <v>14.6</v>
      </c>
      <c r="J10" s="20">
        <v>4.1</v>
      </c>
      <c r="K10" s="19">
        <f>G10-C10</f>
        <v>0</v>
      </c>
      <c r="L10" s="19">
        <f>H10-D10</f>
        <v>0</v>
      </c>
      <c r="M10" s="19">
        <f>I10-E10</f>
        <v>0</v>
      </c>
      <c r="N10" s="19">
        <f>J10-F10</f>
        <v>0</v>
      </c>
      <c r="O10" s="6"/>
      <c r="P10" s="6"/>
    </row>
    <row r="11">
      <c r="B11" t="s">
        <v>8</v>
      </c>
      <c r="C11" s="20">
        <v>3.7</v>
      </c>
      <c r="D11" s="20">
        <v>4.5</v>
      </c>
      <c r="E11" s="20">
        <v>8.2</v>
      </c>
      <c r="F11" s="20">
        <v>2.4</v>
      </c>
      <c r="G11" s="20">
        <v>0</v>
      </c>
      <c r="H11" s="20">
        <v>0</v>
      </c>
      <c r="I11" s="20">
        <v>0</v>
      </c>
      <c r="J11" s="20">
        <v>0</v>
      </c>
      <c r="K11" s="19">
        <f>G11-C11</f>
        <v>-3.7</v>
      </c>
      <c r="L11" s="19">
        <f>H11-D11</f>
        <v>-4.5</v>
      </c>
      <c r="M11" s="19">
        <f>I11-E11</f>
        <v>-8.2</v>
      </c>
      <c r="N11" s="19">
        <f>J11-F11</f>
        <v>-2.4</v>
      </c>
      <c r="O11" t="s" s="6">
        <v>174</v>
      </c>
      <c r="P11" s="6"/>
    </row>
    <row r="12">
      <c r="B12" t="s" s="13">
        <v>9</v>
      </c>
      <c r="C12" s="21">
        <f>SUM(C8:C11)</f>
        <v>268</v>
      </c>
      <c r="D12" s="21">
        <f>SUM(D8:D11)</f>
        <v>332</v>
      </c>
      <c r="E12" s="21">
        <f>SUM(E8:E11)</f>
        <v>412</v>
      </c>
      <c r="F12" s="21">
        <f>SUM(F8:F11)</f>
        <v>113</v>
      </c>
      <c r="G12" s="21">
        <f>SUM(G8:G11)</f>
        <v>264.3</v>
      </c>
      <c r="H12" s="21">
        <f>SUM(H8:H11)</f>
        <v>327.5</v>
      </c>
      <c r="I12" s="21">
        <f>SUM(I8:I11)</f>
        <v>403.8</v>
      </c>
      <c r="J12" s="21">
        <f>SUM(J8:J11)</f>
        <v>110.6</v>
      </c>
      <c r="K12" s="21">
        <f>SUM(K8:K11)</f>
        <v>-3.7</v>
      </c>
      <c r="L12" s="21">
        <f>SUM(L8:L11)</f>
        <v>-4.5</v>
      </c>
      <c r="M12" s="21">
        <f>SUM(M8:M11)</f>
        <v>-8.2</v>
      </c>
      <c r="N12" s="21">
        <f>SUM(N8:N11)</f>
        <v>-2.4</v>
      </c>
      <c r="O12" s="16"/>
      <c r="P12" s="16"/>
    </row>
    <row r="13">
      <c r="B13" t="s">
        <v>121</v>
      </c>
      <c r="C13" s="20">
        <v>-6.1</v>
      </c>
      <c r="D13" s="20">
        <v>-7.2</v>
      </c>
      <c r="E13" s="20">
        <v>-8.4</v>
      </c>
      <c r="F13" s="20">
        <v>-2.2</v>
      </c>
      <c r="G13" s="7"/>
      <c r="H13" s="7"/>
      <c r="I13" s="7"/>
      <c r="J13" s="7"/>
      <c r="K13" s="7"/>
      <c r="L13" s="7"/>
      <c r="M13" s="7"/>
      <c r="N13" s="7"/>
      <c r="O13" s="6"/>
      <c r="P13" t="s" s="6">
        <v>177</v>
      </c>
    </row>
    <row r="14">
      <c r="B14" t="s">
        <v>122</v>
      </c>
      <c r="C14" s="19">
        <f>C8+C13</f>
        <v>193.3</v>
      </c>
      <c r="D14" s="19">
        <f>D8+D13</f>
        <v>239.70000000000002</v>
      </c>
      <c r="E14" s="19">
        <f>E8+E13</f>
        <v>296.6</v>
      </c>
      <c r="F14" s="19">
        <f>F8+F13</f>
        <v>80.7</v>
      </c>
      <c r="G14" s="7"/>
      <c r="H14" s="7"/>
      <c r="I14" s="7"/>
      <c r="J14" s="7"/>
      <c r="K14" s="7"/>
      <c r="L14" s="7"/>
      <c r="M14" s="7"/>
      <c r="N14" s="7"/>
      <c r="O14" s="6"/>
      <c r="P14" s="6"/>
    </row>
    <row r="15">
      <c r="B15" t="s">
        <v>123</v>
      </c>
      <c r="C15" s="19">
        <f>G8-C14</f>
        <v>6.099999999999994</v>
      </c>
      <c r="D15" s="19">
        <f>H8-D14</f>
        <v>7.199999999999989</v>
      </c>
      <c r="E15" s="19">
        <f>I8-E14</f>
        <v>8.399999999999977</v>
      </c>
      <c r="F15" s="19">
        <f>J8-F14</f>
        <v>2.200000000000003</v>
      </c>
      <c r="G15" s="7"/>
      <c r="H15" s="7"/>
      <c r="I15" s="7"/>
      <c r="J15" s="7"/>
      <c r="K15" s="7"/>
      <c r="L15" s="7"/>
      <c r="M15" s="7"/>
      <c r="N15" s="7"/>
      <c r="O15" t="s" s="6">
        <v>908</v>
      </c>
      <c r="P15" s="6"/>
    </row>
    <row r="16">
      <c r="O16" s="6"/>
      <c r="P16" s="6"/>
    </row>
    <row r="17">
      <c r="O17" s="6"/>
      <c r="P17" s="6"/>
    </row>
    <row r="18">
      <c r="B18" t="s" s="9">
        <v>124</v>
      </c>
      <c r="C18" s="9"/>
      <c r="D18" s="9"/>
      <c r="E18" s="9"/>
      <c r="F18" s="9"/>
      <c r="G18" s="9"/>
      <c r="H18" s="9"/>
      <c r="I18" s="9"/>
      <c r="J18" s="9"/>
      <c r="K18" s="9"/>
      <c r="L18" s="9"/>
      <c r="M18" s="9"/>
      <c r="N18" s="9"/>
      <c r="O18" s="17"/>
      <c r="P18" s="17"/>
    </row>
    <row r="19">
      <c r="B19" t="s" s="11">
        <v>4</v>
      </c>
      <c r="C19" t="s" s="12">
        <v>32</v>
      </c>
      <c r="D19" t="s" s="12">
        <v>34</v>
      </c>
      <c r="E19" t="s" s="12">
        <v>36</v>
      </c>
      <c r="F19" t="s" s="12">
        <v>151</v>
      </c>
      <c r="G19" s="12"/>
      <c r="H19" s="12"/>
      <c r="I19" s="12"/>
      <c r="J19" s="12"/>
      <c r="K19" s="12"/>
      <c r="L19" s="12"/>
      <c r="M19" s="12"/>
      <c r="N19" s="12"/>
      <c r="O19" s="24"/>
      <c r="P19" s="24"/>
    </row>
    <row r="20">
      <c r="B20" t="s">
        <v>125</v>
      </c>
      <c r="C20" s="19">
        <f>C9</f>
        <v>55.8</v>
      </c>
      <c r="D20" s="19">
        <f>D9</f>
        <v>68.7</v>
      </c>
      <c r="E20" s="19">
        <f>E9</f>
        <v>84.2</v>
      </c>
      <c r="F20" s="19">
        <f>F9</f>
        <v>23.6</v>
      </c>
      <c r="O20" t="s" s="6">
        <v>42</v>
      </c>
      <c r="P20" t="s" s="6">
        <v>878</v>
      </c>
    </row>
    <row r="21">
      <c r="B21" t="s">
        <v>126</v>
      </c>
      <c r="C21" t="s" s="7">
        <v>144</v>
      </c>
      <c r="D21" t="s" s="7">
        <v>144</v>
      </c>
      <c r="E21" s="20">
        <v>-84.2</v>
      </c>
      <c r="F21" s="20">
        <v>-23.6</v>
      </c>
      <c r="O21" t="s" s="6">
        <v>154</v>
      </c>
      <c r="P21" s="6"/>
    </row>
    <row r="22">
      <c r="B22" t="s">
        <v>127</v>
      </c>
      <c r="C22" s="7"/>
      <c r="D22" s="7"/>
      <c r="E22" s="19">
        <f>E20+E21</f>
        <v>0</v>
      </c>
      <c r="F22" s="19">
        <f>F20+F21</f>
        <v>0</v>
      </c>
      <c r="O22" s="6"/>
      <c r="P22" s="6"/>
    </row>
    <row r="23">
      <c r="B23" t="s">
        <v>128</v>
      </c>
      <c r="C23" s="19">
        <f>G9</f>
        <v>55.8</v>
      </c>
      <c r="D23" s="19">
        <f>H9</f>
        <v>68.7</v>
      </c>
      <c r="E23" s="19">
        <f>I9</f>
        <v>84.2</v>
      </c>
      <c r="F23" s="19">
        <f>J9</f>
        <v>23.6</v>
      </c>
      <c r="O23" t="s" s="6">
        <v>877</v>
      </c>
      <c r="P23" s="6"/>
    </row>
    <row r="24">
      <c r="B24" t="s">
        <v>129</v>
      </c>
      <c r="C24" s="7"/>
      <c r="D24" s="7"/>
      <c r="E24" s="20">
        <v>-92.380652</v>
      </c>
      <c r="F24" s="7"/>
      <c r="O24" t="s" s="6">
        <v>156</v>
      </c>
      <c r="P24" s="6"/>
    </row>
    <row r="25">
      <c r="B25" t="s" s="13">
        <v>130</v>
      </c>
      <c r="C25" s="14"/>
      <c r="D25" s="14"/>
      <c r="E25" s="21">
        <f>E20+E24</f>
        <v>-8.180651999999995</v>
      </c>
      <c r="F25" s="14"/>
      <c r="G25" s="13"/>
      <c r="H25" s="13"/>
      <c r="I25" s="13"/>
      <c r="J25" s="13"/>
      <c r="K25" s="13"/>
      <c r="L25" s="13"/>
      <c r="M25" s="13"/>
      <c r="N25" s="13"/>
      <c r="O25" s="16"/>
      <c r="P25" s="16"/>
    </row>
    <row r="26">
      <c r="B26" t="s">
        <v>131</v>
      </c>
      <c r="C26" s="7"/>
      <c r="D26" s="7"/>
      <c r="E26" s="23">
        <f>-E25/E20</f>
        <v>0.09715738717339661</v>
      </c>
      <c r="F26" s="7"/>
      <c r="O26" s="6"/>
      <c r="P26" s="6"/>
    </row>
    <row r="27">
      <c r="B27" t="s">
        <v>132</v>
      </c>
      <c r="C27" s="7"/>
      <c r="D27" s="7"/>
      <c r="E27" s="20">
        <v>1656.564494</v>
      </c>
      <c r="F27" s="7"/>
      <c r="O27" t="s" s="6">
        <v>157</v>
      </c>
      <c r="P27" s="6"/>
    </row>
    <row r="28">
      <c r="B28" t="s">
        <v>133</v>
      </c>
      <c r="C28" s="7"/>
      <c r="D28" s="7"/>
      <c r="E28" s="20">
        <v>1528.37420024</v>
      </c>
      <c r="F28" s="7"/>
      <c r="O28" s="6"/>
      <c r="P28" s="6"/>
    </row>
    <row r="29">
      <c r="B29" t="s">
        <v>134</v>
      </c>
      <c r="C29" s="7"/>
      <c r="D29" s="7"/>
      <c r="E29" s="19">
        <f>E27-E28</f>
        <v>128.19029376000003</v>
      </c>
      <c r="F29" s="7"/>
      <c r="O29" s="6"/>
      <c r="P29" s="6"/>
    </row>
    <row r="30">
      <c r="O30" s="6"/>
      <c r="P30" s="6"/>
    </row>
    <row r="31">
      <c r="B31" t="s" s="1">
        <v>135</v>
      </c>
      <c r="O31" s="6"/>
      <c r="P31" s="6"/>
    </row>
    <row r="32">
      <c r="B32" t="s" s="11">
        <v>4</v>
      </c>
      <c r="C32" t="s" s="12">
        <v>145</v>
      </c>
      <c r="D32" t="s" s="12">
        <v>147</v>
      </c>
      <c r="E32" t="s" s="12">
        <v>149</v>
      </c>
      <c r="F32" t="s" s="12">
        <v>152</v>
      </c>
      <c r="G32" t="s" s="12">
        <v>158</v>
      </c>
      <c r="H32" t="s" s="12">
        <v>160</v>
      </c>
      <c r="I32" t="s" s="12">
        <v>162</v>
      </c>
      <c r="J32" t="s" s="12">
        <v>164</v>
      </c>
      <c r="K32" t="s" s="12">
        <v>166</v>
      </c>
      <c r="L32" t="s" s="12">
        <v>168</v>
      </c>
      <c r="M32" t="s" s="12">
        <v>170</v>
      </c>
      <c r="N32" t="s" s="12">
        <v>172</v>
      </c>
      <c r="O32" t="s" s="42">
        <v>36</v>
      </c>
      <c r="P32" s="24"/>
    </row>
    <row r="33">
      <c r="B33" t="s">
        <v>136</v>
      </c>
      <c r="C33" s="20">
        <v>5.61</v>
      </c>
      <c r="D33" s="20">
        <v>5.47</v>
      </c>
      <c r="E33" s="20">
        <v>5.9</v>
      </c>
      <c r="F33" s="20">
        <v>6.46</v>
      </c>
      <c r="G33" s="20">
        <v>7.16</v>
      </c>
      <c r="H33" s="20">
        <v>8.56</v>
      </c>
      <c r="I33" s="20">
        <v>9.82</v>
      </c>
      <c r="J33" s="20">
        <v>9.54</v>
      </c>
      <c r="K33" s="20">
        <v>8</v>
      </c>
      <c r="L33" s="20">
        <v>6.6</v>
      </c>
      <c r="M33" s="20">
        <v>5.61</v>
      </c>
      <c r="N33" s="20">
        <v>5.47</v>
      </c>
      <c r="O33" s="41">
        <f>SUM(C33:N33)</f>
        <v>84.2</v>
      </c>
      <c r="P33" t="s" s="6">
        <v>178</v>
      </c>
    </row>
    <row r="34">
      <c r="B34" t="s">
        <v>137</v>
      </c>
      <c r="C34" s="20">
        <v>-5.61</v>
      </c>
      <c r="D34" s="20">
        <v>-5.47</v>
      </c>
      <c r="E34" s="20">
        <v>-5.9</v>
      </c>
      <c r="F34" s="20">
        <v>-6.46</v>
      </c>
      <c r="G34" s="20">
        <v>-7.16</v>
      </c>
      <c r="H34" s="20">
        <v>-8.56</v>
      </c>
      <c r="I34" s="20">
        <v>-9.82</v>
      </c>
      <c r="J34" s="20">
        <v>-9.54</v>
      </c>
      <c r="K34" s="20">
        <v>-8</v>
      </c>
      <c r="L34" s="20">
        <v>-6.6</v>
      </c>
      <c r="M34" s="20">
        <v>-5.61</v>
      </c>
      <c r="N34" s="20">
        <v>-5.47</v>
      </c>
      <c r="O34" s="41">
        <f>SUM(C34:N34)</f>
        <v>-84.2</v>
      </c>
      <c r="P34" s="6"/>
    </row>
    <row r="35">
      <c r="B35" t="s">
        <v>138</v>
      </c>
      <c r="C35" s="19">
        <f>C33+C34</f>
        <v>0</v>
      </c>
      <c r="D35" s="19">
        <f>D33+D34</f>
        <v>0</v>
      </c>
      <c r="E35" s="19">
        <f>E33+E34</f>
        <v>0</v>
      </c>
      <c r="F35" s="19">
        <f>F33+F34</f>
        <v>0</v>
      </c>
      <c r="G35" s="19">
        <f>G33+G34</f>
        <v>0</v>
      </c>
      <c r="H35" s="19">
        <f>H33+H34</f>
        <v>0</v>
      </c>
      <c r="I35" s="19">
        <f>I33+I34</f>
        <v>0</v>
      </c>
      <c r="J35" s="19">
        <f>J33+J34</f>
        <v>0</v>
      </c>
      <c r="K35" s="19">
        <f>K33+K34</f>
        <v>0</v>
      </c>
      <c r="L35" s="19">
        <f>L33+L34</f>
        <v>0</v>
      </c>
      <c r="M35" s="19">
        <f>M33+M34</f>
        <v>0</v>
      </c>
      <c r="N35" s="19">
        <f>N33+N34</f>
        <v>0</v>
      </c>
      <c r="O35" s="41">
        <f>SUM(C35:N35)</f>
        <v>0</v>
      </c>
      <c r="P35" s="6"/>
    </row>
    <row r="36">
      <c r="B36" t="s">
        <v>139</v>
      </c>
      <c r="C36" s="20">
        <v>6.8272</v>
      </c>
      <c r="D36" s="20">
        <v>6.874</v>
      </c>
      <c r="E36" s="20">
        <v>6.8905</v>
      </c>
      <c r="F36" s="20">
        <v>6.9007</v>
      </c>
      <c r="G36" s="20">
        <v>6.9512</v>
      </c>
      <c r="H36" s="20">
        <v>7.1666</v>
      </c>
      <c r="I36" s="20">
        <v>7.1951</v>
      </c>
      <c r="J36" s="20">
        <v>7.2341</v>
      </c>
      <c r="K36" s="20">
        <v>7.0661</v>
      </c>
      <c r="L36" s="20">
        <v>6.9873</v>
      </c>
      <c r="M36" s="20">
        <v>7.0338</v>
      </c>
      <c r="N36" s="20">
        <v>7.0733</v>
      </c>
      <c r="O36" s="41">
        <f>SUM(C36:N36)</f>
        <v>84.1999</v>
      </c>
      <c r="P36" s="6"/>
    </row>
    <row r="37">
      <c r="B37" t="s">
        <v>140</v>
      </c>
      <c r="C37" s="19">
        <f>C36-C33</f>
        <v>1.2172</v>
      </c>
      <c r="D37" s="19">
        <f>D36-D33</f>
        <v>1.404</v>
      </c>
      <c r="E37" s="19">
        <f>E36-E33</f>
        <v>0.9904999999999999</v>
      </c>
      <c r="F37" s="19">
        <f>F36-F33</f>
        <v>0.44069999999999965</v>
      </c>
      <c r="G37" s="19">
        <f>G36-G33</f>
        <v>-0.2088000000000001</v>
      </c>
      <c r="H37" s="19">
        <f>H36-H33</f>
        <v>-1.3934000000000006</v>
      </c>
      <c r="I37" s="19">
        <f>I36-I33</f>
        <v>-2.6249000000000002</v>
      </c>
      <c r="J37" s="19">
        <f>J36-J33</f>
        <v>-2.3058999999999994</v>
      </c>
      <c r="K37" s="19">
        <f>K36-K33</f>
        <v>-0.9339000000000004</v>
      </c>
      <c r="L37" s="19">
        <f>L36-L33</f>
        <v>0.38730000000000064</v>
      </c>
      <c r="M37" s="19">
        <f>M36-M33</f>
        <v>1.4238</v>
      </c>
      <c r="N37" s="19">
        <f>N36-N33</f>
        <v>1.6033</v>
      </c>
      <c r="O37" s="41">
        <f>SUM(C37:N37)</f>
        <v>-0.00010000000000065512</v>
      </c>
      <c r="P37" t="s" s="6">
        <v>179</v>
      </c>
    </row>
    <row r="38">
      <c r="B38" t="s">
        <v>141</v>
      </c>
      <c r="C38" s="20">
        <v>-7.065226</v>
      </c>
      <c r="D38" s="20">
        <v>-6.529874</v>
      </c>
      <c r="E38" s="20">
        <v>-7.324427</v>
      </c>
      <c r="F38" s="20">
        <v>-7.246965</v>
      </c>
      <c r="G38" s="20">
        <v>-7.787549</v>
      </c>
      <c r="H38" s="20">
        <v>-7.804222</v>
      </c>
      <c r="I38" s="20">
        <v>-8.145026</v>
      </c>
      <c r="J38" s="20">
        <v>-8.160158</v>
      </c>
      <c r="K38" s="20">
        <v>-7.974387</v>
      </c>
      <c r="L38" s="20">
        <v>-8.26227</v>
      </c>
      <c r="M38" s="20">
        <v>-7.917211</v>
      </c>
      <c r="N38" s="20">
        <v>-8.163333</v>
      </c>
      <c r="O38" s="41">
        <f>SUM(C38:N38)</f>
        <v>-92.380648</v>
      </c>
      <c r="P38" s="6"/>
    </row>
    <row r="39">
      <c r="B39" t="s">
        <v>142</v>
      </c>
      <c r="C39" s="19">
        <f>C33+C38</f>
        <v>-1.4552259999999997</v>
      </c>
      <c r="D39" s="19">
        <f>D33+D38</f>
        <v>-1.0598740000000006</v>
      </c>
      <c r="E39" s="19">
        <f>E33+E38</f>
        <v>-1.4244269999999997</v>
      </c>
      <c r="F39" s="19">
        <f>F33+F38</f>
        <v>-0.7869650000000004</v>
      </c>
      <c r="G39" s="19">
        <f>G33+G38</f>
        <v>-0.6275490000000001</v>
      </c>
      <c r="H39" s="19">
        <f>H33+H38</f>
        <v>0.7557780000000003</v>
      </c>
      <c r="I39" s="19">
        <f>I33+I38</f>
        <v>1.6749740000000006</v>
      </c>
      <c r="J39" s="19">
        <f>J33+J38</f>
        <v>1.379842</v>
      </c>
      <c r="K39" s="19">
        <f>K33+K38</f>
        <v>0.025612999999999886</v>
      </c>
      <c r="L39" s="19">
        <f>L33+L38</f>
        <v>-1.6622699999999995</v>
      </c>
      <c r="M39" s="19">
        <f>M33+M38</f>
        <v>-2.3072109999999997</v>
      </c>
      <c r="N39" s="19">
        <f>N33+N38</f>
        <v>-2.693333</v>
      </c>
      <c r="O39" s="41">
        <f>SUM(C39:N39)</f>
        <v>-8.180647999999998</v>
      </c>
      <c r="P39" t="s" s="6">
        <v>291</v>
      </c>
    </row>
    <row r="40">
      <c r="O40" s="6"/>
      <c r="P40" s="6"/>
    </row>
    <row r="41">
      <c r="O41" s="6"/>
      <c r="P41" s="6"/>
    </row>
    <row r="42">
      <c r="B42" t="s" s="9">
        <v>181</v>
      </c>
      <c r="C42" s="9"/>
      <c r="D42" s="9"/>
      <c r="E42" s="9"/>
      <c r="F42" s="9"/>
      <c r="G42" s="9"/>
      <c r="H42" s="9"/>
      <c r="I42" s="9"/>
      <c r="J42" s="9"/>
      <c r="K42" s="9"/>
      <c r="L42" s="9"/>
      <c r="M42" s="9"/>
      <c r="N42" s="9"/>
      <c r="O42" s="17"/>
      <c r="P42" s="17"/>
    </row>
    <row r="43">
      <c r="B43" t="s" s="11">
        <v>182</v>
      </c>
      <c r="C43" t="s" s="12">
        <v>235</v>
      </c>
      <c r="D43" t="s" s="12">
        <v>241</v>
      </c>
      <c r="E43" t="s" s="12">
        <v>898</v>
      </c>
      <c r="F43" t="s" s="12">
        <v>249</v>
      </c>
      <c r="G43" t="s" s="12">
        <v>253</v>
      </c>
      <c r="H43" t="s" s="12">
        <v>901</v>
      </c>
      <c r="I43" t="s" s="12">
        <v>261</v>
      </c>
      <c r="J43" t="s" s="12">
        <v>902</v>
      </c>
      <c r="K43" t="s" s="12">
        <v>267</v>
      </c>
      <c r="L43" t="s" s="12">
        <v>297</v>
      </c>
      <c r="M43" s="39">
        <v>4</v>
      </c>
      <c r="N43" s="12"/>
      <c r="O43" t="s" s="24">
        <v>42</v>
      </c>
      <c r="P43" t="s" s="24">
        <v>54</v>
      </c>
    </row>
    <row r="44">
      <c r="B44" t="s">
        <v>183</v>
      </c>
      <c r="C44" t="s">
        <v>236</v>
      </c>
      <c r="D44" s="20">
        <v>82.35</v>
      </c>
      <c r="E44" s="20">
        <v>85.996435</v>
      </c>
      <c r="F44" s="20">
        <v>85.996435</v>
      </c>
      <c r="G44" s="19">
        <f>E44-F44</f>
        <v>0</v>
      </c>
      <c r="H44" s="20">
        <v>22.523</v>
      </c>
      <c r="I44" s="19">
        <f>D44/$M$43</f>
        <v>20.5875</v>
      </c>
      <c r="J44" s="19">
        <f>H44-I44</f>
        <v>1.935500000000001</v>
      </c>
      <c r="K44" s="23">
        <f>J44/I44</f>
        <v>0.09401335761991506</v>
      </c>
      <c r="O44" t="s" s="6">
        <v>909</v>
      </c>
      <c r="P44" t="s" s="6">
        <v>292</v>
      </c>
    </row>
    <row r="45">
      <c r="B45" t="s">
        <v>184</v>
      </c>
      <c r="C45" t="s">
        <v>236</v>
      </c>
      <c r="D45" s="20">
        <v>54.9</v>
      </c>
      <c r="E45" s="20">
        <v>57.110541</v>
      </c>
      <c r="F45" s="20">
        <v>57.110541</v>
      </c>
      <c r="G45" s="19">
        <f>E45-F45</f>
        <v>0</v>
      </c>
      <c r="H45" s="20">
        <v>15.146</v>
      </c>
      <c r="I45" s="19">
        <f>D45/$M$43</f>
        <v>13.725</v>
      </c>
      <c r="J45" s="19">
        <f>H45-I45</f>
        <v>1.4210000000000012</v>
      </c>
      <c r="K45" s="23">
        <f>J45/I45</f>
        <v>0.10353369763205837</v>
      </c>
      <c r="O45" t="s" s="6">
        <v>910</v>
      </c>
      <c r="P45" s="6"/>
    </row>
    <row r="46">
      <c r="B46" t="s">
        <v>185</v>
      </c>
      <c r="C46" t="s">
        <v>236</v>
      </c>
      <c r="D46" s="20">
        <v>33.55</v>
      </c>
      <c r="E46" s="20">
        <v>37.066</v>
      </c>
      <c r="F46" s="20">
        <v>37.066</v>
      </c>
      <c r="G46" s="19">
        <f>E46-F46</f>
        <v>0</v>
      </c>
      <c r="H46" s="20">
        <v>9.191</v>
      </c>
      <c r="I46" s="19">
        <f>D46/$M$43</f>
        <v>8.3875</v>
      </c>
      <c r="J46" s="19">
        <f>H46-I46</f>
        <v>0.8035000000000014</v>
      </c>
      <c r="K46" s="23">
        <f>J46/I46</f>
        <v>0.09579731743666188</v>
      </c>
      <c r="O46" t="s" s="6">
        <v>271</v>
      </c>
      <c r="P46" s="6"/>
    </row>
    <row r="47">
      <c r="B47" t="s">
        <v>186</v>
      </c>
      <c r="C47" t="s">
        <v>237</v>
      </c>
      <c r="D47" s="20">
        <v>6.405</v>
      </c>
      <c r="E47" s="20">
        <v>6.688606</v>
      </c>
      <c r="F47" s="20">
        <v>6.688606</v>
      </c>
      <c r="G47" s="19">
        <f>E47-F47</f>
        <v>0</v>
      </c>
      <c r="H47" s="20">
        <v>1.762</v>
      </c>
      <c r="I47" s="19">
        <f>D47/$M$43</f>
        <v>1.60125</v>
      </c>
      <c r="J47" s="19">
        <f>H47-I47</f>
        <v>0.16074999999999995</v>
      </c>
      <c r="K47" s="23">
        <f>J47/I47</f>
        <v>0.10039032006245117</v>
      </c>
      <c r="O47" t="s" s="6">
        <v>911</v>
      </c>
      <c r="P47" s="6"/>
    </row>
    <row r="48">
      <c r="B48" t="s">
        <v>187</v>
      </c>
      <c r="C48" t="s">
        <v>237</v>
      </c>
      <c r="D48" s="20">
        <v>4.058593</v>
      </c>
      <c r="E48" s="20">
        <v>0.280199</v>
      </c>
      <c r="F48" s="20">
        <v>0.280199</v>
      </c>
      <c r="G48" s="19">
        <f>E48-F48</f>
        <v>0</v>
      </c>
      <c r="H48" s="20">
        <v>0.83</v>
      </c>
      <c r="I48" s="19">
        <f>D48/$M$43</f>
        <v>1.01464825</v>
      </c>
      <c r="J48" s="19">
        <f>H48-I48</f>
        <v>-0.18464825000000007</v>
      </c>
      <c r="K48" s="23">
        <f>J48/I48</f>
        <v>-0.18198252448570237</v>
      </c>
      <c r="O48" t="s" s="6">
        <v>1275</v>
      </c>
      <c r="P48" s="6"/>
    </row>
    <row r="49">
      <c r="B49" t="s">
        <v>188</v>
      </c>
      <c r="C49" t="s">
        <v>237</v>
      </c>
      <c r="D49" s="20">
        <v>3.64029</v>
      </c>
      <c r="E49" s="20">
        <v>2.902167</v>
      </c>
      <c r="F49" s="20">
        <v>2.902167</v>
      </c>
      <c r="G49" s="19">
        <f>E49-F49</f>
        <v>0</v>
      </c>
      <c r="H49" s="20">
        <v>0.986</v>
      </c>
      <c r="I49" s="19">
        <f>D49/$M$43</f>
        <v>0.9100725</v>
      </c>
      <c r="J49" s="19">
        <f>H49-I49</f>
        <v>0.07592750000000004</v>
      </c>
      <c r="K49" s="23">
        <f>J49/I49</f>
        <v>0.08343016627796142</v>
      </c>
      <c r="O49" t="s" s="6">
        <v>1276</v>
      </c>
      <c r="P49" s="6"/>
    </row>
    <row r="50">
      <c r="B50" t="s">
        <v>189</v>
      </c>
      <c r="C50" t="s">
        <v>237</v>
      </c>
      <c r="D50" s="20">
        <v>3.002277</v>
      </c>
      <c r="E50" s="20">
        <v>2.610203</v>
      </c>
      <c r="F50" s="20">
        <v>2.610203</v>
      </c>
      <c r="G50" s="19">
        <f>E50-F50</f>
        <v>0</v>
      </c>
      <c r="H50" s="20">
        <v>0.816</v>
      </c>
      <c r="I50" s="19">
        <f>D50/$M$43</f>
        <v>0.75056925</v>
      </c>
      <c r="J50" s="19">
        <f>H50-I50</f>
        <v>0.06543074999999998</v>
      </c>
      <c r="K50" s="23">
        <f>J50/I50</f>
        <v>0.0871748343007657</v>
      </c>
      <c r="O50" t="s" s="6">
        <v>1277</v>
      </c>
      <c r="P50" s="6"/>
    </row>
    <row r="51">
      <c r="B51" t="s">
        <v>190</v>
      </c>
      <c r="C51" t="s">
        <v>237</v>
      </c>
      <c r="D51" s="20">
        <v>2.673061</v>
      </c>
      <c r="E51" s="20">
        <v>2.150271</v>
      </c>
      <c r="F51" s="20">
        <v>2.150271</v>
      </c>
      <c r="G51" s="19">
        <f>E51-F51</f>
        <v>0</v>
      </c>
      <c r="H51" s="20">
        <v>0.733</v>
      </c>
      <c r="I51" s="19">
        <f>D51/$M$43</f>
        <v>0.66826525</v>
      </c>
      <c r="J51" s="19">
        <f>H51-I51</f>
        <v>0.06473474999999995</v>
      </c>
      <c r="K51" s="23">
        <f>J51/I51</f>
        <v>0.09686984322467755</v>
      </c>
      <c r="O51" t="s" s="6">
        <v>1278</v>
      </c>
      <c r="P51" s="6"/>
    </row>
    <row r="52">
      <c r="B52" t="s">
        <v>191</v>
      </c>
      <c r="C52" t="s">
        <v>237</v>
      </c>
      <c r="D52" s="20">
        <v>2.167605</v>
      </c>
      <c r="E52" s="20">
        <v>2.263588</v>
      </c>
      <c r="F52" s="20">
        <v>2.263588</v>
      </c>
      <c r="G52" s="19">
        <f>E52-F52</f>
        <v>0</v>
      </c>
      <c r="H52" s="20">
        <v>0.592</v>
      </c>
      <c r="I52" s="19">
        <f>D52/$M$43</f>
        <v>0.54190125</v>
      </c>
      <c r="J52" s="19">
        <f>H52-I52</f>
        <v>0.05009874999999997</v>
      </c>
      <c r="K52" s="23">
        <f>J52/I52</f>
        <v>0.09244996205489463</v>
      </c>
      <c r="O52" t="s" s="6">
        <v>911</v>
      </c>
      <c r="P52" s="6"/>
    </row>
    <row r="53">
      <c r="B53" t="s">
        <v>192</v>
      </c>
      <c r="C53" t="s">
        <v>237</v>
      </c>
      <c r="D53" s="20">
        <v>2.143898</v>
      </c>
      <c r="E53" s="20">
        <v>2.238823</v>
      </c>
      <c r="F53" s="20">
        <v>2.238823</v>
      </c>
      <c r="G53" s="19">
        <f>E53-F53</f>
        <v>0</v>
      </c>
      <c r="H53" s="20">
        <v>0.584</v>
      </c>
      <c r="I53" s="19">
        <f>D53/$M$43</f>
        <v>0.5359745</v>
      </c>
      <c r="J53" s="19">
        <f>H53-I53</f>
        <v>0.04802549999999994</v>
      </c>
      <c r="K53" s="23">
        <f>J53/I53</f>
        <v>0.08960407631333196</v>
      </c>
      <c r="O53" t="s" s="6">
        <v>1279</v>
      </c>
      <c r="P53" s="6"/>
    </row>
    <row r="54">
      <c r="B54" t="s" s="13">
        <v>193</v>
      </c>
      <c r="C54" s="13"/>
      <c r="D54" s="21">
        <f>SUM(D44:D53)</f>
        <v>194.890724</v>
      </c>
      <c r="E54" s="21">
        <f>SUM(E44:E53)</f>
        <v>199.306833</v>
      </c>
      <c r="F54" s="21">
        <f>SUM(F44:F53)</f>
        <v>199.306833</v>
      </c>
      <c r="G54" s="21">
        <f>SUM(G44:G53)</f>
        <v>0</v>
      </c>
      <c r="H54" s="21">
        <f>SUM(H44:H53)</f>
        <v>53.163</v>
      </c>
      <c r="I54" s="21">
        <f>SUM(I44:I53)</f>
        <v>48.722681</v>
      </c>
      <c r="J54" s="21">
        <f>SUM(J44:J53)</f>
        <v>4.440319000000002</v>
      </c>
      <c r="K54" s="29">
        <f>J54/I54</f>
        <v>0.09113453752678352</v>
      </c>
      <c r="L54" s="13"/>
      <c r="M54" s="13"/>
      <c r="N54" s="13"/>
      <c r="O54" s="16"/>
      <c r="P54" s="16"/>
    </row>
    <row r="55">
      <c r="O55" s="6"/>
      <c r="P55" s="6"/>
    </row>
    <row r="56">
      <c r="B56" t="s" s="1">
        <v>880</v>
      </c>
      <c r="O56" s="6"/>
      <c r="P56" s="6"/>
    </row>
    <row r="57">
      <c r="B57" t="s" s="11">
        <v>195</v>
      </c>
      <c r="C57" t="s" s="12">
        <v>238</v>
      </c>
      <c r="D57" t="s" s="12">
        <v>897</v>
      </c>
      <c r="E57" t="s" s="12">
        <v>246</v>
      </c>
      <c r="F57" t="s" s="12">
        <v>900</v>
      </c>
      <c r="G57" t="s" s="12">
        <v>254</v>
      </c>
      <c r="H57" t="s" s="12">
        <v>258</v>
      </c>
      <c r="I57" t="s" s="12">
        <v>262</v>
      </c>
      <c r="J57" t="s" s="12">
        <v>903</v>
      </c>
      <c r="K57" t="s" s="12">
        <v>904</v>
      </c>
      <c r="L57" t="s" s="12">
        <v>905</v>
      </c>
      <c r="M57" t="s" s="12">
        <v>906</v>
      </c>
      <c r="N57" t="s" s="12">
        <v>907</v>
      </c>
      <c r="O57" s="24"/>
      <c r="P57" s="24"/>
    </row>
    <row r="58">
      <c r="B58" t="s">
        <v>36</v>
      </c>
      <c r="C58" s="30">
        <v>139</v>
      </c>
      <c r="D58" s="20">
        <v>291.232163</v>
      </c>
      <c r="E58" s="20">
        <v>279.342165</v>
      </c>
      <c r="F58" s="19">
        <f>D58-E58</f>
        <v>11.889997999999991</v>
      </c>
      <c r="G58" s="23">
        <f>F58/E58</f>
        <v>0.042564279545839384</v>
      </c>
      <c r="H58" s="20">
        <v>7.342552</v>
      </c>
      <c r="I58" s="20">
        <v>4.547446</v>
      </c>
      <c r="J58" s="18">
        <f>E8</f>
        <v>305</v>
      </c>
      <c r="K58" s="23">
        <f>D58/J58</f>
        <v>0.9548595508196722</v>
      </c>
      <c r="L58" s="18">
        <f>-E13</f>
        <v>8.4</v>
      </c>
      <c r="M58" s="19">
        <f>L58*K58</f>
        <v>8.020820226885247</v>
      </c>
      <c r="N58" s="47">
        <f>F58-M58</f>
        <v>3.8691777731147443</v>
      </c>
      <c r="O58" t="s" s="6">
        <v>1280</v>
      </c>
      <c r="P58" t="s" s="6">
        <v>293</v>
      </c>
    </row>
    <row r="59">
      <c r="B59" t="s">
        <v>196</v>
      </c>
      <c r="C59" s="30">
        <v>139</v>
      </c>
      <c r="D59" s="20">
        <v>71.812118</v>
      </c>
      <c r="E59" s="20">
        <v>69.83554125</v>
      </c>
      <c r="F59" s="19">
        <f>D59-E59</f>
        <v>1.9765767499999924</v>
      </c>
      <c r="G59" s="23">
        <f>F59/E59</f>
        <v>0.02830330680654662</v>
      </c>
      <c r="H59" s="20">
        <v>1.326707</v>
      </c>
      <c r="I59" s="20">
        <v>0.64987</v>
      </c>
      <c r="J59" s="20">
        <v>73.987819</v>
      </c>
      <c r="K59" s="23">
        <f>D59/J59</f>
        <v>0.9705937946353034</v>
      </c>
      <c r="L59" s="19">
        <f>L58+L60-L61</f>
        <v>2.1000000000000014</v>
      </c>
      <c r="M59" s="19">
        <f>L59*K59</f>
        <v>2.0382469687341387</v>
      </c>
      <c r="N59" s="47">
        <f>F59-M59</f>
        <v>-0.06167021873414624</v>
      </c>
      <c r="O59" s="6"/>
      <c r="P59" s="6"/>
    </row>
    <row r="60">
      <c r="B60" t="s">
        <v>151</v>
      </c>
      <c r="C60" s="30">
        <v>149</v>
      </c>
      <c r="D60" s="20">
        <v>79.647156</v>
      </c>
      <c r="E60" s="20">
        <v>72.65141675</v>
      </c>
      <c r="F60" s="19">
        <f>D60-E60</f>
        <v>6.99573925</v>
      </c>
      <c r="G60" s="23">
        <f>F60/E60</f>
        <v>0.09629184898173372</v>
      </c>
      <c r="H60" s="20">
        <v>4.160116</v>
      </c>
      <c r="I60" s="20">
        <v>2.835623</v>
      </c>
      <c r="J60" s="18">
        <f>F8</f>
        <v>82.9</v>
      </c>
      <c r="K60" s="23">
        <f>D60/J60</f>
        <v>0.9607618335343786</v>
      </c>
      <c r="L60" s="18">
        <f>-F13</f>
        <v>2.2</v>
      </c>
      <c r="M60" s="19">
        <f>L60*K60</f>
        <v>2.1136760337756333</v>
      </c>
      <c r="N60" s="47">
        <f>F60-M60</f>
        <v>4.882063216224367</v>
      </c>
      <c r="O60" t="s" s="6">
        <v>913</v>
      </c>
      <c r="P60" s="6"/>
    </row>
    <row r="61">
      <c r="B61" t="s">
        <v>197</v>
      </c>
      <c r="C61" s="30">
        <v>143</v>
      </c>
      <c r="D61" s="20">
        <v>300.110272</v>
      </c>
      <c r="E61" s="20">
        <v>283.386149</v>
      </c>
      <c r="F61" s="19">
        <f>D61-E61</f>
        <v>16.72412300000002</v>
      </c>
      <c r="G61" s="23">
        <f>F61/E61</f>
        <v>0.05901531552976508</v>
      </c>
      <c r="H61" s="20">
        <v>10.175961</v>
      </c>
      <c r="I61" s="20">
        <v>6.548162</v>
      </c>
      <c r="J61" s="19">
        <f>J58+J60-J59</f>
        <v>313.912181</v>
      </c>
      <c r="K61" s="23">
        <f>D61/J61</f>
        <v>0.9560325790607024</v>
      </c>
      <c r="L61" s="18">
        <f>-'QoE Retest'!D19</f>
        <v>8.5</v>
      </c>
      <c r="M61" s="19">
        <f>L61*K61</f>
        <v>8.12627692201597</v>
      </c>
      <c r="N61" s="47">
        <f>F61-M61</f>
        <v>8.59784607798405</v>
      </c>
      <c r="O61" s="6"/>
      <c r="P61" t="s" s="6">
        <v>971</v>
      </c>
    </row>
    <row r="62">
      <c r="O62" s="6"/>
      <c r="P62" s="6"/>
    </row>
    <row r="63">
      <c r="B63" t="s" s="1">
        <v>1262</v>
      </c>
      <c r="O63" s="6"/>
      <c r="P63" s="6"/>
    </row>
    <row r="64">
      <c r="B64" t="s" s="11">
        <v>1263</v>
      </c>
      <c r="C64" t="s" s="12">
        <v>1265</v>
      </c>
      <c r="D64" t="s" s="12">
        <v>1266</v>
      </c>
      <c r="E64" t="s" s="12">
        <v>1267</v>
      </c>
      <c r="F64" t="s" s="12">
        <v>247</v>
      </c>
      <c r="G64" t="s" s="12">
        <v>1268</v>
      </c>
      <c r="H64" t="s" s="12">
        <v>1269</v>
      </c>
      <c r="I64" t="s" s="12">
        <v>1270</v>
      </c>
      <c r="J64" t="s" s="12">
        <v>1271</v>
      </c>
      <c r="K64" t="s" s="12">
        <v>1272</v>
      </c>
      <c r="L64" s="12"/>
      <c r="M64" s="12"/>
      <c r="N64" s="12"/>
      <c r="O64" t="s" s="24">
        <v>280</v>
      </c>
      <c r="P64" t="s" s="24">
        <v>54</v>
      </c>
    </row>
    <row r="65">
      <c r="B65" t="s" s="48">
        <v>1264</v>
      </c>
      <c r="C65" s="90">
        <v>12</v>
      </c>
      <c r="D65" s="90">
        <v>6</v>
      </c>
      <c r="E65" s="90">
        <v>1459904.41</v>
      </c>
      <c r="F65" s="90">
        <v>1459904.41</v>
      </c>
      <c r="G65" s="90">
        <v>1532762</v>
      </c>
      <c r="H65" s="90">
        <v>12</v>
      </c>
      <c r="I65" s="91">
        <f>F65-E65</f>
        <v>0</v>
      </c>
      <c r="J65" s="91">
        <f>G65-E65</f>
        <v>72857.59000000008</v>
      </c>
      <c r="K65" s="92">
        <f>J65/E65</f>
        <v>0.04990572636190618</v>
      </c>
      <c r="O65" t="s" s="6">
        <v>1273</v>
      </c>
      <c r="P65" t="s" s="6">
        <v>1274</v>
      </c>
    </row>
    <row r="66" ht="40" customHeight="1">
      <c r="B66" t="s" s="3">
        <v>212</v>
      </c>
      <c r="C66" s="3"/>
      <c r="D66" s="3"/>
      <c r="E66" s="3"/>
      <c r="F66" s="3"/>
      <c r="G66" s="3"/>
      <c r="H66" s="3"/>
      <c r="I66" s="3"/>
      <c r="J66" s="3"/>
      <c r="K66" s="3"/>
      <c r="L66" s="3"/>
      <c r="M66" t="s">
        <v>268</v>
      </c>
      <c r="N66" s="20">
        <v>0.19</v>
      </c>
      <c r="O66" s="6"/>
      <c r="P66" s="6"/>
    </row>
    <row r="67">
      <c r="O67" s="6"/>
      <c r="P67" s="6"/>
    </row>
    <row r="68">
      <c r="O68" s="6"/>
      <c r="P68" s="6"/>
    </row>
    <row r="69">
      <c r="B69" t="s" s="9">
        <v>213</v>
      </c>
      <c r="C69" s="9"/>
      <c r="D69" s="9"/>
      <c r="E69" s="9"/>
      <c r="F69" s="9"/>
      <c r="G69" s="9"/>
      <c r="H69" s="9"/>
      <c r="I69" s="9"/>
      <c r="J69" s="9"/>
      <c r="K69" s="9"/>
      <c r="L69" s="9"/>
      <c r="M69" s="9"/>
      <c r="N69" s="9"/>
      <c r="O69" s="17"/>
      <c r="P69" s="17"/>
    </row>
    <row r="70">
      <c r="B70" t="s" s="11">
        <v>214</v>
      </c>
      <c r="C70" t="s" s="12">
        <v>240</v>
      </c>
      <c r="D70" t="s" s="12">
        <v>244</v>
      </c>
      <c r="E70" t="s" s="12">
        <v>248</v>
      </c>
      <c r="F70" t="s" s="12">
        <v>252</v>
      </c>
      <c r="G70" t="s" s="12">
        <v>256</v>
      </c>
      <c r="H70" t="s" s="12">
        <v>260</v>
      </c>
      <c r="I70" t="s" s="12">
        <v>264</v>
      </c>
      <c r="J70" t="s" s="12">
        <v>266</v>
      </c>
      <c r="K70" s="12"/>
      <c r="L70" s="12"/>
      <c r="M70" s="12"/>
      <c r="N70" s="12"/>
      <c r="O70" t="s" s="24">
        <v>280</v>
      </c>
      <c r="P70" t="s" s="24">
        <v>54</v>
      </c>
    </row>
    <row r="71">
      <c r="B71" t="s">
        <v>215</v>
      </c>
      <c r="C71" s="20">
        <v>111.14</v>
      </c>
      <c r="D71" s="23">
        <f>C71/$E$12</f>
        <v>0.26975728155339807</v>
      </c>
      <c r="E71" s="20">
        <v>29.41</v>
      </c>
      <c r="F71" s="23">
        <f>E71/$F$12</f>
        <v>0.26026548672566374</v>
      </c>
      <c r="G71" s="20">
        <v>82.35</v>
      </c>
      <c r="H71" s="23">
        <f>G71/$G$74</f>
        <v>0.26999999999999996</v>
      </c>
      <c r="I71" s="32">
        <v>0.27</v>
      </c>
      <c r="J71" s="23">
        <f>H71-I71</f>
        <v>0</v>
      </c>
      <c r="O71" t="s" s="6">
        <v>285</v>
      </c>
      <c r="P71" t="s" s="6">
        <v>295</v>
      </c>
    </row>
    <row r="72">
      <c r="B72" t="s">
        <v>216</v>
      </c>
      <c r="C72" s="20">
        <v>234.09</v>
      </c>
      <c r="D72" s="23">
        <f>C72/$E$12</f>
        <v>0.5681796116504855</v>
      </c>
      <c r="E72" s="20">
        <v>61.44</v>
      </c>
      <c r="F72" s="23">
        <f>E72/$F$12</f>
        <v>0.543716814159292</v>
      </c>
      <c r="G72" s="20">
        <v>170.8</v>
      </c>
      <c r="H72" s="23">
        <f>G72/$G$74</f>
        <v>0.56</v>
      </c>
      <c r="I72" s="32">
        <v>0.56</v>
      </c>
      <c r="J72" s="23">
        <f>H72-I72</f>
        <v>0</v>
      </c>
      <c r="O72" s="6"/>
      <c r="P72" s="6"/>
    </row>
    <row r="73">
      <c r="B73" t="s">
        <v>217</v>
      </c>
      <c r="C73" s="20">
        <v>261.11</v>
      </c>
      <c r="D73" s="23">
        <f>C73/$E$12</f>
        <v>0.6337621359223301</v>
      </c>
      <c r="E73" s="20">
        <v>69.61</v>
      </c>
      <c r="F73" s="23">
        <f>E73/$F$12</f>
        <v>0.6160176991150442</v>
      </c>
      <c r="G73" s="20">
        <v>194.890724</v>
      </c>
      <c r="H73" s="23">
        <f>G73/$G$74</f>
        <v>0.6389859803278689</v>
      </c>
      <c r="I73" s="32">
        <v>0.639</v>
      </c>
      <c r="J73" s="23">
        <f>H73-I73</f>
        <v>-0.000014019672131104777</v>
      </c>
      <c r="O73" s="6"/>
      <c r="P73" s="6"/>
    </row>
    <row r="74">
      <c r="B74" t="s">
        <v>218</v>
      </c>
      <c r="G74" s="20">
        <v>305</v>
      </c>
      <c r="O74" s="6"/>
      <c r="P74" s="6"/>
    </row>
    <row r="75">
      <c r="O75" s="6"/>
      <c r="P75" s="6"/>
    </row>
    <row r="76">
      <c r="O76" s="6"/>
      <c r="P76" s="6"/>
    </row>
    <row r="77">
      <c r="B77" t="s" s="9">
        <v>219</v>
      </c>
      <c r="C77" s="9"/>
      <c r="D77" s="9"/>
      <c r="E77" s="9"/>
      <c r="F77" s="9"/>
      <c r="G77" s="9"/>
      <c r="H77" s="9"/>
      <c r="I77" s="9"/>
      <c r="J77" s="9"/>
      <c r="K77" s="9"/>
      <c r="L77" s="9"/>
      <c r="M77" s="9"/>
      <c r="N77" s="9"/>
      <c r="O77" s="17"/>
      <c r="P77" s="17"/>
    </row>
    <row r="78">
      <c r="B78" t="s" s="11">
        <v>4</v>
      </c>
      <c r="C78" t="s" s="12">
        <v>32</v>
      </c>
      <c r="D78" t="s" s="12">
        <v>34</v>
      </c>
      <c r="E78" t="s" s="12">
        <v>36</v>
      </c>
      <c r="F78" s="12"/>
      <c r="G78" s="12"/>
      <c r="H78" s="12"/>
      <c r="I78" s="12"/>
      <c r="J78" s="12"/>
      <c r="K78" s="12"/>
      <c r="L78" s="12"/>
      <c r="M78" s="12"/>
      <c r="N78" s="12"/>
      <c r="O78" t="s" s="24">
        <v>280</v>
      </c>
      <c r="P78" t="s" s="24">
        <v>54</v>
      </c>
    </row>
    <row r="79">
      <c r="B79" t="s" s="3">
        <v>220</v>
      </c>
      <c r="C79" s="20">
        <v>140.075</v>
      </c>
      <c r="D79" s="20">
        <v>157.625</v>
      </c>
      <c r="E79" s="20">
        <v>192.175</v>
      </c>
      <c r="O79" s="6"/>
      <c r="P79" t="s" s="6">
        <v>296</v>
      </c>
    </row>
    <row r="80">
      <c r="B80" t="s" s="3">
        <v>221</v>
      </c>
      <c r="C80" s="20">
        <v>1.8</v>
      </c>
      <c r="D80" s="20">
        <v>2.5</v>
      </c>
      <c r="E80" s="20">
        <v>2.2</v>
      </c>
      <c r="O80" t="s" s="6">
        <v>1338</v>
      </c>
      <c r="P80" s="6"/>
    </row>
    <row r="81">
      <c r="B81" t="s" s="3">
        <v>222</v>
      </c>
      <c r="C81" s="20">
        <v>0</v>
      </c>
      <c r="D81" s="20">
        <v>0</v>
      </c>
      <c r="E81" s="20">
        <v>2</v>
      </c>
      <c r="O81" t="s" s="6">
        <v>1339</v>
      </c>
      <c r="P81" s="6"/>
    </row>
    <row r="82">
      <c r="B82" t="s" s="3">
        <v>223</v>
      </c>
      <c r="C82" s="20">
        <v>1.8</v>
      </c>
      <c r="D82" s="20">
        <v>2.5</v>
      </c>
      <c r="E82" s="20">
        <v>4.2</v>
      </c>
      <c r="O82" s="6"/>
      <c r="P82" s="6"/>
    </row>
    <row r="83">
      <c r="B83" t="s" s="3">
        <v>224</v>
      </c>
      <c r="C83" s="19">
        <f>C80+C81-C82</f>
        <v>0</v>
      </c>
      <c r="D83" s="19">
        <f>D80+D81-D82</f>
        <v>0</v>
      </c>
      <c r="E83" s="19">
        <f>E80+E81-E82</f>
        <v>0</v>
      </c>
      <c r="O83" s="6"/>
      <c r="P83" s="6"/>
    </row>
    <row r="84">
      <c r="B84" t="s" s="3">
        <v>225</v>
      </c>
      <c r="C84" s="23">
        <f>(C80+C81)/C79</f>
        <v>0.012850258789933965</v>
      </c>
      <c r="D84" s="23">
        <f>(D80+D81)/D79</f>
        <v>0.01586042823156225</v>
      </c>
      <c r="E84" s="23">
        <f>(E80+E81)/E79</f>
        <v>0.02185508000520359</v>
      </c>
      <c r="O84" s="6"/>
      <c r="P84" s="6"/>
    </row>
    <row r="85">
      <c r="B85" t="s" s="3">
        <v>226</v>
      </c>
      <c r="C85" s="20">
        <v>2.885616</v>
      </c>
      <c r="D85" s="20">
        <v>3.823344</v>
      </c>
      <c r="E85" s="20">
        <v>6.89778</v>
      </c>
      <c r="O85" t="s" s="6">
        <v>288</v>
      </c>
      <c r="P85" s="6"/>
    </row>
    <row r="86">
      <c r="B86" t="s" s="3">
        <v>227</v>
      </c>
      <c r="C86" s="20">
        <v>2.964</v>
      </c>
      <c r="D86" s="20">
        <v>4.0008</v>
      </c>
      <c r="E86" s="20">
        <v>6.576</v>
      </c>
      <c r="O86" s="6"/>
      <c r="P86" s="6"/>
    </row>
    <row r="87">
      <c r="B87" t="s" s="3">
        <v>228</v>
      </c>
      <c r="C87" s="20">
        <v>185.1</v>
      </c>
      <c r="D87" s="20">
        <v>216.7</v>
      </c>
      <c r="E87" s="20">
        <v>264.5</v>
      </c>
      <c r="O87" s="6"/>
      <c r="P87" s="6"/>
    </row>
    <row r="88">
      <c r="B88" t="s" s="3">
        <v>229</v>
      </c>
      <c r="C88" s="20">
        <v>-2.89</v>
      </c>
      <c r="D88" s="20">
        <v>-3.89</v>
      </c>
      <c r="E88" s="20">
        <v>-3.77</v>
      </c>
      <c r="O88" s="6"/>
      <c r="P88" s="6"/>
    </row>
    <row r="89">
      <c r="B89" t="s" s="3">
        <v>230</v>
      </c>
      <c r="C89" s="20">
        <v>0</v>
      </c>
      <c r="D89" s="20">
        <v>0</v>
      </c>
      <c r="E89" s="20">
        <v>0</v>
      </c>
      <c r="O89" t="s" s="6">
        <v>1340</v>
      </c>
      <c r="P89" s="6"/>
    </row>
    <row r="90">
      <c r="B90" t="s" s="3">
        <v>231</v>
      </c>
      <c r="C90" s="20">
        <v>19.59</v>
      </c>
      <c r="D90" s="20">
        <v>40.41</v>
      </c>
      <c r="E90" s="20">
        <v>38.5</v>
      </c>
      <c r="O90" s="6"/>
      <c r="P90" s="6"/>
    </row>
    <row r="91">
      <c r="B91" t="s" s="3">
        <v>232</v>
      </c>
      <c r="C91" s="23">
        <f>(C87+C88+C89+C90)/C87</f>
        <v>1.0902215018908699</v>
      </c>
      <c r="D91" s="23">
        <f>(D87+D88+D89+D90)/D87</f>
        <v>1.168527918781726</v>
      </c>
      <c r="E91" s="23">
        <f>(E87+E88+E89+E90)/E87</f>
        <v>1.1313043478260871</v>
      </c>
      <c r="O91" t="s" s="6">
        <v>1341</v>
      </c>
      <c r="P91" s="6"/>
    </row>
    <row r="92">
      <c r="B92" t="s" s="3">
        <v>233</v>
      </c>
      <c r="C92" s="23">
        <f>(C87+C88+C89)/C87</f>
        <v>0.9843868179362507</v>
      </c>
      <c r="D92" s="23">
        <f>(D87+D88+D89)/D87</f>
        <v>0.9820489155514537</v>
      </c>
      <c r="E92" s="23">
        <f>(E87+E88+E89)/E87</f>
        <v>0.9857466918714557</v>
      </c>
      <c r="O92" s="6"/>
      <c r="P92" s="6"/>
    </row>
    <row r="93">
      <c r="B93" t="s" s="3">
        <v>234</v>
      </c>
      <c r="C93" s="32">
        <v>0.903</v>
      </c>
      <c r="D93" s="32">
        <v>0.9</v>
      </c>
      <c r="E93" s="32">
        <v>0.91</v>
      </c>
      <c r="O93" t="s" s="6">
        <v>290</v>
      </c>
      <c r="P93" s="6"/>
    </row>
    <row r="96">
      <c r="B96" t="s" s="9">
        <v>881</v>
      </c>
      <c r="C96" s="9"/>
      <c r="D96" s="9"/>
      <c r="E96" s="9"/>
      <c r="F96" s="9"/>
      <c r="G96" s="9"/>
      <c r="H96" s="9"/>
      <c r="I96" s="9"/>
      <c r="J96" s="9"/>
      <c r="K96" s="9"/>
      <c r="L96" s="9"/>
      <c r="M96" s="9"/>
      <c r="N96" s="9"/>
      <c r="O96" s="17"/>
      <c r="P96" s="17"/>
    </row>
    <row r="97">
      <c r="B97" t="s" s="11">
        <v>4</v>
      </c>
      <c r="C97" t="s" s="12">
        <v>896</v>
      </c>
      <c r="D97" t="s" s="12">
        <v>145</v>
      </c>
      <c r="E97" t="s" s="12">
        <v>899</v>
      </c>
      <c r="F97" s="12"/>
      <c r="G97" s="12"/>
      <c r="H97" s="12"/>
      <c r="I97" s="12"/>
      <c r="J97" s="12"/>
      <c r="K97" s="12"/>
      <c r="L97" s="12"/>
      <c r="M97" s="12"/>
      <c r="N97" s="12"/>
      <c r="O97" t="s" s="24">
        <v>280</v>
      </c>
      <c r="P97" t="s" s="24">
        <v>54</v>
      </c>
    </row>
    <row r="98">
      <c r="B98" t="s" s="3">
        <v>882</v>
      </c>
      <c r="C98" s="30">
        <v>121</v>
      </c>
      <c r="D98" s="30">
        <v>142</v>
      </c>
      <c r="E98" s="30">
        <v>162</v>
      </c>
      <c r="O98" s="6"/>
      <c r="P98" t="s" s="6">
        <v>918</v>
      </c>
    </row>
    <row r="99">
      <c r="B99" t="s" s="3">
        <v>883</v>
      </c>
      <c r="C99" s="30">
        <v>121</v>
      </c>
      <c r="D99" s="30">
        <v>142</v>
      </c>
      <c r="E99" s="30">
        <v>162</v>
      </c>
      <c r="O99" s="6"/>
      <c r="P99" s="6"/>
    </row>
    <row r="100">
      <c r="B100" t="s" s="3">
        <v>884</v>
      </c>
      <c r="C100" s="23">
        <f>C99/C98</f>
        <v>1</v>
      </c>
      <c r="D100" s="23">
        <f>D99/D98</f>
        <v>1</v>
      </c>
      <c r="E100" s="23">
        <f>E99/E98</f>
        <v>1</v>
      </c>
      <c r="O100" s="6"/>
      <c r="P100" s="6"/>
    </row>
    <row r="101">
      <c r="B101" t="s" s="3">
        <v>885</v>
      </c>
      <c r="C101" s="49">
        <v>-0.0183916802621839</v>
      </c>
      <c r="D101" s="49">
        <v>0.0927480056219269</v>
      </c>
      <c r="E101" s="49">
        <v>0.0303965350453873</v>
      </c>
      <c r="O101" t="s" s="6">
        <v>914</v>
      </c>
      <c r="P101" s="6"/>
    </row>
    <row r="102">
      <c r="B102" t="s" s="3">
        <v>886</v>
      </c>
      <c r="C102" s="49">
        <v>-0.0184155436346984</v>
      </c>
      <c r="D102" s="49">
        <v>0.0927237604636189</v>
      </c>
      <c r="E102" s="49">
        <v>0.0303722021431743</v>
      </c>
      <c r="O102" s="6"/>
      <c r="P102" s="6"/>
    </row>
    <row r="103">
      <c r="B103" t="s" s="3">
        <v>887</v>
      </c>
      <c r="C103" s="49">
        <v>0.119640777063841</v>
      </c>
      <c r="D103" s="49">
        <v>0.271573482044132</v>
      </c>
      <c r="E103" s="49">
        <v>0.199012630634096</v>
      </c>
      <c r="O103" s="6"/>
      <c r="P103" s="6"/>
    </row>
    <row r="104">
      <c r="B104" t="s" s="3">
        <v>888</v>
      </c>
      <c r="C104" s="30">
        <v>103</v>
      </c>
      <c r="D104" s="30">
        <v>115</v>
      </c>
      <c r="E104" s="30">
        <v>132</v>
      </c>
      <c r="O104" s="6"/>
      <c r="P104" s="6"/>
    </row>
    <row r="105">
      <c r="B105" t="s" s="3">
        <v>889</v>
      </c>
      <c r="C105" s="30">
        <v>110</v>
      </c>
      <c r="D105" s="30">
        <v>126</v>
      </c>
      <c r="E105" s="30">
        <v>145</v>
      </c>
      <c r="O105" s="6"/>
      <c r="P105" s="6"/>
    </row>
    <row r="106">
      <c r="B106" t="s" s="3">
        <v>890</v>
      </c>
      <c r="C106" s="30">
        <v>102</v>
      </c>
      <c r="D106" s="30">
        <v>114</v>
      </c>
      <c r="E106" s="30">
        <v>131</v>
      </c>
      <c r="O106" s="6"/>
      <c r="P106" s="6"/>
    </row>
    <row r="107">
      <c r="B107" t="s" s="3">
        <v>891</v>
      </c>
      <c r="C107" s="30">
        <v>11</v>
      </c>
      <c r="D107" s="30">
        <v>16</v>
      </c>
      <c r="E107" s="30">
        <v>17</v>
      </c>
      <c r="O107" s="6"/>
      <c r="P107" s="6"/>
    </row>
    <row r="108">
      <c r="B108" t="s" s="3">
        <v>892</v>
      </c>
      <c r="C108" s="30">
        <v>6</v>
      </c>
      <c r="D108" s="30">
        <v>3</v>
      </c>
      <c r="E108" s="30">
        <v>0</v>
      </c>
      <c r="O108" s="6"/>
      <c r="P108" s="6"/>
    </row>
    <row r="109">
      <c r="B109" t="s" s="3">
        <v>893</v>
      </c>
      <c r="C109" s="30">
        <v>18</v>
      </c>
      <c r="D109" s="30">
        <v>21</v>
      </c>
      <c r="E109" s="30">
        <v>26</v>
      </c>
      <c r="O109" t="s" s="6">
        <v>915</v>
      </c>
      <c r="P109" s="6"/>
    </row>
    <row r="110">
      <c r="B110" t="s" s="5">
        <v>894</v>
      </c>
      <c r="C110" s="50">
        <f>C105+C107-C98</f>
        <v>0</v>
      </c>
      <c r="D110" s="50">
        <f>D105+D107-D98</f>
        <v>0</v>
      </c>
      <c r="E110" s="50">
        <f>E105+E107-E98</f>
        <v>0</v>
      </c>
      <c r="O110" s="6"/>
      <c r="P110" s="6"/>
    </row>
    <row r="111">
      <c r="B111" t="s" s="3">
        <v>895</v>
      </c>
      <c r="C111" s="18">
        <f>K8</f>
        <v>0</v>
      </c>
      <c r="D111" s="18">
        <f>L8</f>
        <v>0</v>
      </c>
      <c r="E111" s="18">
        <f>M8</f>
        <v>0</v>
      </c>
      <c r="O111" t="s" s="6">
        <v>916</v>
      </c>
      <c r="P111" s="6"/>
    </row>
  </sheetData>
  <mergeCells count="3">
    <mergeCell ref="B3:P3"/>
    <mergeCell ref="B4:P4"/>
    <mergeCell ref="B66:L66"/>
  </mergeCells>
  <pageMargins left="0.7" right="0.7" top="0.75" bottom="0.75" header="0.3" footer="0.3"/>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34"/>
  <sheetViews>
    <sheetView showGridLines="0" workbookViewId="0">
      <selection activeCell="A1" sqref="A1"/>
    </sheetView>
  </sheetViews>
  <cols>
    <col min="1" max="1" width="2.64453125" customWidth="1"/>
    <col min="2" max="2" width="57.07421875" customWidth="1"/>
    <col min="3" max="5" width="15.21875" customWidth="1"/>
    <col min="6" max="6" width="57.07421875" customWidth="1"/>
    <col min="7" max="7" width="49.50390625" customWidth="1"/>
  </cols>
  <sheetData>
    <row r="2">
      <c r="B2" t="s" s="2">
        <v>1293</v>
      </c>
    </row>
    <row r="3" ht="44" customHeight="1">
      <c r="B3" t="str" s="4">
        <f>"Takeaway: the book is sticky: FY25 gross MW retention was "&amp;TEXT(D16,"0.0%")&amp;", logo retention "&amp;TEXT(D14,"0.0%")&amp;" and base-rent gross revenue retention "&amp;TEXT(D13,"0.0%")&amp;". The seller's "&amp;TEXT(E26,"0%")&amp;" (sell-side QoE report) is renewed over expiring MW, not portfolio retention: on the whole book the same "&amp;TEXT(E23,"0.0")&amp;" MW FY25 loss gives "&amp;TEXT(E27,"0.0%")&amp;", "&amp;TEXT(E28*100,"0.0")&amp;" points higher. Portfolio NRR of "&amp;TEXT(D8,"0.0%")&amp;" (FY25 on FY24) comes from hyperscale expansion and new-cohort ramps, and revenue-based figures carry the straight-line caveat below."</f>
        <v>Takeaway: the book is sticky: FY25 gross MW retention was 97.8%, logo retention 98.4% and base-rent gross revenue retention 98.7%. The seller's 91% (sell-side QoE report) is renewed over expiring MW, not portfolio retention: on the whole book the same 4.2 MW FY25 loss gives 97.8%, 6.8 points higher. Portfolio NRR of 120.4% (FY25 on FY24) comes from hyperscale expansion and new-cohort ramps, and revenue-based figures carry the straight-line caveat below.</v>
      </c>
      <c r="C3" s="3"/>
      <c r="D3" s="3"/>
      <c r="E3" s="3"/>
      <c r="F3" s="3"/>
      <c r="G3" s="3"/>
    </row>
    <row r="4" ht="44" customHeight="1">
      <c r="B4" t="s" s="6">
        <v>1294</v>
      </c>
      <c r="C4" s="3"/>
      <c r="D4" s="3"/>
      <c r="E4" s="3"/>
      <c r="F4" s="3"/>
      <c r="G4" s="3"/>
    </row>
    <row r="6">
      <c r="B6" t="s" s="9">
        <v>1295</v>
      </c>
      <c r="C6" s="9"/>
      <c r="D6" s="9"/>
      <c r="E6" s="9"/>
      <c r="F6" s="9"/>
      <c r="G6" s="9"/>
    </row>
    <row r="7" ht="28" customHeight="1">
      <c r="B7" t="s" s="93">
        <v>1296</v>
      </c>
      <c r="C7" t="s" s="94">
        <v>1321</v>
      </c>
      <c r="D7" t="s" s="94">
        <v>1323</v>
      </c>
      <c r="E7" t="s" s="94">
        <v>1324</v>
      </c>
      <c r="F7" t="s" s="95">
        <v>365</v>
      </c>
      <c r="G7" t="s" s="95">
        <v>54</v>
      </c>
    </row>
    <row r="8">
      <c r="B8" t="s" s="48">
        <v>1297</v>
      </c>
      <c r="C8" s="96">
        <v>1.2088560481444333</v>
      </c>
      <c r="D8" s="96">
        <v>1.204434888618874</v>
      </c>
      <c r="E8" s="96">
        <v>1.1597845316879856</v>
      </c>
      <c r="F8" t="s" s="6">
        <v>1325</v>
      </c>
      <c r="G8" t="s" s="6">
        <v>1336</v>
      </c>
    </row>
    <row r="9">
      <c r="B9" t="s" s="48">
        <v>1298</v>
      </c>
      <c r="C9" s="96">
        <v>1.176762415791695</v>
      </c>
      <c r="D9" s="96">
        <v>1.1697421595309805</v>
      </c>
      <c r="E9" s="96">
        <v>1.1167971445428038</v>
      </c>
      <c r="F9" t="s" s="6">
        <v>1326</v>
      </c>
      <c r="G9" t="s" s="6">
        <v>1336</v>
      </c>
    </row>
    <row r="10">
      <c r="B10" t="s" s="48">
        <v>1299</v>
      </c>
      <c r="C10" s="96">
        <v>1.9231986507048282</v>
      </c>
      <c r="D10" s="96">
        <v>1.1354274344134296</v>
      </c>
      <c r="E10" s="96">
        <v>1.1098933041156196</v>
      </c>
      <c r="F10" t="s" s="6">
        <v>1326</v>
      </c>
      <c r="G10" t="s" s="6">
        <v>1336</v>
      </c>
    </row>
    <row r="11">
      <c r="B11" t="s" s="48">
        <v>1300</v>
      </c>
      <c r="C11" t="s" s="96">
        <v>1322</v>
      </c>
      <c r="D11" s="96">
        <v>2.7295753543155366</v>
      </c>
      <c r="E11" s="96">
        <v>2.0207090212326744</v>
      </c>
      <c r="F11" t="s" s="6">
        <v>1326</v>
      </c>
      <c r="G11" t="s" s="6">
        <v>1336</v>
      </c>
    </row>
    <row r="12">
      <c r="B12" t="s" s="48">
        <v>1301</v>
      </c>
      <c r="C12" t="s" s="96">
        <v>1322</v>
      </c>
      <c r="D12" t="s" s="96">
        <v>1322</v>
      </c>
      <c r="E12" s="96">
        <v>8.835058878295202</v>
      </c>
      <c r="F12" t="s" s="6">
        <v>1326</v>
      </c>
      <c r="G12" t="s" s="6">
        <v>1336</v>
      </c>
    </row>
    <row r="13">
      <c r="B13" t="s" s="48">
        <v>1302</v>
      </c>
      <c r="C13" s="96">
        <v>0.9821841725175526</v>
      </c>
      <c r="D13" s="96">
        <v>0.9868345605508303</v>
      </c>
      <c r="E13" s="96">
        <v>0.986118133507419</v>
      </c>
      <c r="F13" t="s" s="6">
        <v>1325</v>
      </c>
      <c r="G13" t="s" s="6">
        <v>1336</v>
      </c>
    </row>
    <row r="14">
      <c r="B14" t="s" s="48">
        <v>1303</v>
      </c>
      <c r="C14" s="96">
        <v>0.972972972972973</v>
      </c>
      <c r="D14" s="96">
        <v>0.9841269841269841</v>
      </c>
      <c r="E14" s="96">
        <v>0.9846153846153847</v>
      </c>
      <c r="F14" t="s" s="6">
        <v>1327</v>
      </c>
      <c r="G14" t="s" s="6">
        <v>1336</v>
      </c>
    </row>
    <row r="15">
      <c r="B15" t="s" s="48">
        <v>1304</v>
      </c>
      <c r="C15" s="96">
        <v>0.9666666666666667</v>
      </c>
      <c r="D15" s="96">
        <v>0.9770114942528736</v>
      </c>
      <c r="E15" s="96">
        <v>0.9770114942528736</v>
      </c>
      <c r="F15" t="s" s="6">
        <v>1327</v>
      </c>
      <c r="G15" t="s" s="6">
        <v>1336</v>
      </c>
    </row>
    <row r="16">
      <c r="B16" t="s" s="48">
        <v>1305</v>
      </c>
      <c r="C16" s="96">
        <v>0.9841395717684377</v>
      </c>
      <c r="D16" s="96">
        <v>0.9781449199947964</v>
      </c>
      <c r="E16" s="96">
        <v>0.9783644558918223</v>
      </c>
      <c r="F16" t="s" s="6">
        <v>1328</v>
      </c>
      <c r="G16" t="s" s="6">
        <v>1336</v>
      </c>
    </row>
    <row r="17">
      <c r="B17" t="s" s="48">
        <v>1306</v>
      </c>
      <c r="C17" s="96">
        <v>1.1671689135606662</v>
      </c>
      <c r="D17" s="96">
        <v>0.9915441654741772</v>
      </c>
      <c r="E17" s="96">
        <v>0.9963940759819704</v>
      </c>
      <c r="F17" t="s" s="6">
        <v>1328</v>
      </c>
      <c r="G17" t="s" s="6">
        <v>1336</v>
      </c>
    </row>
    <row r="18">
      <c r="B18" s="48"/>
      <c r="C18" s="48"/>
      <c r="D18" s="48"/>
      <c r="E18" s="48"/>
    </row>
    <row r="19">
      <c r="B19" t="s" s="69">
        <v>1307</v>
      </c>
      <c r="C19" s="69"/>
      <c r="D19" s="69"/>
      <c r="E19" s="69"/>
      <c r="F19" s="9"/>
      <c r="G19" s="9"/>
    </row>
    <row r="20">
      <c r="B20" t="s" s="97">
        <v>1296</v>
      </c>
      <c r="C20" t="s" s="98">
        <v>32</v>
      </c>
      <c r="D20" t="s" s="98">
        <v>34</v>
      </c>
      <c r="E20" t="s" s="98">
        <v>36</v>
      </c>
      <c r="F20" t="s" s="95">
        <v>365</v>
      </c>
      <c r="G20" t="s" s="95">
        <v>54</v>
      </c>
    </row>
    <row r="21">
      <c r="B21" t="s" s="48">
        <v>1308</v>
      </c>
      <c r="C21" s="99">
        <v>1.8</v>
      </c>
      <c r="D21" s="99">
        <v>2.5</v>
      </c>
      <c r="E21" s="99">
        <v>2.2</v>
      </c>
      <c r="F21" t="s" s="6">
        <v>1329</v>
      </c>
      <c r="G21" t="s" s="6">
        <v>1336</v>
      </c>
    </row>
    <row r="22">
      <c r="B22" t="s" s="48">
        <v>1309</v>
      </c>
      <c r="C22" s="99">
        <v>0</v>
      </c>
      <c r="D22" s="99">
        <v>0</v>
      </c>
      <c r="E22" s="99">
        <v>2</v>
      </c>
      <c r="F22" t="s" s="6">
        <v>1329</v>
      </c>
      <c r="G22" t="s" s="6">
        <v>1336</v>
      </c>
    </row>
    <row r="23">
      <c r="B23" t="s" s="100">
        <v>1310</v>
      </c>
      <c r="C23" s="101">
        <f>C21+C22</f>
        <v>1.8</v>
      </c>
      <c r="D23" s="101">
        <f>D21+D22</f>
        <v>2.5</v>
      </c>
      <c r="E23" s="101">
        <f>E21+E22</f>
        <v>4.2</v>
      </c>
      <c r="F23" t="s" s="6">
        <v>1330</v>
      </c>
      <c r="G23" t="s" s="6">
        <v>948</v>
      </c>
    </row>
    <row r="24">
      <c r="B24" t="s" s="48">
        <v>1311</v>
      </c>
      <c r="C24" s="96">
        <v>0.012850258789933964</v>
      </c>
      <c r="D24" s="96">
        <v>0.01586042823156225</v>
      </c>
      <c r="E24" s="96">
        <v>0.02185508000520359</v>
      </c>
      <c r="F24" t="s" s="6">
        <v>1331</v>
      </c>
      <c r="G24" t="s" s="6">
        <v>1336</v>
      </c>
    </row>
    <row r="25">
      <c r="B25" t="s" s="48">
        <v>1312</v>
      </c>
      <c r="C25" s="99">
        <v>2.964</v>
      </c>
      <c r="D25" s="99">
        <v>4.0008</v>
      </c>
      <c r="E25" s="99">
        <v>6.576</v>
      </c>
      <c r="F25" t="s" s="6">
        <v>1332</v>
      </c>
      <c r="G25" t="s" s="6">
        <v>1336</v>
      </c>
    </row>
    <row r="26">
      <c r="B26" t="s" s="48">
        <v>1313</v>
      </c>
      <c r="C26" s="96">
        <v>0.903</v>
      </c>
      <c r="D26" s="96">
        <v>0.9</v>
      </c>
      <c r="E26" s="96">
        <v>0.91</v>
      </c>
      <c r="F26" t="s" s="6">
        <v>1333</v>
      </c>
      <c r="G26" t="s" s="6">
        <v>1336</v>
      </c>
    </row>
    <row r="27">
      <c r="B27" t="s" s="48">
        <v>1314</v>
      </c>
      <c r="C27" t="s" s="92">
        <v>1322</v>
      </c>
      <c r="D27" s="92">
        <f>C16</f>
        <v>0.9841395717684377</v>
      </c>
      <c r="E27" s="92">
        <f>D16</f>
        <v>0.9781449199947964</v>
      </c>
      <c r="F27" t="s" s="6">
        <v>1334</v>
      </c>
      <c r="G27" t="s" s="6">
        <v>1337</v>
      </c>
    </row>
    <row r="28">
      <c r="B28" t="s" s="100">
        <v>1315</v>
      </c>
      <c r="C28" s="102"/>
      <c r="D28" s="103">
        <f>D27-D26</f>
        <v>0.08413957176843767</v>
      </c>
      <c r="E28" s="103">
        <f>E27-E26</f>
        <v>0.06814491999479633</v>
      </c>
      <c r="F28" t="s" s="6">
        <v>1335</v>
      </c>
      <c r="G28" t="s" s="6">
        <v>948</v>
      </c>
    </row>
    <row r="30">
      <c r="B30" t="s" s="9">
        <v>1316</v>
      </c>
      <c r="C30" s="9"/>
      <c r="D30" s="9"/>
      <c r="E30" s="9"/>
      <c r="F30" s="9"/>
      <c r="G30" s="9"/>
    </row>
    <row r="31" ht="26" customHeight="1">
      <c r="B31" t="s" s="6">
        <v>1317</v>
      </c>
      <c r="C31" s="3"/>
      <c r="D31" s="3"/>
      <c r="E31" s="3"/>
      <c r="F31" s="3"/>
      <c r="G31" s="3"/>
    </row>
    <row r="32" ht="26" customHeight="1">
      <c r="B32" t="s" s="6">
        <v>1318</v>
      </c>
      <c r="C32" s="3"/>
      <c r="D32" s="3"/>
      <c r="E32" s="3"/>
      <c r="F32" s="3"/>
      <c r="G32" s="3"/>
    </row>
    <row r="33" ht="26" customHeight="1">
      <c r="B33" t="s" s="6">
        <v>1319</v>
      </c>
      <c r="C33" s="3"/>
      <c r="D33" s="3"/>
      <c r="E33" s="3"/>
      <c r="F33" s="3"/>
      <c r="G33" s="3"/>
    </row>
    <row r="34">
      <c r="B34" t="s" s="6">
        <v>1320</v>
      </c>
      <c r="C34" s="3"/>
      <c r="D34" s="3"/>
      <c r="E34" s="3"/>
      <c r="F34" s="3"/>
      <c r="G34" s="3"/>
    </row>
  </sheetData>
  <mergeCells count="6">
    <mergeCell ref="B3:G3"/>
    <mergeCell ref="B4:G4"/>
    <mergeCell ref="B31:G31"/>
    <mergeCell ref="B32:G32"/>
    <mergeCell ref="B33:G33"/>
    <mergeCell ref="B34:G34"/>
  </mergeCells>
  <pageMargins left="0.7" right="0.7" top="0.75" bottom="0.75" header="0.3" footer="0.3"/>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Q67"/>
  <sheetViews>
    <sheetView showGridLines="0" workbookViewId="0">
      <selection activeCell="A1" sqref="A1"/>
    </sheetView>
  </sheetViews>
  <cols>
    <col min="1" max="1" width="2.359375" customWidth="1"/>
    <col min="2" max="2" width="68.359375" customWidth="1"/>
    <col min="3" max="15" width="14.07421875" customWidth="1"/>
    <col min="16" max="16" width="73.21875" customWidth="1"/>
    <col min="17" max="17" width="47.21875" customWidth="1"/>
  </cols>
  <sheetData>
    <row r="2">
      <c r="B2" t="s" s="2">
        <v>386</v>
      </c>
    </row>
    <row r="3" ht="58" customHeight="1">
      <c r="B3" t="s" s="4">
        <v>387</v>
      </c>
      <c r="C3" s="3"/>
      <c r="D3" s="3"/>
      <c r="E3" s="3"/>
      <c r="F3" s="3"/>
      <c r="G3" s="3"/>
      <c r="H3" s="3"/>
      <c r="I3" s="3"/>
      <c r="J3" s="3"/>
      <c r="K3" s="3"/>
      <c r="L3" s="3"/>
      <c r="M3" s="3"/>
      <c r="N3" s="3"/>
      <c r="O3" s="3"/>
      <c r="P3" s="3"/>
      <c r="Q3" s="3"/>
    </row>
    <row r="4" ht="28" customHeight="1">
      <c r="B4" t="s" s="6">
        <v>388</v>
      </c>
      <c r="C4" s="3"/>
      <c r="D4" s="3"/>
      <c r="E4" s="3"/>
      <c r="F4" s="3"/>
      <c r="G4" s="3"/>
      <c r="H4" s="3"/>
      <c r="I4" s="3"/>
      <c r="J4" s="3"/>
      <c r="K4" s="3"/>
      <c r="L4" s="3"/>
      <c r="M4" s="3"/>
      <c r="N4" s="3"/>
      <c r="O4" s="3"/>
      <c r="P4" s="3"/>
      <c r="Q4" s="3"/>
    </row>
    <row r="6">
      <c r="B6" t="s" s="9">
        <v>389</v>
      </c>
      <c r="C6" s="9"/>
      <c r="D6" s="9"/>
      <c r="E6" s="9"/>
      <c r="F6" s="9"/>
      <c r="G6" s="9"/>
      <c r="H6" s="9"/>
      <c r="I6" s="9"/>
      <c r="J6" s="9"/>
      <c r="K6" s="9"/>
      <c r="L6" s="9"/>
      <c r="M6" s="9"/>
      <c r="N6" s="9"/>
      <c r="O6" s="9"/>
      <c r="P6" s="9"/>
      <c r="Q6" s="9"/>
    </row>
    <row r="7">
      <c r="B7" t="s" s="11">
        <v>301</v>
      </c>
      <c r="C7" t="s" s="12">
        <v>435</v>
      </c>
      <c r="D7" t="s" s="12">
        <v>438</v>
      </c>
      <c r="E7" t="s" s="12">
        <v>441</v>
      </c>
      <c r="F7" s="12"/>
      <c r="G7" s="12"/>
      <c r="H7" s="12"/>
      <c r="I7" s="12"/>
      <c r="J7" s="12"/>
      <c r="K7" s="12"/>
      <c r="L7" s="12"/>
      <c r="M7" s="12"/>
      <c r="N7" s="12"/>
      <c r="O7" s="12"/>
      <c r="P7" t="s" s="12">
        <v>42</v>
      </c>
      <c r="Q7" t="s" s="12">
        <v>54</v>
      </c>
    </row>
    <row r="8">
      <c r="B8" t="s">
        <v>390</v>
      </c>
      <c r="C8" s="20">
        <v>412</v>
      </c>
      <c r="D8" s="18">
        <f>'Tie-out'!D12</f>
        <v>412</v>
      </c>
      <c r="E8" s="18">
        <f>'Tie-out'!D12</f>
        <v>412</v>
      </c>
      <c r="P8" s="6"/>
      <c r="Q8" t="s" s="6">
        <v>454</v>
      </c>
    </row>
    <row r="9">
      <c r="B9" t="s">
        <v>391</v>
      </c>
      <c r="C9" s="20">
        <v>-6.3</v>
      </c>
      <c r="D9" s="20">
        <v>-6.3</v>
      </c>
      <c r="E9" s="20">
        <v>-6.3</v>
      </c>
      <c r="P9" s="6"/>
      <c r="Q9" s="6"/>
    </row>
    <row r="10">
      <c r="B10" t="s">
        <v>392</v>
      </c>
      <c r="C10" s="20">
        <v>-8.4</v>
      </c>
      <c r="D10" s="18">
        <f>'Revenue Quality'!E13</f>
        <v>-8.4</v>
      </c>
      <c r="E10" s="18">
        <f>'Revenue Quality'!E13</f>
        <v>-8.4</v>
      </c>
      <c r="P10" t="s" s="6">
        <v>443</v>
      </c>
      <c r="Q10" s="6"/>
    </row>
    <row r="11">
      <c r="B11" t="s">
        <v>393</v>
      </c>
      <c r="C11" s="20">
        <v>4.8</v>
      </c>
      <c r="D11" s="20">
        <v>4.8</v>
      </c>
      <c r="E11" s="19">
        <f>E16</f>
        <v>3.400000000000002</v>
      </c>
      <c r="P11" t="s" s="6">
        <v>444</v>
      </c>
      <c r="Q11" s="6"/>
    </row>
    <row r="12">
      <c r="B12" t="s" s="13">
        <v>394</v>
      </c>
      <c r="C12" s="21">
        <f>SUM(C8:C11)</f>
        <v>402.1</v>
      </c>
      <c r="D12" s="21">
        <f>SUM(D8:D11)</f>
        <v>402.1</v>
      </c>
      <c r="E12" s="21">
        <f>SUM(E8:E11)</f>
        <v>400.7</v>
      </c>
      <c r="F12" s="13"/>
      <c r="G12" s="13"/>
      <c r="H12" s="13"/>
      <c r="I12" s="13"/>
      <c r="J12" s="13"/>
      <c r="K12" s="13"/>
      <c r="L12" s="13"/>
      <c r="M12" s="13"/>
      <c r="N12" s="13"/>
      <c r="O12" s="13"/>
      <c r="P12" s="16"/>
      <c r="Q12" s="16"/>
    </row>
    <row r="13">
      <c r="B13" t="s">
        <v>395</v>
      </c>
      <c r="C13" s="23">
        <f>C12/C8</f>
        <v>0.9759708737864078</v>
      </c>
      <c r="D13" s="23">
        <f>D12/D8</f>
        <v>0.9759708737864078</v>
      </c>
      <c r="E13" s="23">
        <f>E12/E8</f>
        <v>0.9725728155339806</v>
      </c>
      <c r="P13" t="s" s="6">
        <v>445</v>
      </c>
      <c r="Q13" s="6"/>
    </row>
    <row r="14">
      <c r="C14" s="7"/>
      <c r="D14" s="7"/>
      <c r="E14" s="7"/>
      <c r="P14" s="6"/>
      <c r="Q14" s="6"/>
    </row>
    <row r="15">
      <c r="B15" t="s">
        <v>396</v>
      </c>
      <c r="C15" t="s" s="7">
        <v>861</v>
      </c>
      <c r="D15" t="s" s="7">
        <v>862</v>
      </c>
      <c r="E15" t="s" s="7">
        <v>442</v>
      </c>
      <c r="P15" s="6"/>
      <c r="Q15" s="6"/>
    </row>
    <row r="16">
      <c r="B16" t="s">
        <v>73</v>
      </c>
      <c r="C16" s="20">
        <v>18.6</v>
      </c>
      <c r="D16" s="20">
        <v>15.2</v>
      </c>
      <c r="E16" s="19">
        <f>C16-D16</f>
        <v>3.400000000000002</v>
      </c>
      <c r="P16" s="6"/>
      <c r="Q16" s="6"/>
    </row>
    <row r="17">
      <c r="B17" t="s">
        <v>74</v>
      </c>
      <c r="C17" s="20">
        <v>9.4</v>
      </c>
      <c r="D17" s="20">
        <v>8</v>
      </c>
      <c r="E17" s="19">
        <f>C17-D17</f>
        <v>1.4000000000000004</v>
      </c>
      <c r="P17" s="6"/>
      <c r="Q17" s="6"/>
    </row>
    <row r="18">
      <c r="P18" s="6"/>
      <c r="Q18" s="6"/>
    </row>
    <row r="19">
      <c r="B19" t="s" s="9">
        <v>397</v>
      </c>
      <c r="C19" s="9"/>
      <c r="D19" s="9"/>
      <c r="E19" s="9"/>
      <c r="F19" s="9"/>
      <c r="G19" s="9"/>
      <c r="H19" s="9"/>
      <c r="I19" s="9"/>
      <c r="J19" s="9"/>
      <c r="K19" s="9"/>
      <c r="L19" s="9"/>
      <c r="M19" s="9"/>
      <c r="N19" s="9"/>
      <c r="O19" s="9"/>
      <c r="P19" s="17"/>
      <c r="Q19" s="17"/>
    </row>
    <row r="20">
      <c r="B20" t="s" s="11">
        <v>301</v>
      </c>
      <c r="C20" t="s" s="12">
        <v>36</v>
      </c>
      <c r="D20" s="12"/>
      <c r="E20" s="12"/>
      <c r="F20" s="12"/>
      <c r="G20" s="12"/>
      <c r="H20" s="12"/>
      <c r="I20" s="12"/>
      <c r="J20" s="12"/>
      <c r="K20" s="12"/>
      <c r="L20" s="12"/>
      <c r="M20" s="12"/>
      <c r="N20" s="12"/>
      <c r="O20" s="12"/>
      <c r="P20" t="s" s="24">
        <v>42</v>
      </c>
      <c r="Q20" t="s" s="24">
        <v>54</v>
      </c>
    </row>
    <row r="21">
      <c r="B21" t="s">
        <v>398</v>
      </c>
      <c r="C21" s="18">
        <f>'Tie-out'!D12</f>
        <v>412</v>
      </c>
      <c r="D21" s="7"/>
      <c r="P21" s="6"/>
      <c r="Q21" t="s" s="6">
        <v>455</v>
      </c>
    </row>
    <row r="22">
      <c r="B22" t="s">
        <v>399</v>
      </c>
      <c r="C22" s="18">
        <f>-'Revenue Quality'!E11</f>
        <v>-8.2</v>
      </c>
      <c r="D22" s="7"/>
      <c r="P22" t="s" s="6">
        <v>446</v>
      </c>
      <c r="Q22" s="6"/>
    </row>
    <row r="23">
      <c r="B23" t="s">
        <v>400</v>
      </c>
      <c r="C23" s="19">
        <f>C21+C22</f>
        <v>403.8</v>
      </c>
      <c r="D23" s="7"/>
      <c r="P23" s="6"/>
      <c r="Q23" s="6"/>
    </row>
    <row r="24">
      <c r="B24" t="s">
        <v>401</v>
      </c>
      <c r="C24" s="18">
        <f>'Revenue Quality'!I12</f>
        <v>403.8</v>
      </c>
      <c r="D24" s="7"/>
      <c r="P24" s="6"/>
      <c r="Q24" s="6"/>
    </row>
    <row r="25">
      <c r="B25" t="s">
        <v>402</v>
      </c>
      <c r="C25" s="20">
        <v>403.8</v>
      </c>
      <c r="D25" s="7"/>
      <c r="P25" s="6"/>
      <c r="Q25" s="6"/>
    </row>
    <row r="26">
      <c r="B26" t="s">
        <v>253</v>
      </c>
      <c r="C26" s="19">
        <f>C24-C25</f>
        <v>0</v>
      </c>
      <c r="D26" s="7"/>
      <c r="P26" t="s" s="6">
        <v>447</v>
      </c>
      <c r="Q26" s="6"/>
    </row>
    <row r="27">
      <c r="B27" t="s">
        <v>403</v>
      </c>
      <c r="C27" s="20">
        <v>-16.4955</v>
      </c>
      <c r="D27" s="7"/>
      <c r="P27" s="6"/>
      <c r="Q27" s="6"/>
    </row>
    <row r="28">
      <c r="B28" t="s" s="13">
        <v>404</v>
      </c>
      <c r="C28" s="21">
        <f>C25+C27</f>
        <v>387.3045</v>
      </c>
      <c r="D28" s="14"/>
      <c r="E28" s="13"/>
      <c r="F28" s="13"/>
      <c r="G28" s="13"/>
      <c r="H28" s="13"/>
      <c r="I28" s="13"/>
      <c r="J28" s="13"/>
      <c r="K28" s="13"/>
      <c r="L28" s="13"/>
      <c r="M28" s="13"/>
      <c r="N28" s="13"/>
      <c r="O28" s="13"/>
      <c r="P28" t="s" s="16">
        <v>448</v>
      </c>
      <c r="Q28" s="16"/>
    </row>
    <row r="29">
      <c r="B29" t="s">
        <v>405</v>
      </c>
      <c r="C29" s="20">
        <v>387.3045</v>
      </c>
      <c r="D29" s="19">
        <f>C29-C28</f>
        <v>0</v>
      </c>
      <c r="P29" s="6"/>
      <c r="Q29" s="6"/>
    </row>
    <row r="30">
      <c r="B30" t="s">
        <v>406</v>
      </c>
      <c r="C30" s="23">
        <f>C28/C25</f>
        <v>0.9591493313521545</v>
      </c>
      <c r="D30" s="7"/>
      <c r="P30" s="6"/>
      <c r="Q30" s="6"/>
    </row>
    <row r="31">
      <c r="B31" t="s">
        <v>407</v>
      </c>
      <c r="C31" s="20">
        <v>0</v>
      </c>
      <c r="D31" s="7"/>
      <c r="P31" t="s" s="6">
        <v>449</v>
      </c>
      <c r="Q31" s="6"/>
    </row>
    <row r="32">
      <c r="P32" s="6"/>
      <c r="Q32" s="6"/>
    </row>
    <row r="33">
      <c r="P33" s="6"/>
      <c r="Q33" s="6"/>
    </row>
    <row r="34">
      <c r="B34" t="s" s="9">
        <v>408</v>
      </c>
      <c r="C34" s="9"/>
      <c r="D34" s="9"/>
      <c r="E34" s="9"/>
      <c r="F34" s="9"/>
      <c r="G34" s="9"/>
      <c r="H34" s="9"/>
      <c r="I34" s="9"/>
      <c r="J34" s="9"/>
      <c r="K34" s="9"/>
      <c r="L34" s="9"/>
      <c r="M34" s="9"/>
      <c r="N34" s="9"/>
      <c r="O34" s="9"/>
      <c r="P34" s="17"/>
      <c r="Q34" s="17"/>
    </row>
    <row r="35">
      <c r="B35" t="s" s="11">
        <v>301</v>
      </c>
      <c r="C35" t="s" s="12">
        <v>861</v>
      </c>
      <c r="D35" t="s" s="12">
        <v>863</v>
      </c>
      <c r="E35" s="12"/>
      <c r="F35" s="12"/>
      <c r="G35" s="12"/>
      <c r="H35" s="12"/>
      <c r="I35" s="12"/>
      <c r="J35" s="12"/>
      <c r="K35" s="12"/>
      <c r="L35" s="12"/>
      <c r="M35" s="12"/>
      <c r="N35" s="12"/>
      <c r="O35" s="12"/>
      <c r="P35" t="s" s="24">
        <v>42</v>
      </c>
      <c r="Q35" t="s" s="24">
        <v>54</v>
      </c>
    </row>
    <row r="36">
      <c r="B36" t="s">
        <v>409</v>
      </c>
      <c r="C36" s="18">
        <f>'Tie-out'!E44</f>
        <v>34.2</v>
      </c>
      <c r="D36" s="18">
        <f>'Tie-out'!K44</f>
        <v>35.1</v>
      </c>
      <c r="P36" s="6"/>
      <c r="Q36" t="s" s="6">
        <v>456</v>
      </c>
    </row>
    <row r="37">
      <c r="B37" t="s">
        <v>410</v>
      </c>
      <c r="C37" s="18">
        <f>'Tie-out'!D44</f>
        <v>31.6</v>
      </c>
      <c r="D37" s="18">
        <f>'Tie-out'!J44</f>
        <v>32.4</v>
      </c>
      <c r="P37" s="6"/>
      <c r="Q37" s="6"/>
    </row>
    <row r="38">
      <c r="B38" t="s">
        <v>411</v>
      </c>
      <c r="C38" s="20">
        <v>16.4955</v>
      </c>
      <c r="D38" s="20">
        <v>24.1943</v>
      </c>
      <c r="P38" s="6"/>
      <c r="Q38" s="6"/>
    </row>
    <row r="39">
      <c r="B39" t="s" s="13">
        <v>412</v>
      </c>
      <c r="C39" s="21">
        <f>C36-C38</f>
        <v>17.704500000000003</v>
      </c>
      <c r="D39" s="21">
        <f>D36-D38</f>
        <v>10.905700000000003</v>
      </c>
      <c r="E39" s="13"/>
      <c r="F39" s="13"/>
      <c r="G39" s="13"/>
      <c r="H39" s="13"/>
      <c r="I39" s="13"/>
      <c r="J39" s="13"/>
      <c r="K39" s="13"/>
      <c r="L39" s="13"/>
      <c r="M39" s="13"/>
      <c r="N39" s="13"/>
      <c r="O39" s="13"/>
      <c r="P39" t="s" s="16">
        <v>879</v>
      </c>
      <c r="Q39" s="16"/>
    </row>
    <row r="40">
      <c r="B40" t="s">
        <v>413</v>
      </c>
      <c r="C40" s="33">
        <f>C36/C21*$C$43</f>
        <v>30.298543689320393</v>
      </c>
      <c r="D40" s="28"/>
      <c r="P40" s="6"/>
      <c r="Q40" s="6"/>
    </row>
    <row r="41">
      <c r="B41" t="s">
        <v>414</v>
      </c>
      <c r="C41" s="33">
        <f>C38/C25*$C$43</f>
        <v>14.910494056463595</v>
      </c>
      <c r="D41" s="28"/>
      <c r="P41" s="6"/>
      <c r="Q41" s="6"/>
    </row>
    <row r="42">
      <c r="B42" t="s">
        <v>415</v>
      </c>
      <c r="C42" s="30">
        <v>19</v>
      </c>
      <c r="D42" s="30">
        <v>19</v>
      </c>
      <c r="P42" t="s" s="6">
        <v>451</v>
      </c>
      <c r="Q42" s="6"/>
    </row>
    <row r="43">
      <c r="B43" t="s">
        <v>416</v>
      </c>
      <c r="C43" s="37">
        <v>365</v>
      </c>
      <c r="D43" s="28"/>
      <c r="P43" s="6"/>
      <c r="Q43" s="6"/>
    </row>
    <row r="44">
      <c r="P44" s="6"/>
      <c r="Q44" s="6"/>
    </row>
    <row r="45">
      <c r="P45" s="6"/>
      <c r="Q45" s="6"/>
    </row>
    <row r="46">
      <c r="B46" t="s" s="9">
        <v>417</v>
      </c>
      <c r="C46" s="9"/>
      <c r="D46" s="9"/>
      <c r="E46" s="9"/>
      <c r="F46" s="9"/>
      <c r="G46" s="9"/>
      <c r="H46" s="9"/>
      <c r="I46" s="9"/>
      <c r="J46" s="9"/>
      <c r="K46" s="9"/>
      <c r="L46" s="9"/>
      <c r="M46" s="9"/>
      <c r="N46" s="9"/>
      <c r="O46" s="9"/>
      <c r="P46" s="17"/>
      <c r="Q46" s="17"/>
    </row>
    <row r="47">
      <c r="B47" t="s" s="11">
        <v>301</v>
      </c>
      <c r="C47" t="s" s="12">
        <v>437</v>
      </c>
      <c r="D47" s="12"/>
      <c r="E47" s="12"/>
      <c r="F47" s="12"/>
      <c r="G47" s="12"/>
      <c r="H47" s="12"/>
      <c r="I47" s="12"/>
      <c r="J47" s="12"/>
      <c r="K47" s="12"/>
      <c r="L47" s="12"/>
      <c r="M47" s="12"/>
      <c r="N47" s="12"/>
      <c r="O47" s="12"/>
      <c r="P47" t="s" s="24">
        <v>42</v>
      </c>
      <c r="Q47" t="s" s="24">
        <v>54</v>
      </c>
    </row>
    <row r="48">
      <c r="B48" t="s">
        <v>418</v>
      </c>
      <c r="C48" s="30">
        <v>0</v>
      </c>
      <c r="P48" t="s" s="6">
        <v>452</v>
      </c>
      <c r="Q48" t="s" s="6">
        <v>457</v>
      </c>
    </row>
    <row r="49">
      <c r="B49" t="s">
        <v>419</v>
      </c>
      <c r="C49" s="20">
        <v>0.19</v>
      </c>
      <c r="P49" s="6"/>
      <c r="Q49" s="6"/>
    </row>
    <row r="50">
      <c r="B50" t="s">
        <v>420</v>
      </c>
      <c r="C50" s="20">
        <v>0</v>
      </c>
      <c r="P50" s="6"/>
      <c r="Q50" s="6"/>
    </row>
    <row r="51">
      <c r="B51" t="s">
        <v>421</v>
      </c>
      <c r="C51" s="20">
        <v>10.1161</v>
      </c>
      <c r="P51" s="6"/>
      <c r="Q51" s="6"/>
    </row>
    <row r="52">
      <c r="B52" t="s">
        <v>422</v>
      </c>
      <c r="C52" s="20">
        <v>0</v>
      </c>
      <c r="P52" s="6"/>
      <c r="Q52" s="6"/>
    </row>
    <row r="53">
      <c r="B53" t="s">
        <v>423</v>
      </c>
      <c r="C53" s="20">
        <v>271.1929</v>
      </c>
      <c r="P53" s="6"/>
      <c r="Q53" s="6"/>
    </row>
    <row r="54">
      <c r="B54" t="s">
        <v>424</v>
      </c>
      <c r="C54" s="20">
        <v>225.0934</v>
      </c>
      <c r="P54" s="6"/>
      <c r="Q54" s="6"/>
    </row>
    <row r="55">
      <c r="B55" t="s">
        <v>425</v>
      </c>
      <c r="C55" s="20">
        <v>7.9976</v>
      </c>
      <c r="P55" t="s" s="6">
        <v>453</v>
      </c>
      <c r="Q55" s="6"/>
    </row>
    <row r="56">
      <c r="P56" s="6"/>
      <c r="Q56" s="6"/>
    </row>
    <row r="57">
      <c r="P57" s="6"/>
      <c r="Q57" s="6"/>
    </row>
    <row r="58">
      <c r="B58" t="s" s="9">
        <v>426</v>
      </c>
      <c r="C58" s="9"/>
      <c r="D58" s="9"/>
      <c r="E58" s="9"/>
      <c r="F58" s="9"/>
      <c r="G58" s="9"/>
      <c r="H58" s="9"/>
      <c r="I58" s="9"/>
      <c r="J58" s="9"/>
      <c r="K58" s="9"/>
      <c r="L58" s="9"/>
      <c r="M58" s="9"/>
      <c r="N58" s="9"/>
      <c r="O58" s="9"/>
      <c r="P58" s="17"/>
      <c r="Q58" s="17"/>
    </row>
    <row r="59">
      <c r="B59" t="s" s="11">
        <v>301</v>
      </c>
      <c r="C59" t="s" s="12">
        <v>145</v>
      </c>
      <c r="D59" t="s" s="12">
        <v>147</v>
      </c>
      <c r="E59" t="s" s="12">
        <v>149</v>
      </c>
      <c r="F59" t="s" s="12">
        <v>152</v>
      </c>
      <c r="G59" t="s" s="12">
        <v>158</v>
      </c>
      <c r="H59" t="s" s="12">
        <v>160</v>
      </c>
      <c r="I59" t="s" s="12">
        <v>162</v>
      </c>
      <c r="J59" t="s" s="12">
        <v>164</v>
      </c>
      <c r="K59" t="s" s="12">
        <v>166</v>
      </c>
      <c r="L59" t="s" s="12">
        <v>168</v>
      </c>
      <c r="M59" t="s" s="12">
        <v>170</v>
      </c>
      <c r="N59" t="s" s="12">
        <v>172</v>
      </c>
      <c r="O59" t="s" s="12">
        <v>36</v>
      </c>
      <c r="P59" t="s" s="24">
        <v>42</v>
      </c>
      <c r="Q59" t="s" s="24">
        <v>54</v>
      </c>
    </row>
    <row r="60">
      <c r="B60" t="s">
        <v>427</v>
      </c>
      <c r="C60" s="20">
        <v>31</v>
      </c>
      <c r="D60" s="20">
        <v>31.2</v>
      </c>
      <c r="E60" s="20">
        <v>31.95</v>
      </c>
      <c r="F60" s="20">
        <v>32.86</v>
      </c>
      <c r="G60" s="20">
        <v>33.94</v>
      </c>
      <c r="H60" s="20">
        <v>35.7</v>
      </c>
      <c r="I60" s="20">
        <v>37.32</v>
      </c>
      <c r="J60" s="20">
        <v>37.4</v>
      </c>
      <c r="K60" s="20">
        <v>36.22</v>
      </c>
      <c r="L60" s="20">
        <v>35.18</v>
      </c>
      <c r="M60" s="20">
        <v>34.52</v>
      </c>
      <c r="N60" s="20">
        <v>34.71</v>
      </c>
      <c r="O60" s="19">
        <f>SUM(C60:N60)</f>
        <v>411.9999999999999</v>
      </c>
      <c r="P60" s="6"/>
      <c r="Q60" t="s" s="6">
        <v>460</v>
      </c>
    </row>
    <row r="61">
      <c r="B61" t="s">
        <v>428</v>
      </c>
      <c r="C61" s="20">
        <v>-0.36</v>
      </c>
      <c r="D61" s="20">
        <v>-0.4</v>
      </c>
      <c r="E61" s="20">
        <v>-0.43</v>
      </c>
      <c r="F61" s="20">
        <v>-0.5</v>
      </c>
      <c r="G61" s="20">
        <v>-0.58</v>
      </c>
      <c r="H61" s="20">
        <v>-0.65</v>
      </c>
      <c r="I61" s="20">
        <v>-0.72</v>
      </c>
      <c r="J61" s="20">
        <v>-0.79</v>
      </c>
      <c r="K61" s="20">
        <v>-0.86</v>
      </c>
      <c r="L61" s="20">
        <v>-0.93</v>
      </c>
      <c r="M61" s="20">
        <v>-0.97</v>
      </c>
      <c r="N61" s="20">
        <v>-1.01</v>
      </c>
      <c r="O61" s="19">
        <f>SUM(C61:N61)</f>
        <v>-8.2</v>
      </c>
      <c r="P61" s="6"/>
      <c r="Q61" s="6"/>
    </row>
    <row r="62">
      <c r="B62" t="s" s="13">
        <v>429</v>
      </c>
      <c r="C62" s="21">
        <f>C60+C61</f>
        <v>30.64</v>
      </c>
      <c r="D62" s="21">
        <f>D60+D61</f>
        <v>30.8</v>
      </c>
      <c r="E62" s="21">
        <f>E60+E61</f>
        <v>31.52</v>
      </c>
      <c r="F62" s="21">
        <f>F60+F61</f>
        <v>32.36</v>
      </c>
      <c r="G62" s="21">
        <f>G60+G61</f>
        <v>33.36</v>
      </c>
      <c r="H62" s="21">
        <f>H60+H61</f>
        <v>35.050000000000004</v>
      </c>
      <c r="I62" s="21">
        <f>I60+I61</f>
        <v>36.6</v>
      </c>
      <c r="J62" s="21">
        <f>J60+J61</f>
        <v>36.61</v>
      </c>
      <c r="K62" s="21">
        <f>K60+K61</f>
        <v>35.36</v>
      </c>
      <c r="L62" s="21">
        <f>L60+L61</f>
        <v>34.25</v>
      </c>
      <c r="M62" s="21">
        <f>M60+M61</f>
        <v>33.550000000000004</v>
      </c>
      <c r="N62" s="21">
        <f>N60+N61</f>
        <v>33.7</v>
      </c>
      <c r="O62" s="21">
        <f>SUM(C62:N62)</f>
        <v>403.8</v>
      </c>
      <c r="P62" s="16"/>
      <c r="Q62" s="16"/>
    </row>
    <row r="63">
      <c r="B63" t="s">
        <v>430</v>
      </c>
      <c r="C63" s="20">
        <v>32.3818</v>
      </c>
      <c r="D63" s="20">
        <v>32.6858</v>
      </c>
      <c r="E63" s="20">
        <v>32.9468</v>
      </c>
      <c r="F63" s="20">
        <v>33.0718</v>
      </c>
      <c r="G63" s="20">
        <v>33.4106</v>
      </c>
      <c r="H63" s="20">
        <v>33.6853</v>
      </c>
      <c r="I63" s="20">
        <v>33.9599</v>
      </c>
      <c r="J63" s="20">
        <v>34.1911</v>
      </c>
      <c r="K63" s="20">
        <v>34.2854</v>
      </c>
      <c r="L63" s="20">
        <v>34.0793</v>
      </c>
      <c r="M63" s="20">
        <v>34.4051</v>
      </c>
      <c r="N63" s="20">
        <v>34.6968</v>
      </c>
      <c r="O63" s="19">
        <f>SUM(C63:N63)</f>
        <v>403.7997</v>
      </c>
      <c r="P63" s="6"/>
      <c r="Q63" s="6"/>
    </row>
    <row r="64">
      <c r="B64" t="s">
        <v>431</v>
      </c>
      <c r="C64" s="20">
        <v>32.3818</v>
      </c>
      <c r="D64" s="20">
        <v>32.6857</v>
      </c>
      <c r="E64" s="20">
        <v>32.9469</v>
      </c>
      <c r="F64" s="20">
        <v>33.0717</v>
      </c>
      <c r="G64" s="20">
        <v>33.4106</v>
      </c>
      <c r="H64" s="20">
        <v>33.6854</v>
      </c>
      <c r="I64" s="20">
        <v>33.9599</v>
      </c>
      <c r="J64" s="20">
        <v>34.1911</v>
      </c>
      <c r="K64" s="20">
        <v>34.2855</v>
      </c>
      <c r="L64" s="20">
        <v>34.0793</v>
      </c>
      <c r="M64" s="20">
        <v>34.4051</v>
      </c>
      <c r="N64" s="20">
        <v>34.6969</v>
      </c>
      <c r="O64" s="19">
        <f>SUM(C64:N64)</f>
        <v>403.7999</v>
      </c>
      <c r="P64" s="6"/>
      <c r="Q64" s="6"/>
    </row>
    <row r="65">
      <c r="B65" t="s">
        <v>432</v>
      </c>
      <c r="C65" s="19">
        <f>C62-C63</f>
        <v>-1.7417999999999978</v>
      </c>
      <c r="D65" s="19">
        <f>D62-D63</f>
        <v>-1.8857999999999997</v>
      </c>
      <c r="E65" s="19">
        <f>E62-E63</f>
        <v>-1.4268000000000036</v>
      </c>
      <c r="F65" s="19">
        <f>F62-F63</f>
        <v>-0.7118000000000038</v>
      </c>
      <c r="G65" s="19">
        <f>G62-G63</f>
        <v>-0.050600000000002865</v>
      </c>
      <c r="H65" s="19">
        <f>H62-H63</f>
        <v>1.3647000000000062</v>
      </c>
      <c r="I65" s="19">
        <f>I62-I63</f>
        <v>2.640100000000004</v>
      </c>
      <c r="J65" s="19">
        <f>J62-J63</f>
        <v>2.4189000000000007</v>
      </c>
      <c r="K65" s="19">
        <f>K62-K63</f>
        <v>1.0745999999999967</v>
      </c>
      <c r="L65" s="19">
        <f>L62-L63</f>
        <v>0.17069999999999652</v>
      </c>
      <c r="M65" s="19">
        <f>M62-M63</f>
        <v>-0.8550999999999931</v>
      </c>
      <c r="N65" s="19">
        <f>N62-N63</f>
        <v>-0.9968000000000004</v>
      </c>
      <c r="O65" s="19">
        <f>SUM(C65:N65)</f>
        <v>0.00030000000000285354</v>
      </c>
      <c r="P65" t="s" s="6">
        <v>458</v>
      </c>
      <c r="Q65" s="6"/>
    </row>
    <row r="66">
      <c r="B66" t="s">
        <v>433</v>
      </c>
      <c r="C66" s="20">
        <v>16.07</v>
      </c>
      <c r="D66" s="20">
        <v>31.9344</v>
      </c>
      <c r="E66" s="20">
        <v>31.8799</v>
      </c>
      <c r="F66" s="20">
        <v>28.0937</v>
      </c>
      <c r="G66" s="20">
        <v>44.7712</v>
      </c>
      <c r="H66" s="20">
        <v>24.1048</v>
      </c>
      <c r="I66" s="20">
        <v>36.797</v>
      </c>
      <c r="J66" s="20">
        <v>37.4514</v>
      </c>
      <c r="K66" s="20">
        <v>28.5148</v>
      </c>
      <c r="L66" s="20">
        <v>41.386</v>
      </c>
      <c r="M66" s="20">
        <v>34.168</v>
      </c>
      <c r="N66" s="20">
        <v>32.1333</v>
      </c>
      <c r="O66" s="19">
        <f>SUM(C66:N66)</f>
        <v>387.3045000000001</v>
      </c>
      <c r="P66" t="s" s="6">
        <v>459</v>
      </c>
      <c r="Q66" s="6"/>
    </row>
    <row r="67">
      <c r="B67" t="s">
        <v>434</v>
      </c>
      <c r="C67" s="19">
        <f>C66-C64</f>
        <v>-16.311799999999998</v>
      </c>
      <c r="D67" s="19">
        <f>D66-D64</f>
        <v>-0.751299999999997</v>
      </c>
      <c r="E67" s="19">
        <f>E66-E64</f>
        <v>-1.0670000000000002</v>
      </c>
      <c r="F67" s="19">
        <f>F66-F64</f>
        <v>-4.9780000000000015</v>
      </c>
      <c r="G67" s="19">
        <f>G66-G64</f>
        <v>11.360599999999998</v>
      </c>
      <c r="H67" s="19">
        <f>H66-H64</f>
        <v>-9.5806</v>
      </c>
      <c r="I67" s="19">
        <f>I66-I64</f>
        <v>2.8370999999999995</v>
      </c>
      <c r="J67" s="19">
        <f>J66-J64</f>
        <v>3.260300000000001</v>
      </c>
      <c r="K67" s="19">
        <f>K66-K64</f>
        <v>-5.770699999999998</v>
      </c>
      <c r="L67" s="19">
        <f>L66-L64</f>
        <v>7.306699999999999</v>
      </c>
      <c r="M67" s="19">
        <f>M66-M64</f>
        <v>-0.2370999999999981</v>
      </c>
      <c r="N67" s="19">
        <f>N66-N64</f>
        <v>-2.563600000000001</v>
      </c>
      <c r="O67" s="19">
        <f>SUM(C67:N67)</f>
        <v>-16.495399999999997</v>
      </c>
      <c r="P67" s="6"/>
      <c r="Q67" s="6"/>
    </row>
  </sheetData>
  <mergeCells count="2">
    <mergeCell ref="B3:Q3"/>
    <mergeCell ref="B4:Q4"/>
  </mergeCells>
  <pageMargins left="0.7" right="0.7" top="0.75" bottom="0.75" header="0.3" footer="0.3"/>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J67"/>
  <sheetViews>
    <sheetView showGridLines="0" workbookViewId="0">
      <selection activeCell="A1" sqref="A1"/>
    </sheetView>
  </sheetViews>
  <cols>
    <col min="1" max="1" width="2.359375" customWidth="1"/>
    <col min="2" max="2" width="73.21875" customWidth="1"/>
    <col min="3" max="8" width="15.21875" customWidth="1"/>
    <col min="9" max="9" width="94.359375" customWidth="1"/>
    <col min="10" max="10" width="40.07421875" customWidth="1"/>
  </cols>
  <sheetData>
    <row r="2">
      <c r="B2" t="s" s="2">
        <v>461</v>
      </c>
    </row>
    <row r="3" ht="58" customHeight="1">
      <c r="B3" t="s" s="4">
        <v>1092</v>
      </c>
      <c r="C3" s="3"/>
      <c r="D3" s="3"/>
      <c r="E3" s="3"/>
      <c r="F3" s="3"/>
      <c r="G3" s="3"/>
      <c r="H3" s="3"/>
      <c r="I3" s="3"/>
      <c r="J3" s="3"/>
    </row>
    <row r="4" ht="28" customHeight="1">
      <c r="B4" t="s" s="6">
        <v>463</v>
      </c>
      <c r="C4" s="3"/>
      <c r="D4" s="3"/>
      <c r="E4" s="3"/>
      <c r="F4" s="3"/>
      <c r="G4" s="3"/>
      <c r="H4" s="3"/>
      <c r="I4" s="3"/>
      <c r="J4" s="3"/>
    </row>
    <row r="6">
      <c r="B6" t="s" s="11">
        <v>301</v>
      </c>
      <c r="C6" t="s" s="12">
        <v>503</v>
      </c>
      <c r="D6" t="s" s="12">
        <v>504</v>
      </c>
      <c r="E6" t="s" s="12">
        <v>335</v>
      </c>
      <c r="F6" t="s" s="12">
        <v>505</v>
      </c>
      <c r="G6" t="s" s="12">
        <v>506</v>
      </c>
      <c r="H6" t="s" s="12">
        <v>335</v>
      </c>
      <c r="I6" t="s" s="12">
        <v>507</v>
      </c>
      <c r="J6" t="s" s="12">
        <v>54</v>
      </c>
    </row>
    <row r="7">
      <c r="B7" t="s" s="9">
        <v>464</v>
      </c>
      <c r="C7" s="9"/>
      <c r="D7" s="9"/>
      <c r="E7" s="9"/>
      <c r="F7" s="9"/>
      <c r="G7" s="9"/>
      <c r="H7" s="9"/>
      <c r="I7" s="9"/>
      <c r="J7" s="9"/>
    </row>
    <row r="8">
      <c r="B8" t="s" s="3">
        <v>465</v>
      </c>
      <c r="C8" s="20">
        <v>1150</v>
      </c>
      <c r="D8" s="20">
        <v>1150</v>
      </c>
      <c r="E8" s="19">
        <f>D8-C8</f>
        <v>0</v>
      </c>
      <c r="F8" s="20">
        <v>1150</v>
      </c>
      <c r="G8" s="20">
        <v>1150</v>
      </c>
      <c r="H8" s="19">
        <f>G8-F8</f>
        <v>0</v>
      </c>
      <c r="I8" t="s" s="6">
        <v>508</v>
      </c>
      <c r="J8" t="s" s="6">
        <v>528</v>
      </c>
    </row>
    <row r="9">
      <c r="B9" t="s" s="3">
        <v>466</v>
      </c>
      <c r="C9" s="20">
        <v>420</v>
      </c>
      <c r="D9" s="20">
        <v>420</v>
      </c>
      <c r="E9" s="19">
        <f>D9-C9</f>
        <v>0</v>
      </c>
      <c r="F9" s="20">
        <v>485</v>
      </c>
      <c r="G9" s="20">
        <v>485</v>
      </c>
      <c r="H9" s="19">
        <f>G9-F9</f>
        <v>0</v>
      </c>
      <c r="I9" t="s" s="6">
        <v>509</v>
      </c>
      <c r="J9" t="s" s="6">
        <v>529</v>
      </c>
    </row>
    <row r="10">
      <c r="B10" t="s" s="3">
        <v>467</v>
      </c>
      <c r="C10" s="20">
        <v>9</v>
      </c>
      <c r="D10" s="20">
        <v>9</v>
      </c>
      <c r="E10" s="19">
        <f>D10-C10</f>
        <v>0</v>
      </c>
      <c r="F10" s="20">
        <v>9</v>
      </c>
      <c r="G10" s="20">
        <v>9</v>
      </c>
      <c r="H10" s="19">
        <f>G10-F10</f>
        <v>0</v>
      </c>
      <c r="I10" t="s" s="6">
        <v>510</v>
      </c>
      <c r="J10" t="s" s="6">
        <v>530</v>
      </c>
    </row>
    <row r="11">
      <c r="B11" t="s" s="3">
        <v>468</v>
      </c>
      <c r="C11" s="20">
        <v>0</v>
      </c>
      <c r="D11" s="20">
        <v>0</v>
      </c>
      <c r="E11" s="19">
        <f>D11-C11</f>
        <v>0</v>
      </c>
      <c r="F11" s="20">
        <v>0</v>
      </c>
      <c r="G11" s="20">
        <v>0</v>
      </c>
      <c r="H11" s="19">
        <f>G11-F11</f>
        <v>0</v>
      </c>
      <c r="I11" t="s" s="6">
        <v>1044</v>
      </c>
      <c r="J11" t="s" s="6">
        <v>531</v>
      </c>
    </row>
    <row r="12">
      <c r="B12" t="s" s="3">
        <v>469</v>
      </c>
      <c r="C12" s="20">
        <v>0</v>
      </c>
      <c r="D12" s="20">
        <v>0</v>
      </c>
      <c r="E12" s="19">
        <f>D12-C12</f>
        <v>0</v>
      </c>
      <c r="F12" s="20">
        <v>0</v>
      </c>
      <c r="G12" s="20">
        <v>0</v>
      </c>
      <c r="H12" s="19">
        <f>G12-F12</f>
        <v>0</v>
      </c>
      <c r="I12" t="s" s="6">
        <v>512</v>
      </c>
      <c r="J12" t="s" s="6">
        <v>532</v>
      </c>
    </row>
    <row r="13">
      <c r="B13" t="s" s="3">
        <v>470</v>
      </c>
      <c r="C13" s="20">
        <v>0</v>
      </c>
      <c r="D13" s="20">
        <v>0</v>
      </c>
      <c r="E13" s="19">
        <f>D13-C13</f>
        <v>0</v>
      </c>
      <c r="F13" s="20">
        <v>0</v>
      </c>
      <c r="G13" s="20">
        <v>0</v>
      </c>
      <c r="H13" s="19">
        <f>G13-F13</f>
        <v>0</v>
      </c>
      <c r="I13" t="s" s="6">
        <v>513</v>
      </c>
      <c r="J13" t="s" s="6">
        <v>533</v>
      </c>
    </row>
    <row r="14">
      <c r="B14" t="s" s="36">
        <v>471</v>
      </c>
      <c r="C14" s="10"/>
      <c r="D14" s="10"/>
      <c r="E14" s="10"/>
      <c r="F14" s="10"/>
      <c r="G14" s="10"/>
      <c r="H14" s="10"/>
      <c r="I14" s="17"/>
      <c r="J14" s="17"/>
    </row>
    <row r="15">
      <c r="B15" t="s" s="3">
        <v>472</v>
      </c>
      <c r="C15" s="20">
        <v>1.2</v>
      </c>
      <c r="D15" s="20">
        <v>4.6</v>
      </c>
      <c r="E15" s="19">
        <f>D15-C15</f>
        <v>3.3999999999999995</v>
      </c>
      <c r="F15" s="20">
        <v>1.2</v>
      </c>
      <c r="G15" s="20">
        <v>4.6</v>
      </c>
      <c r="H15" s="19">
        <f>G15-F15</f>
        <v>3.3999999999999995</v>
      </c>
      <c r="I15" t="s" s="6">
        <v>514</v>
      </c>
      <c r="J15" t="s" s="6">
        <v>534</v>
      </c>
    </row>
    <row r="16">
      <c r="B16" t="s" s="3">
        <v>473</v>
      </c>
      <c r="C16" s="20">
        <v>0.3</v>
      </c>
      <c r="D16" s="20">
        <v>0.3</v>
      </c>
      <c r="E16" s="19">
        <f>D16-C16</f>
        <v>0</v>
      </c>
      <c r="F16" s="20">
        <v>0.3</v>
      </c>
      <c r="G16" s="20">
        <v>0.3</v>
      </c>
      <c r="H16" s="19">
        <f>G16-F16</f>
        <v>0</v>
      </c>
      <c r="I16" t="s" s="6">
        <v>515</v>
      </c>
      <c r="J16" t="s" s="6">
        <v>535</v>
      </c>
    </row>
    <row r="17">
      <c r="B17" t="s" s="3">
        <v>474</v>
      </c>
      <c r="C17" s="20">
        <v>11.4</v>
      </c>
      <c r="D17" s="20">
        <v>11.4</v>
      </c>
      <c r="E17" s="19">
        <f>D17-C17</f>
        <v>0</v>
      </c>
      <c r="F17" s="20">
        <v>11.4</v>
      </c>
      <c r="G17" s="20">
        <v>0</v>
      </c>
      <c r="H17" s="19">
        <f>G17-F17</f>
        <v>-11.4</v>
      </c>
      <c r="I17" t="s" s="6">
        <v>1045</v>
      </c>
      <c r="J17" t="s" s="6">
        <v>536</v>
      </c>
    </row>
    <row r="18">
      <c r="B18" t="s" s="3">
        <v>1040</v>
      </c>
      <c r="C18" s="20">
        <v>0</v>
      </c>
      <c r="D18" s="20">
        <v>9.4</v>
      </c>
      <c r="E18" s="19">
        <f>D18-C18</f>
        <v>9.4</v>
      </c>
      <c r="F18" s="20">
        <v>0</v>
      </c>
      <c r="G18" s="20">
        <v>0</v>
      </c>
      <c r="H18" s="19">
        <f>G18-F18</f>
        <v>0</v>
      </c>
      <c r="I18" t="s" s="6">
        <v>1046</v>
      </c>
      <c r="J18" t="s" s="6">
        <v>1049</v>
      </c>
    </row>
    <row r="19">
      <c r="B19" t="s" s="3">
        <v>1041</v>
      </c>
      <c r="C19" s="20">
        <v>0</v>
      </c>
      <c r="D19" s="61">
        <v>1.2</v>
      </c>
      <c r="E19" s="19">
        <f>D19-C19</f>
        <v>1.2</v>
      </c>
      <c r="F19" s="20">
        <v>0</v>
      </c>
      <c r="G19" s="61">
        <v>1.2</v>
      </c>
      <c r="H19" s="19">
        <f>G19-F19</f>
        <v>1.2</v>
      </c>
      <c r="I19" t="s" s="6">
        <v>1047</v>
      </c>
      <c r="J19" t="s" s="6">
        <v>1050</v>
      </c>
    </row>
    <row r="20">
      <c r="B20" t="s" s="3">
        <v>1042</v>
      </c>
      <c r="C20" s="20">
        <v>0</v>
      </c>
      <c r="D20" s="18">
        <f>'Tie-out'!E52-'Tie-out'!D52-D17-C15-D16-D18-D19</f>
        <v>34.099999999999994</v>
      </c>
      <c r="E20" s="19">
        <f>D20-C20</f>
        <v>34.099999999999994</v>
      </c>
      <c r="F20" s="20">
        <v>0</v>
      </c>
      <c r="G20" s="18">
        <f>'Tie-out'!K52-'Tie-out'!J52-F15-G16-G18-G19</f>
        <v>59.3</v>
      </c>
      <c r="H20" s="19">
        <f>G20-F20</f>
        <v>59.3</v>
      </c>
      <c r="I20" t="s" s="6">
        <v>1258</v>
      </c>
      <c r="J20" t="s" s="6">
        <v>1051</v>
      </c>
    </row>
    <row r="21">
      <c r="B21" t="s" s="3">
        <v>476</v>
      </c>
      <c r="C21" s="20">
        <v>0</v>
      </c>
      <c r="D21" s="20">
        <v>6.5</v>
      </c>
      <c r="E21" s="19">
        <f>D21-C21</f>
        <v>6.5</v>
      </c>
      <c r="F21" s="20">
        <v>0</v>
      </c>
      <c r="G21" s="20">
        <v>6.5</v>
      </c>
      <c r="H21" s="19">
        <f>G21-F21</f>
        <v>6.5</v>
      </c>
      <c r="I21" t="s" s="6">
        <v>518</v>
      </c>
      <c r="J21" t="s" s="6">
        <v>379</v>
      </c>
    </row>
    <row r="22">
      <c r="B22" t="s" s="3">
        <v>920</v>
      </c>
      <c r="C22" s="20">
        <v>0</v>
      </c>
      <c r="D22" s="61">
        <v>0</v>
      </c>
      <c r="E22" s="19">
        <f>D22-C22</f>
        <v>0</v>
      </c>
      <c r="F22" s="20">
        <v>0</v>
      </c>
      <c r="G22" s="61">
        <v>0</v>
      </c>
      <c r="H22" s="19">
        <f>G22-F22</f>
        <v>0</v>
      </c>
      <c r="I22" t="s" s="6">
        <v>921</v>
      </c>
      <c r="J22" t="s" s="6">
        <v>538</v>
      </c>
    </row>
    <row r="23">
      <c r="B23" t="s" s="3">
        <v>477</v>
      </c>
      <c r="C23" s="20">
        <v>0</v>
      </c>
      <c r="D23" s="18">
        <f>'Tie-out'!E54-'Tie-out'!D54</f>
        <v>4.800000000000001</v>
      </c>
      <c r="E23" s="19">
        <f>D23-C23</f>
        <v>4.800000000000001</v>
      </c>
      <c r="F23" s="20">
        <v>0</v>
      </c>
      <c r="G23" s="18">
        <f>'Tie-out'!K54-'Tie-out'!J54</f>
        <v>5.200000000000001</v>
      </c>
      <c r="H23" s="19">
        <f>G23-F23</f>
        <v>5.200000000000001</v>
      </c>
      <c r="I23" t="s" s="6">
        <v>520</v>
      </c>
      <c r="J23" t="s" s="6">
        <v>538</v>
      </c>
    </row>
    <row r="24">
      <c r="B24" t="s" s="3">
        <v>478</v>
      </c>
      <c r="C24" s="20">
        <v>0</v>
      </c>
      <c r="D24" s="18">
        <f>'Tie-out'!E55</f>
        <v>9.4</v>
      </c>
      <c r="E24" s="19">
        <f>D24-C24</f>
        <v>9.4</v>
      </c>
      <c r="F24" s="20">
        <v>0</v>
      </c>
      <c r="G24" s="18">
        <f>'Tie-out'!K55</f>
        <v>9.6</v>
      </c>
      <c r="H24" s="19">
        <f>G24-F24</f>
        <v>9.6</v>
      </c>
      <c r="I24" t="s" s="6">
        <v>521</v>
      </c>
      <c r="J24" t="s" s="6">
        <v>538</v>
      </c>
    </row>
    <row r="25">
      <c r="B25" t="s" s="3">
        <v>479</v>
      </c>
      <c r="C25" s="20">
        <v>0</v>
      </c>
      <c r="D25" s="18">
        <f>'Tie-out'!E59</f>
        <v>6.5</v>
      </c>
      <c r="E25" s="19">
        <f>D25-C25</f>
        <v>6.5</v>
      </c>
      <c r="F25" s="20">
        <v>0</v>
      </c>
      <c r="G25" s="18">
        <f>'Tie-out'!K59</f>
        <v>6.7</v>
      </c>
      <c r="H25" s="19">
        <f>G25-F25</f>
        <v>6.7</v>
      </c>
      <c r="I25" t="s" s="6">
        <v>522</v>
      </c>
      <c r="J25" t="s" s="6">
        <v>539</v>
      </c>
    </row>
    <row r="26">
      <c r="B26" t="s" s="3">
        <v>480</v>
      </c>
      <c r="C26" s="20">
        <v>0</v>
      </c>
      <c r="D26" s="20">
        <v>1.8</v>
      </c>
      <c r="E26" s="19">
        <f>D26-C26</f>
        <v>1.8</v>
      </c>
      <c r="F26" s="20">
        <v>0</v>
      </c>
      <c r="G26" s="20">
        <v>1.8</v>
      </c>
      <c r="H26" s="19">
        <f>G26-F26</f>
        <v>1.8</v>
      </c>
      <c r="I26" t="s" s="6">
        <v>523</v>
      </c>
      <c r="J26" t="s" s="6">
        <v>540</v>
      </c>
    </row>
    <row r="27">
      <c r="B27" t="s" s="3">
        <v>481</v>
      </c>
      <c r="C27" s="20">
        <v>0</v>
      </c>
      <c r="D27" s="20">
        <v>0</v>
      </c>
      <c r="E27" s="19">
        <f>D27-C27</f>
        <v>0</v>
      </c>
      <c r="F27" s="20">
        <v>0</v>
      </c>
      <c r="G27" s="20">
        <v>0</v>
      </c>
      <c r="H27" s="19">
        <f>G27-F27</f>
        <v>0</v>
      </c>
      <c r="I27" t="s" s="6">
        <v>524</v>
      </c>
      <c r="J27" t="s" s="6">
        <v>541</v>
      </c>
    </row>
    <row r="28">
      <c r="B28" t="s" s="35">
        <v>482</v>
      </c>
      <c r="C28" s="21">
        <f>SUM(C8:C27)</f>
        <v>1591.9</v>
      </c>
      <c r="D28" s="21">
        <f>SUM(D8:D27)</f>
        <v>1669</v>
      </c>
      <c r="E28" s="21">
        <f>D28-C28</f>
        <v>77.09999999999991</v>
      </c>
      <c r="F28" s="21">
        <f>SUM(F8:F27)</f>
        <v>1656.9</v>
      </c>
      <c r="G28" s="21">
        <f>SUM(G8:G27)</f>
        <v>1739.1999999999998</v>
      </c>
      <c r="H28" s="21">
        <f>G28-F28</f>
        <v>82.29999999999973</v>
      </c>
      <c r="I28" s="16"/>
      <c r="J28" s="16"/>
    </row>
    <row r="29">
      <c r="B29" t="s" s="3">
        <v>483</v>
      </c>
      <c r="C29" s="20">
        <v>-85</v>
      </c>
      <c r="D29" s="20">
        <v>-85</v>
      </c>
      <c r="E29" s="19">
        <f>D29-C29</f>
        <v>0</v>
      </c>
      <c r="F29" s="20">
        <v>-91.2</v>
      </c>
      <c r="G29" s="20">
        <v>-91.2</v>
      </c>
      <c r="H29" s="19">
        <f>G29-F29</f>
        <v>0</v>
      </c>
      <c r="I29" s="6"/>
      <c r="J29" s="6"/>
    </row>
    <row r="30">
      <c r="B30" t="s" s="35">
        <v>484</v>
      </c>
      <c r="C30" s="21">
        <f>C28+C29</f>
        <v>1506.9</v>
      </c>
      <c r="D30" s="21">
        <f>D28+D29</f>
        <v>1584</v>
      </c>
      <c r="E30" s="21">
        <f>D30-C30</f>
        <v>77.09999999999991</v>
      </c>
      <c r="F30" s="21">
        <f>F28+F29</f>
        <v>1565.7</v>
      </c>
      <c r="G30" s="21">
        <f>G28+G29</f>
        <v>1647.9999999999998</v>
      </c>
      <c r="H30" s="21">
        <f>G30-F30</f>
        <v>82.29999999999973</v>
      </c>
      <c r="I30" s="16"/>
      <c r="J30" s="16"/>
    </row>
    <row r="31">
      <c r="B31" t="s" s="3">
        <v>485</v>
      </c>
      <c r="C31" s="20">
        <v>1506.9</v>
      </c>
      <c r="D31" s="19">
        <f>C30-C31</f>
        <v>0</v>
      </c>
      <c r="E31" s="7"/>
      <c r="F31" s="7"/>
      <c r="G31" s="7"/>
      <c r="H31" s="7"/>
      <c r="I31" t="s" s="6">
        <v>525</v>
      </c>
      <c r="J31" s="6"/>
    </row>
    <row r="32">
      <c r="B32" s="3"/>
      <c r="I32" s="6"/>
      <c r="J32" s="6"/>
    </row>
    <row r="33">
      <c r="B33" t="s" s="36">
        <v>1052</v>
      </c>
      <c r="C33" s="10"/>
      <c r="D33" s="10"/>
      <c r="E33" s="10"/>
      <c r="F33" s="10"/>
      <c r="G33" s="10"/>
      <c r="H33" s="10"/>
      <c r="I33" s="17"/>
      <c r="J33" s="17"/>
    </row>
    <row r="34">
      <c r="B34" t="s" s="11">
        <v>301</v>
      </c>
      <c r="C34" t="s" s="12">
        <v>1063</v>
      </c>
      <c r="D34" t="s" s="12">
        <v>1064</v>
      </c>
      <c r="E34" t="s" s="12">
        <v>335</v>
      </c>
      <c r="F34" s="12"/>
      <c r="G34" s="12"/>
      <c r="H34" s="12"/>
      <c r="I34" t="s" s="12">
        <v>1065</v>
      </c>
      <c r="J34" t="s" s="12">
        <v>54</v>
      </c>
    </row>
    <row r="35">
      <c r="B35" t="s" s="3">
        <v>1053</v>
      </c>
      <c r="C35" s="61">
        <v>34.1</v>
      </c>
      <c r="D35" s="19">
        <f>D20</f>
        <v>34.099999999999994</v>
      </c>
      <c r="E35" s="19">
        <f>D35-C35</f>
        <v>0</v>
      </c>
      <c r="F35" s="19"/>
      <c r="G35" s="19"/>
      <c r="H35" s="19"/>
      <c r="I35" t="s" s="6">
        <v>1066</v>
      </c>
      <c r="J35" t="s" s="6">
        <v>1076</v>
      </c>
    </row>
    <row r="36">
      <c r="B36" t="s" s="3">
        <v>1054</v>
      </c>
      <c r="C36" s="86">
        <v>9.4</v>
      </c>
      <c r="D36" s="7">
        <f>D18</f>
        <v>9.4</v>
      </c>
      <c r="E36" s="7">
        <f>D36-C36</f>
        <v>0</v>
      </c>
      <c r="I36" t="s" s="6">
        <v>1067</v>
      </c>
      <c r="J36" t="s" s="6">
        <v>1076</v>
      </c>
    </row>
    <row r="37">
      <c r="B37" t="s" s="3">
        <v>1041</v>
      </c>
      <c r="C37" s="86">
        <v>1.2</v>
      </c>
      <c r="D37" s="7">
        <f>D19</f>
        <v>1.2</v>
      </c>
      <c r="E37" s="7">
        <f>D37-C37</f>
        <v>0</v>
      </c>
      <c r="I37" t="s" s="6">
        <v>1068</v>
      </c>
      <c r="J37" t="s" s="6">
        <v>1076</v>
      </c>
    </row>
    <row r="38">
      <c r="B38" t="s" s="3">
        <v>478</v>
      </c>
      <c r="C38" s="86">
        <v>9.4</v>
      </c>
      <c r="D38" s="7">
        <f>D24</f>
        <v>9.4</v>
      </c>
      <c r="E38" s="7">
        <f>D38-C38</f>
        <v>0</v>
      </c>
      <c r="I38" t="s" s="6">
        <v>1069</v>
      </c>
      <c r="J38" t="s" s="6">
        <v>1076</v>
      </c>
    </row>
    <row r="39">
      <c r="B39" t="s" s="3">
        <v>477</v>
      </c>
      <c r="C39" s="86">
        <v>4.8</v>
      </c>
      <c r="D39" s="7">
        <f>D23</f>
        <v>4.800000000000001</v>
      </c>
      <c r="E39" s="7">
        <f>D39-C39</f>
        <v>0</v>
      </c>
      <c r="I39" t="s" s="6">
        <v>1070</v>
      </c>
      <c r="J39" t="s" s="6">
        <v>1076</v>
      </c>
    </row>
    <row r="40">
      <c r="B40" t="s" s="3">
        <v>476</v>
      </c>
      <c r="C40" s="86">
        <v>6.5</v>
      </c>
      <c r="D40" s="7">
        <f>D21</f>
        <v>6.5</v>
      </c>
      <c r="E40" s="7">
        <f>D40-C40</f>
        <v>0</v>
      </c>
      <c r="I40" t="s" s="6">
        <v>1071</v>
      </c>
      <c r="J40" t="s" s="6">
        <v>1076</v>
      </c>
    </row>
    <row r="41">
      <c r="B41" t="s" s="35">
        <v>1055</v>
      </c>
      <c r="C41" s="21">
        <f>SUM(C35:C40)</f>
        <v>65.4</v>
      </c>
      <c r="D41" s="21">
        <f>SUM(D35:D40)</f>
        <v>65.39999999999999</v>
      </c>
      <c r="E41" s="21">
        <f>D41-C41</f>
        <v>0</v>
      </c>
      <c r="F41" s="21"/>
      <c r="G41" s="21"/>
      <c r="H41" s="21"/>
      <c r="I41" t="s" s="16">
        <v>1072</v>
      </c>
      <c r="J41" s="16"/>
    </row>
    <row r="42">
      <c r="B42" t="s" s="4">
        <v>1056</v>
      </c>
      <c r="C42" s="20"/>
      <c r="D42" s="20"/>
      <c r="E42" s="19"/>
      <c r="F42" s="19"/>
      <c r="G42" s="19"/>
      <c r="H42" s="19"/>
      <c r="I42" s="6"/>
      <c r="J42" s="6"/>
    </row>
    <row r="43">
      <c r="B43" t="s" s="3">
        <v>1057</v>
      </c>
      <c r="C43" s="19"/>
      <c r="D43" s="19">
        <f>D25</f>
        <v>6.5</v>
      </c>
      <c r="E43" s="19">
        <f>D43-C43</f>
        <v>6.5</v>
      </c>
      <c r="F43" s="19"/>
      <c r="G43" s="19"/>
      <c r="H43" s="19"/>
      <c r="I43" t="s" s="6">
        <v>1073</v>
      </c>
      <c r="J43" t="s" s="6">
        <v>1077</v>
      </c>
    </row>
    <row r="44">
      <c r="B44" t="s" s="3">
        <v>1058</v>
      </c>
      <c r="D44" s="7">
        <f>E15</f>
        <v>3.3999999999999995</v>
      </c>
      <c r="E44" s="7">
        <f>D44-C44</f>
        <v>3.3999999999999995</v>
      </c>
      <c r="I44" t="s" s="6">
        <v>1074</v>
      </c>
      <c r="J44" t="s" s="6">
        <v>1077</v>
      </c>
    </row>
    <row r="45">
      <c r="B45" t="s" s="3">
        <v>1059</v>
      </c>
      <c r="D45" s="7">
        <f>D26</f>
        <v>1.8</v>
      </c>
      <c r="E45" s="7">
        <f>D45-C45</f>
        <v>1.8</v>
      </c>
      <c r="I45" t="s" s="6">
        <v>1075</v>
      </c>
      <c r="J45" t="s" s="6">
        <v>1077</v>
      </c>
    </row>
    <row r="46">
      <c r="B46" t="s" s="35">
        <v>1060</v>
      </c>
      <c r="C46" s="21">
        <f>C41+SUM(C43:C45)</f>
        <v>65.4</v>
      </c>
      <c r="D46" s="21">
        <f>D41+SUM(D43:D45)</f>
        <v>77.1</v>
      </c>
      <c r="E46" s="21">
        <f>D46-C46</f>
        <v>11.699999999999989</v>
      </c>
      <c r="F46" s="21"/>
      <c r="G46" s="21"/>
      <c r="H46" s="21"/>
      <c r="I46" s="16"/>
      <c r="J46" s="16"/>
    </row>
    <row r="47">
      <c r="B47" t="s" s="3">
        <v>1061</v>
      </c>
      <c r="C47" s="19"/>
      <c r="D47" s="19">
        <f>E28</f>
        <v>77.09999999999991</v>
      </c>
      <c r="E47" s="19"/>
      <c r="F47" s="19"/>
      <c r="G47" s="19"/>
      <c r="H47" s="19"/>
      <c r="I47" s="6"/>
      <c r="J47" s="6"/>
    </row>
    <row r="48">
      <c r="B48" t="s" s="3">
        <v>1062</v>
      </c>
      <c r="C48" s="19"/>
      <c r="D48" s="19">
        <f>D46-D47</f>
        <v>0</v>
      </c>
      <c r="E48" s="7"/>
      <c r="F48" s="7"/>
      <c r="G48" s="7"/>
      <c r="H48" s="7"/>
      <c r="I48" s="6"/>
      <c r="J48" s="6"/>
    </row>
    <row r="49">
      <c r="B49" s="3"/>
      <c r="I49" s="6"/>
      <c r="J49" s="6"/>
    </row>
    <row r="50">
      <c r="B50" t="s" s="36">
        <v>486</v>
      </c>
      <c r="C50" s="9"/>
      <c r="D50" s="9"/>
      <c r="E50" s="9"/>
      <c r="F50" s="9"/>
      <c r="G50" s="9"/>
      <c r="H50" s="9"/>
      <c r="I50" s="17"/>
      <c r="J50" s="17"/>
    </row>
    <row r="51">
      <c r="B51" t="s" s="3">
        <v>487</v>
      </c>
      <c r="D51" s="19">
        <f>D55+D56</f>
        <v>552</v>
      </c>
      <c r="E51" s="7"/>
      <c r="F51" s="7"/>
      <c r="G51" s="20">
        <v>480</v>
      </c>
      <c r="I51" t="s" s="6">
        <v>526</v>
      </c>
      <c r="J51" s="6"/>
    </row>
    <row r="52">
      <c r="B52" t="s" s="3">
        <v>488</v>
      </c>
      <c r="D52" s="19">
        <f>D57-D9</f>
        <v>180</v>
      </c>
      <c r="E52" s="7"/>
      <c r="F52" s="7"/>
      <c r="G52" s="19">
        <f>D57-G9</f>
        <v>115</v>
      </c>
      <c r="I52" s="6"/>
      <c r="J52" s="6"/>
    </row>
    <row r="53">
      <c r="B53" t="s" s="3">
        <v>489</v>
      </c>
      <c r="D53" s="19">
        <f>D51-D52</f>
        <v>372</v>
      </c>
      <c r="E53" s="7"/>
      <c r="F53" s="7"/>
      <c r="G53" s="19">
        <f>G51-G52</f>
        <v>365</v>
      </c>
      <c r="I53" s="6"/>
      <c r="J53" s="6"/>
    </row>
    <row r="54">
      <c r="B54" s="4"/>
      <c r="D54" s="7"/>
      <c r="E54" t="s" s="7">
        <v>547</v>
      </c>
      <c r="F54" t="s" s="7">
        <v>548</v>
      </c>
      <c r="G54" s="7"/>
      <c r="I54" s="6"/>
      <c r="J54" s="6"/>
    </row>
    <row r="55">
      <c r="B55" t="s" s="3">
        <v>490</v>
      </c>
      <c r="D55" s="19">
        <f>E55-F55</f>
        <v>266</v>
      </c>
      <c r="E55" s="20">
        <v>618</v>
      </c>
      <c r="F55" s="20">
        <v>352</v>
      </c>
      <c r="G55" s="7"/>
      <c r="I55" s="6"/>
      <c r="J55" s="6"/>
    </row>
    <row r="56">
      <c r="B56" t="s" s="3">
        <v>491</v>
      </c>
      <c r="D56" s="19">
        <f>E56-F56</f>
        <v>286</v>
      </c>
      <c r="E56" s="20">
        <v>370</v>
      </c>
      <c r="F56" s="20">
        <v>84</v>
      </c>
      <c r="G56" s="7"/>
      <c r="I56" s="6"/>
      <c r="J56" s="6"/>
    </row>
    <row r="57">
      <c r="B57" t="s" s="3">
        <v>492</v>
      </c>
      <c r="D57" s="20">
        <v>600</v>
      </c>
      <c r="E57" s="7"/>
      <c r="F57" s="7"/>
      <c r="G57" s="7"/>
      <c r="I57" s="6"/>
      <c r="J57" s="6"/>
    </row>
    <row r="58">
      <c r="B58" t="s" s="3">
        <v>493</v>
      </c>
      <c r="D58" s="20">
        <v>92.5</v>
      </c>
      <c r="E58" s="19">
        <f>D58/12</f>
        <v>7.708333333333333</v>
      </c>
      <c r="F58" s="7"/>
      <c r="G58" s="7"/>
      <c r="I58" s="6"/>
      <c r="J58" s="6"/>
    </row>
    <row r="59">
      <c r="B59" t="s" s="3">
        <v>494</v>
      </c>
      <c r="D59" s="20">
        <v>632.5</v>
      </c>
      <c r="E59" s="7"/>
      <c r="F59" s="7"/>
      <c r="G59" s="7"/>
      <c r="I59" s="6"/>
      <c r="J59" s="6"/>
    </row>
    <row r="60">
      <c r="B60" t="s" s="3">
        <v>542</v>
      </c>
      <c r="D60" s="44">
        <f>SUMPRODUCT(C63:C65,D63:D65)/SUM(C63:C65)</f>
        <v>0.03900000000000001</v>
      </c>
      <c r="I60" s="6"/>
      <c r="J60" s="6"/>
    </row>
    <row r="61">
      <c r="B61" t="s" s="3">
        <v>496</v>
      </c>
      <c r="D61" s="45">
        <v>0.0375</v>
      </c>
      <c r="I61" s="6"/>
      <c r="J61" s="6"/>
    </row>
    <row r="62">
      <c r="B62" t="s" s="3">
        <v>497</v>
      </c>
      <c r="C62" t="s">
        <v>546</v>
      </c>
      <c r="D62" s="40">
        <v>1.5</v>
      </c>
      <c r="I62" s="6"/>
      <c r="J62" s="6"/>
    </row>
    <row r="63">
      <c r="B63" t="s" s="3">
        <v>1259</v>
      </c>
      <c r="C63" s="20">
        <v>250</v>
      </c>
      <c r="D63" s="46">
        <v>0.03882</v>
      </c>
      <c r="I63" s="6"/>
      <c r="J63" s="6"/>
    </row>
    <row r="64">
      <c r="B64" t="s" s="3">
        <v>1260</v>
      </c>
      <c r="C64" s="20">
        <v>232.5</v>
      </c>
      <c r="D64" s="46">
        <v>0.03906</v>
      </c>
      <c r="I64" s="6"/>
      <c r="J64" s="6"/>
    </row>
    <row r="65">
      <c r="B65" t="s" s="3">
        <v>1261</v>
      </c>
      <c r="C65" s="20">
        <v>150</v>
      </c>
      <c r="D65" s="46">
        <v>0.039207</v>
      </c>
      <c r="I65" s="6"/>
      <c r="J65" s="6"/>
    </row>
    <row r="66">
      <c r="B66" t="s" s="3">
        <v>501</v>
      </c>
      <c r="D66" s="19">
        <f>D59*(D60-D61)*D62</f>
        <v>1.4231250000000077</v>
      </c>
      <c r="I66" t="s" s="6">
        <v>527</v>
      </c>
      <c r="J66" s="6"/>
    </row>
    <row r="67">
      <c r="B67" t="s" s="3">
        <v>1043</v>
      </c>
      <c r="D67" s="20">
        <v>9.4</v>
      </c>
      <c r="I67" s="6"/>
      <c r="J67" s="6"/>
    </row>
  </sheetData>
  <mergeCells count="2">
    <mergeCell ref="B3:J3"/>
    <mergeCell ref="B4:J4"/>
  </mergeCells>
  <pageMargins left="0.7" right="0.7" top="0.75" bottom="0.75" header="0.3" footer="0.3"/>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52"/>
  <sheetViews>
    <sheetView showGridLines="0" workbookViewId="0">
      <selection activeCell="A1" sqref="A1"/>
    </sheetView>
  </sheetViews>
  <cols>
    <col min="1" max="1" width="2.359375" customWidth="1"/>
    <col min="2" max="2" width="5.7890625" customWidth="1"/>
    <col min="3" max="3" width="20.9296875" customWidth="1"/>
    <col min="4" max="4" width="72.359375" customWidth="1"/>
    <col min="5" max="5" width="57.07421875" customWidth="1"/>
    <col min="6" max="6" width="10.50390625" customWidth="1"/>
    <col min="7" max="7" width="16.07421875" customWidth="1"/>
    <col min="8" max="8" width="72.359375" customWidth="1"/>
  </cols>
  <sheetData>
    <row r="2">
      <c r="B2" t="s" s="2">
        <v>1100</v>
      </c>
    </row>
    <row r="3" ht="58" customHeight="1">
      <c r="B3" t="s" s="4">
        <v>1101</v>
      </c>
      <c r="C3" s="3"/>
      <c r="D3" s="3"/>
      <c r="E3" s="3"/>
      <c r="F3" s="3"/>
      <c r="G3" s="3"/>
      <c r="H3" s="3"/>
    </row>
    <row r="4" ht="28" customHeight="1">
      <c r="B4" t="s" s="6">
        <v>1102</v>
      </c>
      <c r="C4" s="3"/>
      <c r="D4" s="3"/>
      <c r="E4" s="3"/>
      <c r="F4" s="3"/>
      <c r="G4" s="3"/>
      <c r="H4" s="3"/>
    </row>
    <row r="6">
      <c r="B6" t="s" s="11">
        <v>553</v>
      </c>
      <c r="C6" t="s" s="12">
        <v>1103</v>
      </c>
      <c r="D6" t="s" s="12">
        <v>660</v>
      </c>
      <c r="E6" t="s" s="12">
        <v>1104</v>
      </c>
      <c r="F6" t="s" s="12">
        <v>717</v>
      </c>
      <c r="G6" t="s" s="12">
        <v>1105</v>
      </c>
      <c r="H6" t="s" s="12">
        <v>54</v>
      </c>
    </row>
    <row r="7" ht="25.5" customHeight="1">
      <c r="B7" s="87">
        <v>1</v>
      </c>
      <c r="C7" t="s" s="3">
        <v>1106</v>
      </c>
      <c r="D7" t="s" s="3">
        <v>1107</v>
      </c>
      <c r="E7" t="s" s="3">
        <v>1108</v>
      </c>
      <c r="F7" t="s" s="87">
        <v>1109</v>
      </c>
      <c r="G7" t="s" s="87">
        <v>1110</v>
      </c>
      <c r="H7" t="s" s="3">
        <v>1111</v>
      </c>
    </row>
    <row r="8" ht="25.5" customHeight="1">
      <c r="B8" s="87">
        <v>2</v>
      </c>
      <c r="C8" t="s" s="3">
        <v>1106</v>
      </c>
      <c r="D8" t="s" s="3">
        <v>1112</v>
      </c>
      <c r="E8" t="s" s="3">
        <v>1113</v>
      </c>
      <c r="F8" t="s" s="87">
        <v>1109</v>
      </c>
      <c r="G8" t="s" s="87">
        <v>1110</v>
      </c>
      <c r="H8" t="s" s="3">
        <v>1114</v>
      </c>
    </row>
    <row r="9" ht="25.5" customHeight="1">
      <c r="B9" s="87">
        <v>3</v>
      </c>
      <c r="C9" t="s" s="3">
        <v>1106</v>
      </c>
      <c r="D9" t="s" s="3">
        <v>1115</v>
      </c>
      <c r="E9" t="s" s="3">
        <v>1116</v>
      </c>
      <c r="F9" t="s" s="87">
        <v>1117</v>
      </c>
      <c r="G9" t="s" s="87">
        <v>1118</v>
      </c>
      <c r="H9" t="s" s="3">
        <v>1119</v>
      </c>
    </row>
    <row r="10" ht="25.5" customHeight="1">
      <c r="B10" s="87">
        <v>4</v>
      </c>
      <c r="C10" t="s" s="3">
        <v>1106</v>
      </c>
      <c r="D10" t="s" s="3">
        <v>1120</v>
      </c>
      <c r="E10" t="s" s="3">
        <v>1121</v>
      </c>
      <c r="F10" t="s" s="87">
        <v>1117</v>
      </c>
      <c r="G10" t="s" s="87">
        <v>1118</v>
      </c>
      <c r="H10" t="s" s="3">
        <v>1122</v>
      </c>
    </row>
    <row r="11" ht="25.5" customHeight="1">
      <c r="B11" s="87">
        <v>5</v>
      </c>
      <c r="C11" t="s" s="3">
        <v>1106</v>
      </c>
      <c r="D11" t="s" s="3">
        <v>1123</v>
      </c>
      <c r="E11" t="s" s="3">
        <v>1124</v>
      </c>
      <c r="F11" t="s" s="87">
        <v>1117</v>
      </c>
      <c r="G11" t="s" s="87">
        <v>1118</v>
      </c>
      <c r="H11" t="s" s="3">
        <v>1125</v>
      </c>
    </row>
    <row r="12" ht="25.5" customHeight="1">
      <c r="B12" s="87">
        <v>6</v>
      </c>
      <c r="C12" t="s" s="3">
        <v>1106</v>
      </c>
      <c r="D12" t="s" s="3">
        <v>1126</v>
      </c>
      <c r="E12" t="s" s="3">
        <v>1127</v>
      </c>
      <c r="F12" t="s" s="87">
        <v>1117</v>
      </c>
      <c r="G12" t="s" s="87">
        <v>1110</v>
      </c>
      <c r="H12" t="s" s="3">
        <v>1128</v>
      </c>
    </row>
    <row r="13" ht="25.5" customHeight="1">
      <c r="B13" s="87">
        <v>7</v>
      </c>
      <c r="C13" t="s" s="3">
        <v>1106</v>
      </c>
      <c r="D13" t="s" s="3">
        <v>1129</v>
      </c>
      <c r="E13" t="s" s="3">
        <v>1130</v>
      </c>
      <c r="F13" t="s" s="87">
        <v>1117</v>
      </c>
      <c r="G13" t="s" s="87">
        <v>1110</v>
      </c>
      <c r="H13" t="s" s="3">
        <v>1131</v>
      </c>
    </row>
    <row r="14" ht="38.25" customHeight="1">
      <c r="B14" s="87">
        <v>8</v>
      </c>
      <c r="C14" t="s" s="3">
        <v>1106</v>
      </c>
      <c r="D14" t="s" s="3">
        <v>1132</v>
      </c>
      <c r="E14" t="s" s="3">
        <v>1133</v>
      </c>
      <c r="F14" t="s" s="87">
        <v>1117</v>
      </c>
      <c r="G14" t="s" s="87">
        <v>1118</v>
      </c>
      <c r="H14" t="s" s="3">
        <v>1134</v>
      </c>
    </row>
    <row r="15" ht="25.5" customHeight="1">
      <c r="B15" s="87">
        <v>9</v>
      </c>
      <c r="C15" t="s" s="3">
        <v>1106</v>
      </c>
      <c r="D15" t="s" s="3">
        <v>1135</v>
      </c>
      <c r="E15" t="s" s="3">
        <v>1136</v>
      </c>
      <c r="F15" t="s" s="87">
        <v>1117</v>
      </c>
      <c r="G15" t="s" s="87">
        <v>1110</v>
      </c>
      <c r="H15" t="s" s="3">
        <v>1137</v>
      </c>
    </row>
    <row r="16" ht="38.25" customHeight="1">
      <c r="B16" s="87">
        <v>10</v>
      </c>
      <c r="C16" t="s" s="3">
        <v>1106</v>
      </c>
      <c r="D16" t="s" s="3">
        <v>1138</v>
      </c>
      <c r="E16" t="s" s="3">
        <v>1139</v>
      </c>
      <c r="F16" t="s" s="87">
        <v>1117</v>
      </c>
      <c r="G16" t="s" s="87">
        <v>1110</v>
      </c>
      <c r="H16" t="s" s="3">
        <v>1140</v>
      </c>
    </row>
    <row r="17" ht="25.5" customHeight="1">
      <c r="B17" s="87">
        <v>11</v>
      </c>
      <c r="C17" t="s" s="3">
        <v>1106</v>
      </c>
      <c r="D17" t="s" s="3">
        <v>1141</v>
      </c>
      <c r="E17" t="s" s="3">
        <v>1142</v>
      </c>
      <c r="F17" t="s" s="87">
        <v>1109</v>
      </c>
      <c r="G17" t="s" s="87">
        <v>1110</v>
      </c>
      <c r="H17" t="s" s="3">
        <v>1143</v>
      </c>
    </row>
    <row r="18" ht="25.5" customHeight="1">
      <c r="B18" s="88">
        <v>12</v>
      </c>
      <c r="C18" t="s" s="89">
        <v>1106</v>
      </c>
      <c r="D18" t="s" s="89">
        <v>1144</v>
      </c>
      <c r="E18" t="s" s="89">
        <v>1145</v>
      </c>
      <c r="F18" t="s" s="88">
        <v>1109</v>
      </c>
      <c r="G18" t="s" s="88">
        <v>1110</v>
      </c>
      <c r="H18" t="s" s="89">
        <v>1146</v>
      </c>
    </row>
    <row r="19" ht="38.25" customHeight="1">
      <c r="B19" s="87">
        <v>13</v>
      </c>
      <c r="C19" t="s" s="3">
        <v>1147</v>
      </c>
      <c r="D19" t="s" s="3">
        <v>1148</v>
      </c>
      <c r="E19" t="s" s="3">
        <v>1149</v>
      </c>
      <c r="F19" t="s" s="87">
        <v>1117</v>
      </c>
      <c r="G19" t="s" s="87">
        <v>1110</v>
      </c>
      <c r="H19" t="s" s="3">
        <v>1282</v>
      </c>
    </row>
    <row r="20" ht="38.25" customHeight="1">
      <c r="B20" s="87">
        <v>14</v>
      </c>
      <c r="C20" t="s" s="3">
        <v>1147</v>
      </c>
      <c r="D20" t="s" s="3">
        <v>1151</v>
      </c>
      <c r="E20" t="s" s="3">
        <v>1152</v>
      </c>
      <c r="F20" t="s" s="87">
        <v>1117</v>
      </c>
      <c r="G20" t="s" s="87">
        <v>1110</v>
      </c>
      <c r="H20" t="s" s="3">
        <v>1283</v>
      </c>
    </row>
    <row r="21" ht="25.5" customHeight="1">
      <c r="B21" s="87">
        <v>15</v>
      </c>
      <c r="C21" t="s" s="3">
        <v>1147</v>
      </c>
      <c r="D21" t="s" s="3">
        <v>1154</v>
      </c>
      <c r="E21" t="s" s="3">
        <v>1155</v>
      </c>
      <c r="F21" t="s" s="87">
        <v>1117</v>
      </c>
      <c r="G21" t="s" s="87">
        <v>1110</v>
      </c>
      <c r="H21" t="s" s="3">
        <v>1156</v>
      </c>
    </row>
    <row r="22" ht="25.5" customHeight="1">
      <c r="B22" s="87">
        <v>16</v>
      </c>
      <c r="C22" t="s" s="3">
        <v>1147</v>
      </c>
      <c r="D22" t="s" s="3">
        <v>1157</v>
      </c>
      <c r="E22" t="s" s="3">
        <v>1158</v>
      </c>
      <c r="F22" t="s" s="87">
        <v>1117</v>
      </c>
      <c r="G22" t="s" s="87">
        <v>1110</v>
      </c>
      <c r="H22" t="s" s="3">
        <v>1159</v>
      </c>
    </row>
    <row r="23" ht="25.5" customHeight="1">
      <c r="B23" s="87">
        <v>17</v>
      </c>
      <c r="C23" t="s" s="3">
        <v>1147</v>
      </c>
      <c r="D23" t="s" s="3">
        <v>1160</v>
      </c>
      <c r="E23" t="s" s="3">
        <v>1161</v>
      </c>
      <c r="F23" t="s" s="87">
        <v>1109</v>
      </c>
      <c r="G23" t="s" s="87">
        <v>1110</v>
      </c>
      <c r="H23" t="s" s="3">
        <v>1162</v>
      </c>
    </row>
    <row r="24" ht="25.5" customHeight="1">
      <c r="B24" s="87">
        <v>18</v>
      </c>
      <c r="C24" t="s" s="3">
        <v>1147</v>
      </c>
      <c r="D24" t="s" s="3">
        <v>1163</v>
      </c>
      <c r="E24" t="s" s="3">
        <v>1164</v>
      </c>
      <c r="F24" t="s" s="87">
        <v>1109</v>
      </c>
      <c r="G24" t="s" s="87">
        <v>1110</v>
      </c>
      <c r="H24" t="s" s="3">
        <v>1165</v>
      </c>
    </row>
    <row r="25" ht="38.25" customHeight="1">
      <c r="B25" s="87">
        <v>19</v>
      </c>
      <c r="C25" t="s" s="3">
        <v>1147</v>
      </c>
      <c r="D25" t="s" s="3">
        <v>1344</v>
      </c>
      <c r="E25" t="s" s="3">
        <v>1345</v>
      </c>
      <c r="F25" t="s" s="87">
        <v>1109</v>
      </c>
      <c r="G25" t="s" s="87">
        <v>1118</v>
      </c>
      <c r="H25" t="s" s="3">
        <v>1346</v>
      </c>
    </row>
    <row r="26" ht="25.5" customHeight="1">
      <c r="B26" s="87">
        <v>20</v>
      </c>
      <c r="C26" t="s" s="3">
        <v>1147</v>
      </c>
      <c r="D26" t="s" s="3">
        <v>1169</v>
      </c>
      <c r="E26" t="s" s="3">
        <v>1170</v>
      </c>
      <c r="F26" t="s" s="87">
        <v>1109</v>
      </c>
      <c r="G26" t="s" s="87">
        <v>1118</v>
      </c>
      <c r="H26" t="s" s="3">
        <v>1285</v>
      </c>
    </row>
    <row r="27" ht="25.5" customHeight="1">
      <c r="B27" s="88">
        <v>21</v>
      </c>
      <c r="C27" t="s" s="89">
        <v>1147</v>
      </c>
      <c r="D27" t="s" s="89">
        <v>1172</v>
      </c>
      <c r="E27" t="s" s="89">
        <v>1173</v>
      </c>
      <c r="F27" t="s" s="88">
        <v>1109</v>
      </c>
      <c r="G27" t="s" s="88">
        <v>1174</v>
      </c>
      <c r="H27" t="s" s="89">
        <v>1286</v>
      </c>
    </row>
    <row r="28" ht="38.25" customHeight="1">
      <c r="B28" s="87">
        <v>22</v>
      </c>
      <c r="C28" t="s" s="3">
        <v>1176</v>
      </c>
      <c r="D28" t="s" s="3">
        <v>1177</v>
      </c>
      <c r="E28" t="s" s="3">
        <v>1178</v>
      </c>
      <c r="F28" t="s" s="87">
        <v>1117</v>
      </c>
      <c r="G28" t="s" s="87">
        <v>1110</v>
      </c>
      <c r="H28" t="s" s="3">
        <v>1179</v>
      </c>
    </row>
    <row r="29" ht="38.25" customHeight="1">
      <c r="B29" s="87">
        <v>23</v>
      </c>
      <c r="C29" t="s" s="3">
        <v>1176</v>
      </c>
      <c r="D29" t="s" s="3">
        <v>1180</v>
      </c>
      <c r="E29" t="s" s="3">
        <v>1181</v>
      </c>
      <c r="F29" t="s" s="87">
        <v>1117</v>
      </c>
      <c r="G29" t="s" s="87">
        <v>1110</v>
      </c>
      <c r="H29" t="s" s="3">
        <v>1182</v>
      </c>
    </row>
    <row r="30" ht="25.5" customHeight="1">
      <c r="B30" s="88">
        <v>24</v>
      </c>
      <c r="C30" t="s" s="89">
        <v>1176</v>
      </c>
      <c r="D30" t="s" s="89">
        <v>1183</v>
      </c>
      <c r="E30" t="s" s="89">
        <v>1184</v>
      </c>
      <c r="F30" t="s" s="88">
        <v>1109</v>
      </c>
      <c r="G30" t="s" s="88">
        <v>1110</v>
      </c>
      <c r="H30" t="s" s="89">
        <v>1185</v>
      </c>
    </row>
    <row r="31" ht="25.5" customHeight="1">
      <c r="B31" s="87">
        <v>25</v>
      </c>
      <c r="C31" t="s" s="3">
        <v>1186</v>
      </c>
      <c r="D31" t="s" s="3">
        <v>1187</v>
      </c>
      <c r="E31" t="s" s="3">
        <v>1188</v>
      </c>
      <c r="F31" t="s" s="87">
        <v>1117</v>
      </c>
      <c r="G31" t="s" s="87">
        <v>1110</v>
      </c>
      <c r="H31" t="s" s="3">
        <v>1189</v>
      </c>
    </row>
    <row r="32" ht="25.5" customHeight="1">
      <c r="B32" s="87">
        <v>26</v>
      </c>
      <c r="C32" t="s" s="3">
        <v>1186</v>
      </c>
      <c r="D32" t="s" s="3">
        <v>1190</v>
      </c>
      <c r="E32" t="s" s="3">
        <v>1191</v>
      </c>
      <c r="F32" t="s" s="87">
        <v>1117</v>
      </c>
      <c r="G32" t="s" s="87">
        <v>1110</v>
      </c>
      <c r="H32" t="s" s="3">
        <v>1192</v>
      </c>
    </row>
    <row r="33" ht="38.25" customHeight="1">
      <c r="B33" s="88">
        <v>27</v>
      </c>
      <c r="C33" t="s" s="89">
        <v>1186</v>
      </c>
      <c r="D33" t="s" s="89">
        <v>1193</v>
      </c>
      <c r="E33" t="s" s="89">
        <v>1194</v>
      </c>
      <c r="F33" t="s" s="88">
        <v>1109</v>
      </c>
      <c r="G33" t="s" s="88">
        <v>1110</v>
      </c>
      <c r="H33" t="s" s="89">
        <v>1195</v>
      </c>
    </row>
    <row r="34" ht="38.25" customHeight="1">
      <c r="B34" s="87">
        <v>28</v>
      </c>
      <c r="C34" t="s" s="3">
        <v>1196</v>
      </c>
      <c r="D34" t="s" s="3">
        <v>1197</v>
      </c>
      <c r="E34" t="s" s="3">
        <v>1198</v>
      </c>
      <c r="F34" t="s" s="87">
        <v>1117</v>
      </c>
      <c r="G34" t="s" s="87">
        <v>1110</v>
      </c>
      <c r="H34" t="s" s="3">
        <v>1199</v>
      </c>
    </row>
    <row r="35" ht="25.5" customHeight="1">
      <c r="B35" s="87">
        <v>29</v>
      </c>
      <c r="C35" t="s" s="3">
        <v>1196</v>
      </c>
      <c r="D35" t="s" s="3">
        <v>1200</v>
      </c>
      <c r="E35" t="s" s="3">
        <v>1201</v>
      </c>
      <c r="F35" t="s" s="87">
        <v>1117</v>
      </c>
      <c r="G35" t="s" s="87">
        <v>1110</v>
      </c>
      <c r="H35" t="s" s="3">
        <v>1202</v>
      </c>
    </row>
    <row r="36" ht="25.5" customHeight="1">
      <c r="B36" s="87">
        <v>30</v>
      </c>
      <c r="C36" t="s" s="3">
        <v>1196</v>
      </c>
      <c r="D36" t="s" s="3">
        <v>1203</v>
      </c>
      <c r="E36" t="s" s="3">
        <v>1204</v>
      </c>
      <c r="F36" t="s" s="87">
        <v>1117</v>
      </c>
      <c r="G36" t="s" s="87">
        <v>1110</v>
      </c>
      <c r="H36" t="s" s="3">
        <v>1205</v>
      </c>
    </row>
    <row r="37" ht="38.25" customHeight="1">
      <c r="B37" s="87">
        <v>31</v>
      </c>
      <c r="C37" t="s" s="3">
        <v>1196</v>
      </c>
      <c r="D37" t="s" s="3">
        <v>1206</v>
      </c>
      <c r="E37" t="s" s="3">
        <v>1207</v>
      </c>
      <c r="F37" t="s" s="87">
        <v>1117</v>
      </c>
      <c r="G37" t="s" s="87">
        <v>1110</v>
      </c>
      <c r="H37" t="s" s="3">
        <v>1208</v>
      </c>
    </row>
    <row r="38" ht="25.5" customHeight="1">
      <c r="B38" s="87">
        <v>32</v>
      </c>
      <c r="C38" t="s" s="3">
        <v>1196</v>
      </c>
      <c r="D38" t="s" s="3">
        <v>1209</v>
      </c>
      <c r="E38" t="s" s="3">
        <v>1210</v>
      </c>
      <c r="F38" t="s" s="87">
        <v>1117</v>
      </c>
      <c r="G38" t="s" s="87">
        <v>1110</v>
      </c>
      <c r="H38" t="s" s="3">
        <v>1211</v>
      </c>
    </row>
    <row r="39" ht="25.5" customHeight="1">
      <c r="B39" s="87">
        <v>33</v>
      </c>
      <c r="C39" t="s" s="3">
        <v>1196</v>
      </c>
      <c r="D39" t="s" s="3">
        <v>1212</v>
      </c>
      <c r="E39" t="s" s="3">
        <v>1213</v>
      </c>
      <c r="F39" t="s" s="87">
        <v>1117</v>
      </c>
      <c r="G39" t="s" s="87">
        <v>1110</v>
      </c>
      <c r="H39" t="s" s="3">
        <v>1214</v>
      </c>
    </row>
    <row r="40" ht="25.5" customHeight="1">
      <c r="B40" s="87">
        <v>34</v>
      </c>
      <c r="C40" t="s" s="3">
        <v>1196</v>
      </c>
      <c r="D40" t="s" s="3">
        <v>1215</v>
      </c>
      <c r="E40" t="s" s="3">
        <v>1216</v>
      </c>
      <c r="F40" t="s" s="87">
        <v>1117</v>
      </c>
      <c r="G40" t="s" s="87">
        <v>1110</v>
      </c>
      <c r="H40" t="s" s="3">
        <v>1217</v>
      </c>
    </row>
    <row r="41" ht="25.5" customHeight="1">
      <c r="B41" s="87">
        <v>35</v>
      </c>
      <c r="C41" t="s" s="3">
        <v>1196</v>
      </c>
      <c r="D41" t="s" s="3">
        <v>1218</v>
      </c>
      <c r="E41" t="s" s="3">
        <v>1219</v>
      </c>
      <c r="F41" t="s" s="87">
        <v>1117</v>
      </c>
      <c r="G41" t="s" s="87">
        <v>1110</v>
      </c>
      <c r="H41" t="s" s="3">
        <v>1220</v>
      </c>
    </row>
    <row r="42" ht="25.5" customHeight="1">
      <c r="B42" s="87">
        <v>36</v>
      </c>
      <c r="C42" t="s" s="3">
        <v>1196</v>
      </c>
      <c r="D42" t="s" s="3">
        <v>1221</v>
      </c>
      <c r="E42" t="s" s="3">
        <v>1222</v>
      </c>
      <c r="F42" t="s" s="87">
        <v>1117</v>
      </c>
      <c r="G42" t="s" s="87">
        <v>1174</v>
      </c>
      <c r="H42" t="s" s="3">
        <v>1223</v>
      </c>
    </row>
    <row r="43" ht="25.5" customHeight="1">
      <c r="B43" s="88">
        <v>37</v>
      </c>
      <c r="C43" t="s" s="89">
        <v>1196</v>
      </c>
      <c r="D43" t="s" s="89">
        <v>1224</v>
      </c>
      <c r="E43" t="s" s="89">
        <v>1225</v>
      </c>
      <c r="F43" t="s" s="88">
        <v>1117</v>
      </c>
      <c r="G43" t="s" s="88">
        <v>1110</v>
      </c>
      <c r="H43" t="s" s="89">
        <v>1226</v>
      </c>
    </row>
    <row r="44" ht="38.25" customHeight="1">
      <c r="B44" s="87">
        <v>38</v>
      </c>
      <c r="C44" t="s" s="3">
        <v>1227</v>
      </c>
      <c r="D44" t="s" s="3">
        <v>1228</v>
      </c>
      <c r="E44" t="s" s="3">
        <v>1229</v>
      </c>
      <c r="F44" t="s" s="87">
        <v>1109</v>
      </c>
      <c r="G44" t="s" s="87">
        <v>1110</v>
      </c>
      <c r="H44" t="s" s="3">
        <v>1230</v>
      </c>
    </row>
    <row r="45" ht="25.5" customHeight="1">
      <c r="B45" s="87">
        <v>39</v>
      </c>
      <c r="C45" t="s" s="3">
        <v>1227</v>
      </c>
      <c r="D45" t="s" s="3">
        <v>1231</v>
      </c>
      <c r="E45" t="s" s="3">
        <v>1232</v>
      </c>
      <c r="F45" t="s" s="87">
        <v>1117</v>
      </c>
      <c r="G45" t="s" s="87">
        <v>1110</v>
      </c>
      <c r="H45" t="s" s="3">
        <v>1233</v>
      </c>
    </row>
    <row r="46" ht="25.5" customHeight="1">
      <c r="B46" s="87">
        <v>40</v>
      </c>
      <c r="C46" t="s" s="3">
        <v>1227</v>
      </c>
      <c r="D46" t="s" s="3">
        <v>1234</v>
      </c>
      <c r="E46" t="s" s="3">
        <v>1235</v>
      </c>
      <c r="F46" t="s" s="87">
        <v>1117</v>
      </c>
      <c r="G46" t="s" s="87">
        <v>1174</v>
      </c>
      <c r="H46" t="s" s="3">
        <v>1236</v>
      </c>
    </row>
    <row r="47" ht="38.25" customHeight="1">
      <c r="B47" s="88">
        <v>41</v>
      </c>
      <c r="C47" t="s" s="89">
        <v>1227</v>
      </c>
      <c r="D47" t="s" s="89">
        <v>1237</v>
      </c>
      <c r="E47" t="s" s="89">
        <v>1238</v>
      </c>
      <c r="F47" t="s" s="88">
        <v>1109</v>
      </c>
      <c r="G47" t="s" s="88">
        <v>1110</v>
      </c>
      <c r="H47" t="s" s="89">
        <v>1239</v>
      </c>
    </row>
    <row r="48" ht="25.5" customHeight="1">
      <c r="B48" s="87">
        <v>42</v>
      </c>
      <c r="C48" t="s" s="3">
        <v>1240</v>
      </c>
      <c r="D48" t="s" s="3">
        <v>1241</v>
      </c>
      <c r="E48" t="s" s="3">
        <v>1242</v>
      </c>
      <c r="F48" t="s" s="87">
        <v>1117</v>
      </c>
      <c r="G48" t="s" s="87">
        <v>1174</v>
      </c>
      <c r="H48" t="s" s="3">
        <v>1243</v>
      </c>
    </row>
    <row r="49" ht="38.25" customHeight="1">
      <c r="B49" s="87">
        <v>43</v>
      </c>
      <c r="C49" t="s" s="3">
        <v>1240</v>
      </c>
      <c r="D49" t="s" s="3">
        <v>1244</v>
      </c>
      <c r="E49" t="s" s="3">
        <v>1245</v>
      </c>
      <c r="F49" t="s" s="87">
        <v>1109</v>
      </c>
      <c r="G49" t="s" s="87">
        <v>1174</v>
      </c>
      <c r="H49" t="s" s="3">
        <v>1246</v>
      </c>
    </row>
    <row r="50" ht="25.5" customHeight="1">
      <c r="B50" s="87">
        <v>44</v>
      </c>
      <c r="C50" t="s" s="3">
        <v>1240</v>
      </c>
      <c r="D50" t="s" s="3">
        <v>1247</v>
      </c>
      <c r="E50" t="s" s="3">
        <v>1256</v>
      </c>
      <c r="F50" t="s" s="87">
        <v>1109</v>
      </c>
      <c r="G50" t="s" s="87">
        <v>1174</v>
      </c>
      <c r="H50" t="s" s="3">
        <v>1249</v>
      </c>
    </row>
    <row r="51" ht="25.5" customHeight="1">
      <c r="B51" s="87">
        <v>45</v>
      </c>
      <c r="C51" t="s" s="3">
        <v>1240</v>
      </c>
      <c r="D51" t="s" s="3">
        <v>1250</v>
      </c>
      <c r="E51" t="s" s="3">
        <v>1257</v>
      </c>
      <c r="F51" t="s" s="87">
        <v>1109</v>
      </c>
      <c r="G51" t="s" s="87">
        <v>1110</v>
      </c>
      <c r="H51" t="s" s="3">
        <v>1252</v>
      </c>
    </row>
    <row r="52" ht="25.5" customHeight="1">
      <c r="B52" s="88">
        <v>46</v>
      </c>
      <c r="C52" t="s" s="89">
        <v>1240</v>
      </c>
      <c r="D52" t="s" s="89">
        <v>1253</v>
      </c>
      <c r="E52" t="s" s="89">
        <v>1281</v>
      </c>
      <c r="F52" t="s" s="88">
        <v>1109</v>
      </c>
      <c r="G52" t="s" s="88">
        <v>1174</v>
      </c>
      <c r="H52" t="s" s="89">
        <v>1255</v>
      </c>
    </row>
  </sheetData>
  <mergeCells count="2">
    <mergeCell ref="B3:H3"/>
    <mergeCell ref="B4:H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35"/>
  <sheetViews>
    <sheetView showGridLines="0" workbookViewId="0">
      <selection activeCell="A1" sqref="A1"/>
    </sheetView>
  </sheetViews>
  <cols>
    <col min="1" max="1" width="2.359375" customWidth="1"/>
    <col min="2" max="2" width="68.359375" customWidth="1"/>
    <col min="3" max="3" width="51.9296875" customWidth="1"/>
    <col min="4" max="4" width="75.50390625" customWidth="1"/>
    <col min="5" max="5" width="40.07421875" customWidth="1"/>
  </cols>
  <sheetData>
    <row r="2">
      <c r="B2" t="s" s="2">
        <v>756</v>
      </c>
    </row>
    <row r="3" ht="58" customHeight="1">
      <c r="B3" t="s" s="4">
        <v>1287</v>
      </c>
      <c r="C3" s="3"/>
      <c r="D3" s="3"/>
      <c r="E3" s="3"/>
    </row>
    <row r="4" ht="28" customHeight="1">
      <c r="B4" s="6"/>
      <c r="C4" s="3"/>
      <c r="D4" s="3"/>
      <c r="E4" s="3"/>
    </row>
    <row r="5">
      <c r="B5" t="s" s="11">
        <v>758</v>
      </c>
      <c r="C5" t="s" s="12">
        <v>786</v>
      </c>
      <c r="D5" t="s" s="12">
        <v>814</v>
      </c>
      <c r="E5" t="s" s="12">
        <v>842</v>
      </c>
    </row>
    <row r="6">
      <c r="B6" t="s" s="3">
        <v>759</v>
      </c>
      <c r="C6" t="s" s="3">
        <v>787</v>
      </c>
      <c r="D6" t="s" s="3">
        <v>815</v>
      </c>
      <c r="E6" t="s" s="3">
        <v>843</v>
      </c>
    </row>
    <row r="7">
      <c r="B7" t="s" s="3">
        <v>760</v>
      </c>
      <c r="C7" t="s" s="3">
        <v>788</v>
      </c>
      <c r="D7" t="s" s="3">
        <v>816</v>
      </c>
      <c r="E7" t="s" s="3">
        <v>844</v>
      </c>
    </row>
    <row r="8">
      <c r="B8" t="s" s="3">
        <v>761</v>
      </c>
      <c r="C8" t="s" s="3">
        <v>789</v>
      </c>
      <c r="D8" t="s" s="3">
        <v>817</v>
      </c>
      <c r="E8" t="s" s="3">
        <v>845</v>
      </c>
    </row>
    <row r="9">
      <c r="B9" t="s" s="3">
        <v>762</v>
      </c>
      <c r="C9" t="s" s="34">
        <v>864</v>
      </c>
      <c r="D9" t="s" s="3">
        <v>818</v>
      </c>
      <c r="E9" t="s" s="3">
        <v>846</v>
      </c>
    </row>
    <row r="10">
      <c r="B10" t="s" s="3">
        <v>763</v>
      </c>
      <c r="C10" t="s" s="34">
        <v>865</v>
      </c>
      <c r="D10" t="s" s="3">
        <v>819</v>
      </c>
      <c r="E10" t="s" s="3">
        <v>847</v>
      </c>
    </row>
    <row r="11">
      <c r="B11" t="s" s="3">
        <v>764</v>
      </c>
      <c r="C11" t="s" s="34">
        <v>866</v>
      </c>
      <c r="D11" t="s" s="3">
        <v>820</v>
      </c>
      <c r="E11" t="s" s="3">
        <v>848</v>
      </c>
    </row>
    <row r="12">
      <c r="B12" t="s" s="3">
        <v>765</v>
      </c>
      <c r="C12" t="s" s="34">
        <v>867</v>
      </c>
      <c r="D12" t="s" s="3">
        <v>821</v>
      </c>
      <c r="E12" t="s" s="3">
        <v>849</v>
      </c>
    </row>
    <row r="13">
      <c r="B13" t="s" s="3">
        <v>766</v>
      </c>
      <c r="C13" t="s" s="34">
        <v>868</v>
      </c>
      <c r="D13" t="s" s="3">
        <v>822</v>
      </c>
      <c r="E13" t="s" s="3">
        <v>1036</v>
      </c>
    </row>
    <row r="14">
      <c r="B14" t="s" s="3">
        <v>767</v>
      </c>
      <c r="C14" t="s" s="34">
        <v>869</v>
      </c>
      <c r="D14" t="s" s="3">
        <v>823</v>
      </c>
      <c r="E14" t="s" s="3">
        <v>851</v>
      </c>
    </row>
    <row r="15">
      <c r="B15" t="s" s="3">
        <v>768</v>
      </c>
      <c r="C15" t="s" s="34">
        <v>870</v>
      </c>
      <c r="D15" t="s" s="3">
        <v>824</v>
      </c>
      <c r="E15" t="s" s="3">
        <v>852</v>
      </c>
    </row>
    <row r="16">
      <c r="B16" t="s" s="3">
        <v>769</v>
      </c>
      <c r="C16" t="s" s="34">
        <v>871</v>
      </c>
      <c r="D16" t="s" s="3">
        <v>825</v>
      </c>
      <c r="E16" t="s" s="3">
        <v>640</v>
      </c>
    </row>
    <row r="17">
      <c r="B17" t="s" s="3">
        <v>770</v>
      </c>
      <c r="C17" t="s" s="34">
        <v>872</v>
      </c>
      <c r="D17" t="s" s="3">
        <v>826</v>
      </c>
      <c r="E17" t="s" s="3">
        <v>641</v>
      </c>
    </row>
    <row r="18">
      <c r="B18" t="s" s="3">
        <v>771</v>
      </c>
      <c r="C18" t="s" s="3">
        <v>799</v>
      </c>
      <c r="D18" t="s" s="3">
        <v>827</v>
      </c>
      <c r="E18" t="s" s="3">
        <v>853</v>
      </c>
    </row>
    <row r="19">
      <c r="B19" t="s" s="3">
        <v>772</v>
      </c>
      <c r="C19" t="s" s="34">
        <v>873</v>
      </c>
      <c r="D19" t="s" s="3">
        <v>828</v>
      </c>
      <c r="E19" t="s" s="3">
        <v>640</v>
      </c>
    </row>
    <row r="20">
      <c r="B20" t="s" s="3">
        <v>773</v>
      </c>
      <c r="C20" t="s" s="3">
        <v>801</v>
      </c>
      <c r="D20" t="s" s="3">
        <v>829</v>
      </c>
      <c r="E20" t="s" s="3">
        <v>1037</v>
      </c>
    </row>
    <row r="21">
      <c r="B21" t="s" s="3">
        <v>774</v>
      </c>
      <c r="C21" t="s" s="3">
        <v>802</v>
      </c>
      <c r="D21" t="s" s="3">
        <v>830</v>
      </c>
      <c r="E21" t="s" s="3">
        <v>855</v>
      </c>
    </row>
    <row r="22">
      <c r="B22" t="s" s="3">
        <v>775</v>
      </c>
      <c r="C22" t="s" s="3">
        <v>803</v>
      </c>
      <c r="D22" t="s" s="3">
        <v>1288</v>
      </c>
      <c r="E22" t="s" s="3">
        <v>853</v>
      </c>
    </row>
    <row r="23">
      <c r="B23" t="s" s="3">
        <v>776</v>
      </c>
      <c r="C23" t="s" s="34">
        <v>874</v>
      </c>
      <c r="D23" t="s" s="3">
        <v>832</v>
      </c>
      <c r="E23" t="s" s="3">
        <v>856</v>
      </c>
    </row>
    <row r="24">
      <c r="B24" t="s" s="3">
        <v>777</v>
      </c>
      <c r="C24" t="s" s="34">
        <v>875</v>
      </c>
      <c r="D24" t="s" s="3">
        <v>833</v>
      </c>
      <c r="E24" t="s" s="3">
        <v>857</v>
      </c>
    </row>
    <row r="25">
      <c r="B25" t="s" s="3">
        <v>778</v>
      </c>
      <c r="C25" t="s" s="3">
        <v>806</v>
      </c>
      <c r="D25" t="s" s="3">
        <v>834</v>
      </c>
      <c r="E25" t="s" s="3">
        <v>858</v>
      </c>
    </row>
    <row r="26">
      <c r="B26" t="s" s="3">
        <v>779</v>
      </c>
      <c r="C26" t="s" s="3">
        <v>807</v>
      </c>
      <c r="D26" t="s" s="3">
        <v>835</v>
      </c>
      <c r="E26" t="s" s="3">
        <v>859</v>
      </c>
    </row>
    <row r="27">
      <c r="B27" t="s" s="3">
        <v>780</v>
      </c>
      <c r="C27" t="s" s="3">
        <v>808</v>
      </c>
      <c r="D27" t="s" s="3">
        <v>836</v>
      </c>
      <c r="E27" t="s" s="3">
        <v>857</v>
      </c>
    </row>
    <row r="28">
      <c r="B28" t="s" s="3">
        <v>781</v>
      </c>
      <c r="C28" t="s" s="3">
        <v>809</v>
      </c>
      <c r="D28" t="s" s="3">
        <v>837</v>
      </c>
      <c r="E28" t="s" s="3">
        <v>857</v>
      </c>
    </row>
    <row r="29">
      <c r="B29" t="s" s="3">
        <v>782</v>
      </c>
      <c r="C29" t="s" s="3">
        <v>810</v>
      </c>
      <c r="D29" t="s" s="3">
        <v>838</v>
      </c>
      <c r="E29" t="s" s="3">
        <v>857</v>
      </c>
    </row>
    <row r="30">
      <c r="B30" t="s" s="3">
        <v>783</v>
      </c>
      <c r="C30" t="s" s="3">
        <v>811</v>
      </c>
      <c r="D30" t="s" s="3">
        <v>839</v>
      </c>
      <c r="E30" t="s" s="3">
        <v>857</v>
      </c>
    </row>
    <row r="31">
      <c r="B31" t="s" s="3">
        <v>784</v>
      </c>
      <c r="C31" t="s" s="3">
        <v>812</v>
      </c>
      <c r="D31" t="s" s="3">
        <v>840</v>
      </c>
      <c r="E31" t="s" s="3">
        <v>857</v>
      </c>
    </row>
    <row r="32">
      <c r="B32" t="s" s="3">
        <v>785</v>
      </c>
      <c r="C32" t="s" s="3">
        <v>813</v>
      </c>
      <c r="D32" t="s" s="3">
        <v>841</v>
      </c>
      <c r="E32" t="s" s="3">
        <v>860</v>
      </c>
    </row>
    <row r="33" ht="25.5" customHeight="1">
      <c r="B33" t="s" s="3">
        <v>1030</v>
      </c>
      <c r="C33" t="s" s="3">
        <v>1032</v>
      </c>
      <c r="D33" t="s" s="3">
        <v>1034</v>
      </c>
      <c r="E33" t="s" s="3">
        <v>1038</v>
      </c>
    </row>
    <row r="34">
      <c r="B34" t="s">
        <v>1031</v>
      </c>
      <c r="C34" t="s">
        <v>1033</v>
      </c>
      <c r="D34" t="s">
        <v>1035</v>
      </c>
      <c r="E34" t="s">
        <v>626</v>
      </c>
    </row>
    <row r="35" ht="25.5" customHeight="1">
      <c r="B35" t="s" s="3">
        <v>1289</v>
      </c>
      <c r="C35" t="s" s="3">
        <v>1290</v>
      </c>
      <c r="D35" t="s" s="3">
        <v>1291</v>
      </c>
      <c r="E35" t="s" s="3">
        <v>1292</v>
      </c>
    </row>
  </sheetData>
  <mergeCells count="2">
    <mergeCell ref="B3:E3"/>
    <mergeCell ref="B4:E4"/>
  </mergeCells>
  <pageMargins left="0.7" right="0.7" top="0.75" bottom="0.75" header="0.3" footer="0.3"/>
</worksheet>
</file>

<file path=ccalc/calcState.xml><?xml version="1.0" encoding="utf-8"?>
<calcState xmlns="urn:twentyai:ccalc:calc-state" version="1" digest="a607cfc9aea5718faa17f51967314fdca1140e2447654e47eab7e4c71773ca37"/>
</file>

<file path=docProps/app.xml><?xml version="1.0" encoding="utf-8"?>
<Properties xmlns="http://schemas.openxmlformats.org/officeDocument/2006/extended-properties" xmlns:vt="http://schemas.openxmlformats.org/officeDocument/2006/docPropsVTypes">
  <Application>Microsoft Excel</Application>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2026-10-22T19:00:49Z</dcterms:created>
  <dcterms:modified xsi:type="dcterms:W3CDTF">2026-10-22T19:00:49Z</dcterms:modified>
  <cp:category/>
  <cp:contentStatus/>
</cp:coreProperties>
</file>