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bookViews>
    <workbookView activeTab="0"/>
  </bookViews>
  <sheets>
    <sheet name="IS" sheetId="1" r:id="rId1"/>
    <sheet name="BS" sheetId="2" r:id="rId2"/>
    <sheet name="CFS" sheetId="3" r:id="rId3"/>
    <sheet name="Analysis" sheetId="4" r:id="rId4"/>
    <sheet name="Acquisitions" sheetId="5" r:id="rId5"/>
  </sheets>
  <calcPr/>
  <extLst>
    <ext xmlns:xccaches="urn:twentyai:ccalc:caches" uri="{3C5F2E7A-9B41-4D6E-A8C2-19409CCA1C01}">
      <xccaches:writer/>
    </ext>
  </extLst>
</workbook>
</file>

<file path=xl/comments1.xml><?xml version="1.0" encoding="utf-8"?>
<comments xmlns="http://schemas.openxmlformats.org/spreadsheetml/2006/main">
  <authors>
    <author>Compound</author>
  </authors>
  <commentList>
    <comment ref="D10" authorId="0">
      <text>
        <t xml:space="preserve">Cited for C10:D10
CWAN 10-K FY2023 (filed 2024-02-29).pdf (page 108)</t>
      </text>
    </comment>
    <comment ref="D12" authorId="0">
      <text>
        <t xml:space="preserve">Cited for C12:D12
CWAN 10-K FY2023 (filed 2024-02-29).pdf (page 108)</t>
      </text>
    </comment>
    <comment ref="D13" authorId="0">
      <text>
        <t xml:space="preserve">Cited for C13:D13
CWAN 10-K FY2023 (filed 2024-02-29).pdf (page 108)</t>
      </text>
    </comment>
    <comment ref="D14" authorId="0">
      <text>
        <t xml:space="preserve">Cited for C14:D14
CWAN 10-K FY2023 (filed 2024-02-29).pdf (page 108)</t>
      </text>
    </comment>
    <comment ref="D17" authorId="0">
      <text>
        <t xml:space="preserve">Cited for C17:D17
CWAN 10-K FY2023 (filed 2024-02-29).pdf (page 108)</t>
      </text>
    </comment>
    <comment ref="D18" authorId="0">
      <text>
        <t xml:space="preserve">Cited for C18:D18
CWAN 10-K FY2023 (filed 2024-02-29).pdf (page 108)</t>
      </text>
    </comment>
    <comment ref="D19" authorId="0">
      <text>
        <t xml:space="preserve">Cited for C19:D19
CWAN 10-K FY2023 (filed 2024-02-29).pdf (page 108)</t>
      </text>
    </comment>
    <comment ref="D20" authorId="0">
      <text>
        <t xml:space="preserve">Cited for C20:D20
CWAN 10-K FY2023 (filed 2024-02-29).pdf (page 108)</t>
      </text>
    </comment>
    <comment ref="D22" authorId="0">
      <text>
        <t xml:space="preserve">Cited for C22:D22
CWAN 10-K FY2023 (filed 2024-02-29).pdf (page 108)</t>
      </text>
    </comment>
    <comment ref="D24" authorId="0">
      <text>
        <t xml:space="preserve">Cited for C24:D24
CWAN 10-K FY2023 (filed 2024-02-29).pdf (page 108)</t>
      </text>
    </comment>
    <comment ref="D26" authorId="0">
      <text>
        <t xml:space="preserve">Cited for C26:D26
CWAN 10-K FY2023 (filed 2024-02-29).pdf (page 108)</t>
      </text>
    </comment>
    <comment ref="D30" authorId="0">
      <text>
        <t xml:space="preserve">Cited for C30:D30
CWAN 10-K FY2023 (filed 2024-02-29).pdf (page 108)</t>
      </text>
    </comment>
    <comment ref="D31" authorId="0">
      <text>
        <t xml:space="preserve">Cited for C31:D31
CWAN 10-K FY2023 (filed 2024-02-29).pdf (page 108)</t>
      </text>
    </comment>
    <comment ref="D32" authorId="0">
      <text>
        <t xml:space="preserve">Cited for C32:D32
CWAN 10-K FY2023 (filed 2024-02-29).pdf (page 108)</t>
      </text>
    </comment>
    <comment ref="D33" authorId="0">
      <text>
        <t xml:space="preserve">Cited for C33:D33
CWAN 10-K FY2023 (filed 2024-02-29).pdf (page 108)</t>
      </text>
    </comment>
    <comment ref="D38" authorId="0">
      <text>
        <t xml:space="preserve">Cited for C38:D38
CWAN 10-K FY2023 (filed 2024-02-29).pdf (page 85)</t>
      </text>
    </comment>
    <comment ref="D39" authorId="0">
      <text>
        <t xml:space="preserve">Cited for C39:D39
CWAN 10-K FY2023 (filed 2024-02-29).pdf (page 85)</t>
      </text>
    </comment>
    <comment ref="D40" authorId="0">
      <text>
        <t xml:space="preserve">Cited for C40:D40
CWAN 10-K FY2023 (filed 2024-02-29).pdf (page 85)</t>
      </text>
    </comment>
    <comment ref="D41" authorId="0">
      <text>
        <t xml:space="preserve">Cited for C41:D41
CWAN 10-K FY2023 (filed 2024-02-29).pdf (page 85)</t>
      </text>
    </comment>
    <comment ref="D42" authorId="0">
      <text>
        <t xml:space="preserve">Cited for C42:D42
CWAN 10-K FY2023 (filed 2024-02-29).pdf (page 85)</t>
      </text>
    </comment>
    <comment ref="D43" authorId="0">
      <text>
        <t xml:space="preserve">Cited for C43:D43
CWAN 10-K FY2023 (filed 2024-02-29).pdf (page 85)</t>
      </text>
    </comment>
    <comment ref="D44" authorId="0">
      <text>
        <t xml:space="preserve">Cited for C44:D44
CWAN 10-K FY2023 (filed 2024-02-29).pdf (page 85)</t>
      </text>
    </comment>
    <comment ref="D45" authorId="0">
      <text>
        <t xml:space="preserve">Cited for C45:D45
CWAN 10-K FY2023 (filed 2024-02-29).pdf (page 85)</t>
      </text>
    </comment>
    <comment ref="D46" authorId="0">
      <text>
        <t xml:space="preserve">Cited for C46:D46
CWAN 10-K FY2023 (filed 2024-02-29).pdf (page 85)</t>
      </text>
    </comment>
    <comment ref="D47" authorId="0">
      <text>
        <t xml:space="preserve">Cited for C47:D47
CWAN 10-K FY2023 (filed 2024-02-29).pdf (page 85)</t>
      </text>
    </comment>
    <comment ref="D48" authorId="0">
      <text>
        <t xml:space="preserve">Cited for C48:D48
CWAN 10-K FY2023 (filed 2024-02-29).pdf (page 85)</t>
      </text>
    </comment>
    <comment ref="D51" authorId="0">
      <text>
        <t xml:space="preserve">Cited for C51:D51
CWAN 10-K FY2023 (filed 2024-02-29).pdf (page 85)</t>
      </text>
    </comment>
    <comment ref="D9" authorId="0">
      <text>
        <t xml:space="preserve">Cited for C9:D9
CWAN 10-K FY2023 (filed 2024-02-29).pdf (page 108)</t>
      </text>
    </comment>
    <comment ref="G10" authorId="0">
      <text>
        <t xml:space="preserve">Cited for E10:G10
CWAN 10-K FY2025 (filed 2026-02-18).pdf (page 98)</t>
      </text>
    </comment>
    <comment ref="G12" authorId="0">
      <text>
        <t xml:space="preserve">Cited for E12:G12
CWAN 10-K FY2025 (filed 2026-02-18).pdf (page 98)</t>
      </text>
    </comment>
    <comment ref="G13" authorId="0">
      <text>
        <t xml:space="preserve">Cited for E13:G13
CWAN 10-K FY2025 (filed 2026-02-18).pdf (page 98)</t>
      </text>
    </comment>
    <comment ref="G14" authorId="0">
      <text>
        <t xml:space="preserve">Cited for E14:G14
CWAN 10-K FY2025 (filed 2026-02-18).pdf (page 98)</t>
      </text>
    </comment>
    <comment ref="G17" authorId="0">
      <text>
        <t xml:space="preserve">Cited for E17:G17
CWAN 10-K FY2025 (filed 2026-02-18).pdf (page 98)</t>
      </text>
    </comment>
    <comment ref="G18" authorId="0">
      <text>
        <t xml:space="preserve">Cited for E18:G18
CWAN 10-K FY2025 (filed 2026-02-18).pdf (page 98)</t>
      </text>
    </comment>
    <comment ref="G20" authorId="0">
      <text>
        <t xml:space="preserve">Cited for E20:G20
CWAN 10-K FY2025 (filed 2026-02-18).pdf (page 98)</t>
      </text>
    </comment>
    <comment ref="G22" authorId="0">
      <text>
        <t xml:space="preserve">Cited for E22:G22
CWAN 10-K FY2025 (filed 2026-02-18).pdf (page 98)</t>
      </text>
    </comment>
    <comment ref="G24" authorId="0">
      <text>
        <t xml:space="preserve">Cited for E24:G24
CWAN 10-K FY2025 (filed 2026-02-18).pdf (page 98)</t>
      </text>
    </comment>
    <comment ref="G26" authorId="0">
      <text>
        <t xml:space="preserve">Cited for E26:G26
CWAN 10-K FY2025 (filed 2026-02-18).pdf (page 98)</t>
      </text>
    </comment>
    <comment ref="G30" authorId="0">
      <text>
        <t xml:space="preserve">Cited for E30:G30
CWAN 10-K FY2025 (filed 2026-02-18).pdf (page 98)</t>
      </text>
    </comment>
    <comment ref="G31" authorId="0">
      <text>
        <t xml:space="preserve">Cited for E31:G31
CWAN 10-K FY2025 (filed 2026-02-18).pdf (page 98)</t>
      </text>
    </comment>
    <comment ref="G32" authorId="0">
      <text>
        <t xml:space="preserve">Cited for E32:G32
CWAN 10-K FY2025 (filed 2026-02-18).pdf (page 98)</t>
      </text>
    </comment>
    <comment ref="G33" authorId="0">
      <text>
        <t xml:space="preserve">Cited for E33:G33
CWAN 10-K FY2025 (filed 2026-02-18).pdf (page 98)</t>
      </text>
    </comment>
    <comment ref="G38" authorId="0">
      <text>
        <t xml:space="preserve">Cited for E38:G38
CWAN 10-K FY2025 (filed 2026-02-18).pdf (page 73)</t>
      </text>
    </comment>
    <comment ref="G40" authorId="0">
      <text>
        <t xml:space="preserve">Cited for E40:G40
CWAN 10-K FY2025 (filed 2026-02-18).pdf (page 73)</t>
      </text>
    </comment>
    <comment ref="G41" authorId="0">
      <text>
        <t xml:space="preserve">Cited for E41:G41
CWAN 10-K FY2025 (filed 2026-02-18).pdf (page 73)</t>
      </text>
    </comment>
    <comment ref="G43" authorId="0">
      <text>
        <t xml:space="preserve">Cited for E43:G43
CWAN 10-K FY2025 (filed 2026-02-18).pdf (page 73)</t>
      </text>
    </comment>
    <comment ref="G44" authorId="0">
      <text>
        <t xml:space="preserve">Cited for E44:G44
CWAN 10-K FY2025 (filed 2026-02-18).pdf (page 73)</t>
      </text>
    </comment>
    <comment ref="G45" authorId="0">
      <text>
        <t xml:space="preserve">Cited for E45:G45
CWAN 10-K FY2025 (filed 2026-02-18).pdf (page 73)</t>
      </text>
    </comment>
    <comment ref="G47" authorId="0">
      <text>
        <t xml:space="preserve">Cited for E47:G47
CWAN 10-K FY2025 (filed 2026-02-18).pdf (page 73)</t>
      </text>
    </comment>
    <comment ref="G48" authorId="0">
      <text>
        <t xml:space="preserve">Cited for E48:G48
CWAN 10-K FY2025 (filed 2026-02-18).pdf (page 73)</t>
      </text>
    </comment>
    <comment ref="G51" authorId="0">
      <text>
        <t xml:space="preserve">Cited for E51:G51
CWAN 10-K FY2025 (filed 2026-02-18).pdf (page 73)</t>
      </text>
    </comment>
    <comment ref="G9" authorId="0">
      <text>
        <t xml:space="preserve">Cited for E9:G9
CWAN 10-K FY2025 (filed 2026-02-18).pdf (page 98)</t>
      </text>
    </comment>
    <comment ref="K10" authorId="0">
      <text>
        <t xml:space="preserve">Cited for H10:K10
CWAN 10-Q FY2025 Q3 (filed 2025-11-05).pdf (page 11)</t>
      </text>
    </comment>
    <comment ref="K12" authorId="0">
      <text>
        <t xml:space="preserve">Cited for H12:K12
CWAN 10-Q FY2025 Q3 (filed 2025-11-05).pdf (page 11)</t>
      </text>
    </comment>
    <comment ref="K13" authorId="0">
      <text>
        <t xml:space="preserve">Cited for H13:K13
CWAN 10-Q FY2025 Q3 (filed 2025-11-05).pdf (page 11)</t>
      </text>
    </comment>
    <comment ref="K14" authorId="0">
      <text>
        <t xml:space="preserve">Cited for H14:K14
CWAN 10-Q FY2025 Q3 (filed 2025-11-05).pdf (page 11)</t>
      </text>
    </comment>
    <comment ref="K17" authorId="0">
      <text>
        <t xml:space="preserve">Cited for H17:K17
CWAN 10-Q FY2025 Q3 (filed 2025-11-05).pdf (page 11)</t>
      </text>
    </comment>
    <comment ref="K18" authorId="0">
      <text>
        <t xml:space="preserve">Cited for H18:K18
CWAN 10-Q FY2025 Q3 (filed 2025-11-05).pdf (page 11)</t>
      </text>
    </comment>
    <comment ref="K20" authorId="0">
      <text>
        <t xml:space="preserve">Cited for H20:K20
CWAN 10-Q FY2025 Q3 (filed 2025-11-05).pdf (page 11)</t>
      </text>
    </comment>
    <comment ref="K22" authorId="0">
      <text>
        <t xml:space="preserve">Cited for H22:K22
CWAN 10-Q FY2025 Q3 (filed 2025-11-05).pdf (page 11)</t>
      </text>
    </comment>
    <comment ref="K24" authorId="0">
      <text>
        <t xml:space="preserve">Cited for H24:K24
CWAN 10-Q FY2025 Q3 (filed 2025-11-05).pdf (page 11)</t>
      </text>
    </comment>
    <comment ref="K26" authorId="0">
      <text>
        <t xml:space="preserve">Cited for H26:K26
CWAN 10-Q FY2025 Q3 (filed 2025-11-05).pdf (page 11)</t>
      </text>
    </comment>
    <comment ref="K30" authorId="0">
      <text>
        <t xml:space="preserve">Cited for H30:K30
CWAN 10-Q FY2025 Q3 (filed 2025-11-05).pdf (page 11)</t>
      </text>
    </comment>
    <comment ref="K31" authorId="0">
      <text>
        <t xml:space="preserve">Cited for H31:K31
CWAN 10-Q FY2025 Q3 (filed 2025-11-05).pdf (page 11)</t>
      </text>
    </comment>
    <comment ref="K32" authorId="0">
      <text>
        <t xml:space="preserve">Cited for H32:K32
CWAN 10-Q FY2025 Q3 (filed 2025-11-05).pdf (page 11)</t>
      </text>
    </comment>
    <comment ref="K33" authorId="0">
      <text>
        <t xml:space="preserve">Cited for H33:K33
CWAN 10-Q FY2025 Q3 (filed 2025-11-05).pdf (page 11)</t>
      </text>
    </comment>
    <comment ref="K38" authorId="0">
      <text>
        <t xml:space="preserve">Cited for H38:K38
CWAN 10-Q FY2025 Q3 (filed 2025-11-05).pdf (page 47)</t>
      </text>
    </comment>
    <comment ref="K40" authorId="0">
      <text>
        <t xml:space="preserve">Cited for H40:K40
CWAN 10-Q FY2025 Q3 (filed 2025-11-05).pdf (page 47)</t>
      </text>
    </comment>
    <comment ref="K41" authorId="0">
      <text>
        <t xml:space="preserve">Cited for H41:K41
CWAN 10-Q FY2025 Q3 (filed 2025-11-05).pdf (page 47)</t>
      </text>
    </comment>
    <comment ref="K43" authorId="0">
      <text>
        <t xml:space="preserve">Cited for H43:K43
CWAN 10-Q FY2025 Q3 (filed 2025-11-05).pdf (page 47)</t>
      </text>
    </comment>
    <comment ref="K44" authorId="0">
      <text>
        <t xml:space="preserve">Cited for H44:K44
CWAN 10-Q FY2025 Q3 (filed 2025-11-05).pdf (page 47)</t>
      </text>
    </comment>
    <comment ref="K45" authorId="0">
      <text>
        <t xml:space="preserve">Cited for H45:K45
CWAN 10-Q FY2025 Q3 (filed 2025-11-05).pdf (page 47)</t>
      </text>
    </comment>
    <comment ref="K47" authorId="0">
      <text>
        <t xml:space="preserve">Cited for H47:K47
CWAN 10-Q FY2025 Q3 (filed 2025-11-05).pdf (page 47)</t>
      </text>
    </comment>
    <comment ref="K48" authorId="0">
      <text>
        <t xml:space="preserve">Cited for H48:K48
CWAN 10-Q FY2025 Q3 (filed 2025-11-05).pdf (page 47)</t>
      </text>
    </comment>
    <comment ref="K51" authorId="0">
      <text>
        <t xml:space="preserve">Cited for H51:K51
CWAN 10-Q FY2025 Q3 (filed 2025-11-05).pdf (page 47)</t>
      </text>
    </comment>
    <comment ref="K9" authorId="0">
      <text>
        <t xml:space="preserve">Cited for H9:K9
CWAN 10-Q FY2025 Q3 (filed 2025-11-05).pdf (page 11)</t>
      </text>
    </comment>
  </commentList>
</comments>
</file>

<file path=xl/comments2.xml><?xml version="1.0" encoding="utf-8"?>
<comments xmlns="http://schemas.openxmlformats.org/spreadsheetml/2006/main">
  <authors>
    <author>Compound</author>
  </authors>
  <commentList>
    <comment ref="C10" authorId="0">
      <text>
        <t xml:space="preserve">CWAN 10-K FY2022 (filed 2023-03-03).pdf (page 84)</t>
      </text>
    </comment>
    <comment ref="C11" authorId="0">
      <text>
        <t xml:space="preserve">CWAN 10-K FY2022 (filed 2023-03-03).pdf (page 84)</t>
      </text>
    </comment>
    <comment ref="C12" authorId="0">
      <text>
        <t xml:space="preserve">CWAN 10-K FY2022 (filed 2023-03-03).pdf (page 84)</t>
      </text>
    </comment>
    <comment ref="C14" authorId="0">
      <text>
        <t xml:space="preserve">CWAN 10-K FY2022 (filed 2023-03-03).pdf (page 84)</t>
      </text>
    </comment>
    <comment ref="C15" authorId="0">
      <text>
        <t xml:space="preserve">CWAN 10-K FY2022 (filed 2023-03-03).pdf (page 84)</t>
      </text>
    </comment>
    <comment ref="C16" authorId="0">
      <text>
        <t xml:space="preserve">CWAN 10-K FY2022 (filed 2023-03-03).pdf (page 84)</t>
      </text>
    </comment>
    <comment ref="C17" authorId="0">
      <text>
        <t xml:space="preserve">CWAN 10-K FY2022 (filed 2023-03-03).pdf (page 84)</t>
      </text>
    </comment>
    <comment ref="C19" authorId="0">
      <text>
        <t xml:space="preserve">CWAN 10-K FY2022 (filed 2023-03-03).pdf (page 84)</t>
      </text>
    </comment>
    <comment ref="C20" authorId="0">
      <text>
        <t xml:space="preserve">CWAN 10-K FY2022 (filed 2023-03-03).pdf (page 84)</t>
      </text>
    </comment>
    <comment ref="C21" authorId="0">
      <text>
        <t xml:space="preserve">CWAN 10-K FY2022 (filed 2023-03-03).pdf (page 84)</t>
      </text>
    </comment>
    <comment ref="C26" authorId="0">
      <text>
        <t xml:space="preserve">CWAN 10-K FY2022 (filed 2023-03-03).pdf (page 84)</t>
      </text>
    </comment>
    <comment ref="C27" authorId="0">
      <text>
        <t xml:space="preserve">CWAN 10-K FY2022 (filed 2023-03-03).pdf (page 84)</t>
      </text>
    </comment>
    <comment ref="C29" authorId="0">
      <text>
        <t xml:space="preserve">CWAN 10-K FY2022 (filed 2023-03-03).pdf (page 84)</t>
      </text>
    </comment>
    <comment ref="C30" authorId="0">
      <text>
        <t xml:space="preserve">CWAN 10-K FY2022 (filed 2023-03-03).pdf (page 84)</t>
      </text>
    </comment>
    <comment ref="C31" authorId="0">
      <text>
        <t xml:space="preserve">CWAN 10-K FY2022 (filed 2023-03-03).pdf (page 84)</t>
      </text>
    </comment>
    <comment ref="C33" authorId="0">
      <text>
        <t xml:space="preserve">CWAN 10-K FY2022 (filed 2023-03-03).pdf (page 84)</t>
      </text>
    </comment>
    <comment ref="C34" authorId="0">
      <text>
        <t xml:space="preserve">CWAN 10-K FY2022 (filed 2023-03-03).pdf (page 84)</t>
      </text>
    </comment>
    <comment ref="C35" authorId="0">
      <text>
        <t xml:space="preserve">CWAN 10-K FY2022 (filed 2023-03-03).pdf (page 84)</t>
      </text>
    </comment>
    <comment ref="C37" authorId="0">
      <text>
        <t xml:space="preserve">CWAN 10-K FY2022 (filed 2023-03-03).pdf (page 84)</t>
      </text>
    </comment>
    <comment ref="C38" authorId="0">
      <text>
        <t xml:space="preserve">CWAN 10-K FY2022 (filed 2023-03-03).pdf (page 84)</t>
      </text>
    </comment>
    <comment ref="C39" authorId="0">
      <text>
        <t xml:space="preserve">CWAN 10-K FY2022 (filed 2023-03-03).pdf (page 84)</t>
      </text>
    </comment>
    <comment ref="C40" authorId="0">
      <text>
        <t xml:space="preserve">CWAN 10-K FY2022 (filed 2023-03-03).pdf (page 84)</t>
      </text>
    </comment>
    <comment ref="C41" authorId="0">
      <text>
        <t xml:space="preserve">CWAN 10-K FY2022 (filed 2023-03-03).pdf (page 84)</t>
      </text>
    </comment>
    <comment ref="C42" authorId="0">
      <text>
        <t xml:space="preserve">CWAN 10-K FY2022 (filed 2023-03-03).pdf (page 84)</t>
      </text>
    </comment>
    <comment ref="C43" authorId="0">
      <text>
        <t xml:space="preserve">CWAN 10-K FY2022 (filed 2023-03-03).pdf (page 84)</t>
      </text>
    </comment>
    <comment ref="C45" authorId="0">
      <text>
        <t xml:space="preserve">CWAN 10-K FY2022 (filed 2023-03-03).pdf (page 84)</t>
      </text>
    </comment>
    <comment ref="C52" authorId="0">
      <text>
        <t xml:space="preserve">CWAN 10-K FY2022 (filed 2023-03-03).pdf (page 106)</t>
      </text>
    </comment>
    <comment ref="C9" authorId="0">
      <text>
        <t xml:space="preserve">CWAN 10-K FY2022 (filed 2023-03-03).pdf (page 84)</t>
      </text>
    </comment>
    <comment ref="E10" authorId="0">
      <text>
        <t xml:space="preserve">Cited for D10:E10
CWAN 10-K FY2023 (filed 2024-02-29).pdf (page 106)</t>
      </text>
    </comment>
    <comment ref="E11" authorId="0">
      <text>
        <t xml:space="preserve">Cited for D11:E11
CWAN 10-K FY2023 (filed 2024-02-29).pdf (page 106)</t>
      </text>
    </comment>
    <comment ref="E12" authorId="0">
      <text>
        <t xml:space="preserve">Cited for D12:E12
CWAN 10-K FY2023 (filed 2024-02-29).pdf (page 106)</t>
      </text>
    </comment>
    <comment ref="E14" authorId="0">
      <text>
        <t xml:space="preserve">Cited for D14:E14
CWAN 10-K FY2023 (filed 2024-02-29).pdf (page 106)</t>
      </text>
    </comment>
    <comment ref="E15" authorId="0">
      <text>
        <t xml:space="preserve">Cited for D15:E15
CWAN 10-K FY2023 (filed 2024-02-29).pdf (page 106)</t>
      </text>
    </comment>
    <comment ref="E16" authorId="0">
      <text>
        <t xml:space="preserve">Cited for D16:E16
CWAN 10-K FY2023 (filed 2024-02-29).pdf (page 106)</t>
      </text>
    </comment>
    <comment ref="E17" authorId="0">
      <text>
        <t xml:space="preserve">Cited for D17:E17
CWAN 10-K FY2023 (filed 2024-02-29).pdf (page 106)</t>
      </text>
    </comment>
    <comment ref="E19" authorId="0">
      <text>
        <t xml:space="preserve">Cited for D19:E19
CWAN 10-K FY2023 (filed 2024-02-29).pdf (page 106)</t>
      </text>
    </comment>
    <comment ref="E20" authorId="0">
      <text>
        <t xml:space="preserve">Cited for D20:E20
CWAN 10-K FY2023 (filed 2024-02-29).pdf (page 106)</t>
      </text>
    </comment>
    <comment ref="E21" authorId="0">
      <text>
        <t xml:space="preserve">Cited for D21:E21
CWAN 10-K FY2023 (filed 2024-02-29).pdf (page 106)</t>
      </text>
    </comment>
    <comment ref="E22" authorId="0">
      <text>
        <t xml:space="preserve">Cited for D22:E22
CWAN 10-K FY2023 (filed 2024-02-29).pdf (page 106)</t>
      </text>
    </comment>
    <comment ref="E26" authorId="0">
      <text>
        <t xml:space="preserve">Cited for D26:E26
CWAN 10-K FY2023 (filed 2024-02-29).pdf (page 106)</t>
      </text>
    </comment>
    <comment ref="E27" authorId="0">
      <text>
        <t xml:space="preserve">Cited for D27:E27
CWAN 10-K FY2023 (filed 2024-02-29).pdf (page 106)</t>
      </text>
    </comment>
    <comment ref="E29" authorId="0">
      <text>
        <t xml:space="preserve">Cited for D29:E29
CWAN 10-K FY2023 (filed 2024-02-29).pdf (page 106)</t>
      </text>
    </comment>
    <comment ref="E30" authorId="0">
      <text>
        <t xml:space="preserve">Cited for D30:E30
CWAN 10-K FY2023 (filed 2024-02-29).pdf (page 106)</t>
      </text>
    </comment>
    <comment ref="E31" authorId="0">
      <text>
        <t xml:space="preserve">Cited for D31:E31
CWAN 10-K FY2023 (filed 2024-02-29).pdf (page 106)</t>
      </text>
    </comment>
    <comment ref="E33" authorId="0">
      <text>
        <t xml:space="preserve">Cited for D33:E33
CWAN 10-K FY2023 (filed 2024-02-29).pdf (page 106)</t>
      </text>
    </comment>
    <comment ref="E34" authorId="0">
      <text>
        <t xml:space="preserve">Cited for D34:E34
CWAN 10-K FY2023 (filed 2024-02-29).pdf (page 106)</t>
      </text>
    </comment>
    <comment ref="E35" authorId="0">
      <text>
        <t xml:space="preserve">Cited for D35:E35
CWAN 10-K FY2023 (filed 2024-02-29).pdf (page 106)</t>
      </text>
    </comment>
    <comment ref="E37" authorId="0">
      <text>
        <t xml:space="preserve">Cited for D37:E37
CWAN 10-K FY2023 (filed 2024-02-29).pdf (page 106)</t>
      </text>
    </comment>
    <comment ref="E38" authorId="0">
      <text>
        <t xml:space="preserve">Cited for D38:E38
CWAN 10-K FY2023 (filed 2024-02-29).pdf (page 106)</t>
      </text>
    </comment>
    <comment ref="E39" authorId="0">
      <text>
        <t xml:space="preserve">Cited for D39:E39
CWAN 10-K FY2023 (filed 2024-02-29).pdf (page 106)</t>
      </text>
    </comment>
    <comment ref="E40" authorId="0">
      <text>
        <t xml:space="preserve">Cited for D40:E40
CWAN 10-K FY2023 (filed 2024-02-29).pdf (page 106)</t>
      </text>
    </comment>
    <comment ref="E41" authorId="0">
      <text>
        <t xml:space="preserve">Cited for D41:E41
CWAN 10-K FY2023 (filed 2024-02-29).pdf (page 106)</t>
      </text>
    </comment>
    <comment ref="E42" authorId="0">
      <text>
        <t xml:space="preserve">Cited for D42:E42
CWAN 10-K FY2023 (filed 2024-02-29).pdf (page 106)</t>
      </text>
    </comment>
    <comment ref="E43" authorId="0">
      <text>
        <t xml:space="preserve">Cited for D43:E43
CWAN 10-K FY2023 (filed 2024-02-29).pdf (page 106)</t>
      </text>
    </comment>
    <comment ref="E45" authorId="0">
      <text>
        <t xml:space="preserve">Cited for D45:E45
CWAN 10-K FY2023 (filed 2024-02-29).pdf (page 106)</t>
      </text>
    </comment>
    <comment ref="E52" authorId="0">
      <text>
        <t xml:space="preserve">Cited for D52:E52
CWAN 10-K FY2023 (filed 2024-02-29).pdf (page 138)</t>
      </text>
    </comment>
    <comment ref="E9" authorId="0">
      <text>
        <t xml:space="preserve">Cited for D9:E9
CWAN 10-K FY2023 (filed 2024-02-29).pdf (page 106)</t>
      </text>
    </comment>
    <comment ref="G10" authorId="0">
      <text>
        <t xml:space="preserve">Cited for F10:G10
CWAN 10-K FY2025 (filed 2026-02-18).pdf (page 96)</t>
      </text>
    </comment>
    <comment ref="G11" authorId="0">
      <text>
        <t xml:space="preserve">Cited for F11:G11
CWAN 10-K FY2025 (filed 2026-02-18).pdf (page 96)</t>
      </text>
    </comment>
    <comment ref="G12" authorId="0">
      <text>
        <t xml:space="preserve">Cited for F12:G12
CWAN 10-K FY2025 (filed 2026-02-18).pdf (page 96)</t>
      </text>
    </comment>
    <comment ref="G14" authorId="0">
      <text>
        <t xml:space="preserve">Cited for F14:G14
CWAN 10-K FY2025 (filed 2026-02-18).pdf (page 96)</t>
      </text>
    </comment>
    <comment ref="G15" authorId="0">
      <text>
        <t xml:space="preserve">Cited for F15:G15
CWAN 10-K FY2025 (filed 2026-02-18).pdf (page 96)</t>
      </text>
    </comment>
    <comment ref="G16" authorId="0">
      <text>
        <t xml:space="preserve">Cited for F16:G16
CWAN 10-K FY2025 (filed 2026-02-18).pdf (page 96)</t>
      </text>
    </comment>
    <comment ref="G17" authorId="0">
      <text>
        <t xml:space="preserve">Cited for F17:G17
CWAN 10-K FY2025 (filed 2026-02-18).pdf (page 96)</t>
      </text>
    </comment>
    <comment ref="G18" authorId="0">
      <text>
        <t xml:space="preserve">Cited for F18:G18
CWAN 10-K FY2025 (filed 2026-02-18).pdf (page 96)</t>
      </text>
    </comment>
    <comment ref="G19" authorId="0">
      <text>
        <t xml:space="preserve">Cited for F19:G19
CWAN 10-K FY2025 (filed 2026-02-18).pdf (page 96)</t>
      </text>
    </comment>
    <comment ref="G20" authorId="0">
      <text>
        <t xml:space="preserve">Cited for F20:G20
CWAN 10-K FY2025 (filed 2026-02-18).pdf (page 96)</t>
      </text>
    </comment>
    <comment ref="G21" authorId="0">
      <text>
        <t xml:space="preserve">Cited for F21:G21
CWAN 10-K FY2025 (filed 2026-02-18).pdf (page 96)</t>
      </text>
    </comment>
    <comment ref="G22" authorId="0">
      <text>
        <t xml:space="preserve">Cited for F22:G22
CWAN 10-K FY2025 (filed 2026-02-18).pdf (page 96)</t>
      </text>
    </comment>
    <comment ref="G26" authorId="0">
      <text>
        <t xml:space="preserve">Cited for F26:G26
CWAN 10-K FY2025 (filed 2026-02-18).pdf (page 96)</t>
      </text>
    </comment>
    <comment ref="G27" authorId="0">
      <text>
        <t xml:space="preserve">Cited for F27:G27
CWAN 10-K FY2025 (filed 2026-02-18).pdf (page 96)</t>
      </text>
    </comment>
    <comment ref="G28" authorId="0">
      <text>
        <t xml:space="preserve">Cited for F28:G28
CWAN 10-K FY2025 (filed 2026-02-18).pdf (page 96)</t>
      </text>
    </comment>
    <comment ref="G29" authorId="0">
      <text>
        <t xml:space="preserve">Cited for F29:G29
CWAN 10-K FY2025 (filed 2026-02-18).pdf (page 96)</t>
      </text>
    </comment>
    <comment ref="G30" authorId="0">
      <text>
        <t xml:space="preserve">Cited for F30:G30
CWAN 10-K FY2025 (filed 2026-02-18).pdf (page 96)</t>
      </text>
    </comment>
    <comment ref="G31" authorId="0">
      <text>
        <t xml:space="preserve">Cited for F31:G31
CWAN 10-K FY2025 (filed 2026-02-18).pdf (page 96)</t>
      </text>
    </comment>
    <comment ref="G33" authorId="0">
      <text>
        <t xml:space="preserve">Cited for F33:G33
CWAN 10-K FY2025 (filed 2026-02-18).pdf (page 96)</t>
      </text>
    </comment>
    <comment ref="G34" authorId="0">
      <text>
        <t xml:space="preserve">Cited for F34:G34
CWAN 10-K FY2025 (filed 2026-02-18).pdf (page 96)</t>
      </text>
    </comment>
    <comment ref="G35" authorId="0">
      <text>
        <t xml:space="preserve">Cited for F35:G35
CWAN 10-K FY2025 (filed 2026-02-18).pdf (page 96)</t>
      </text>
    </comment>
    <comment ref="G37" authorId="0">
      <text>
        <t xml:space="preserve">Cited for F37:G37
CWAN 10-K FY2025 (filed 2026-02-18).pdf (page 96)</t>
      </text>
    </comment>
    <comment ref="G38" authorId="0">
      <text>
        <t xml:space="preserve">Cited for F38:G38
CWAN 10-K FY2025 (filed 2026-02-18).pdf (page 96)</t>
      </text>
    </comment>
    <comment ref="G39" authorId="0">
      <text>
        <t xml:space="preserve">Cited for F39:G39
CWAN 10-K FY2025 (filed 2026-02-18).pdf (page 96)</t>
      </text>
    </comment>
    <comment ref="G40" authorId="0">
      <text>
        <t xml:space="preserve">Cited for F40:G40
CWAN 10-K FY2025 (filed 2026-02-18).pdf (page 96)</t>
      </text>
    </comment>
    <comment ref="G41" authorId="0">
      <text>
        <t xml:space="preserve">Cited for F41:G41
CWAN 10-K FY2025 (filed 2026-02-18).pdf (page 96)</t>
      </text>
    </comment>
    <comment ref="G42" authorId="0">
      <text>
        <t xml:space="preserve">Cited for F42:G42
CWAN 10-K FY2025 (filed 2026-02-18).pdf (page 96)</t>
      </text>
    </comment>
    <comment ref="G43" authorId="0">
      <text>
        <t xml:space="preserve">Cited for F43:G43
CWAN 10-K FY2025 (filed 2026-02-18).pdf (page 96)</t>
      </text>
    </comment>
    <comment ref="G45" authorId="0">
      <text>
        <t xml:space="preserve">Cited for F45:G45
CWAN 10-K FY2025 (filed 2026-02-18).pdf (page 96)</t>
      </text>
    </comment>
    <comment ref="G52" authorId="0">
      <text>
        <t xml:space="preserve">Cited for F52:G52
CWAN 10-K FY2025 (filed 2026-02-18).pdf (page 129)</t>
      </text>
    </comment>
    <comment ref="G9" authorId="0">
      <text>
        <t xml:space="preserve">Cited for F9:G9
CWAN 10-K FY2025 (filed 2026-02-18).pdf (page 96)</t>
      </text>
    </comment>
    <comment ref="H10" authorId="0">
      <text>
        <t xml:space="preserve">CWAN 10-Q FY2025 Q3 (filed 2025-11-05).pdf (page 9)</t>
      </text>
    </comment>
    <comment ref="H11" authorId="0">
      <text>
        <t xml:space="preserve">CWAN 10-Q FY2025 Q3 (filed 2025-11-05).pdf (page 9)</t>
      </text>
    </comment>
    <comment ref="H12" authorId="0">
      <text>
        <t xml:space="preserve">CWAN 10-Q FY2025 Q3 (filed 2025-11-05).pdf (page 9)</t>
      </text>
    </comment>
    <comment ref="H14" authorId="0">
      <text>
        <t xml:space="preserve">CWAN 10-Q FY2025 Q3 (filed 2025-11-05).pdf (page 9)</t>
      </text>
    </comment>
    <comment ref="H15" authorId="0">
      <text>
        <t xml:space="preserve">CWAN 10-Q FY2025 Q3 (filed 2025-11-05).pdf (page 9)</t>
      </text>
    </comment>
    <comment ref="H16" authorId="0">
      <text>
        <t xml:space="preserve">CWAN 10-Q FY2025 Q3 (filed 2025-11-05).pdf (page 9)</t>
      </text>
    </comment>
    <comment ref="H17" authorId="0">
      <text>
        <t xml:space="preserve">CWAN 10-Q FY2025 Q3 (filed 2025-11-05).pdf (page 9)</t>
      </text>
    </comment>
    <comment ref="H18" authorId="0">
      <text>
        <t xml:space="preserve">CWAN 10-Q FY2025 Q3 (filed 2025-11-05).pdf (page 9)</t>
      </text>
    </comment>
    <comment ref="H19" authorId="0">
      <text>
        <t xml:space="preserve">CWAN 10-Q FY2025 Q3 (filed 2025-11-05).pdf (page 9)</t>
      </text>
    </comment>
    <comment ref="H20" authorId="0">
      <text>
        <t xml:space="preserve">CWAN 10-Q FY2025 Q3 (filed 2025-11-05).pdf (page 9)</t>
      </text>
    </comment>
    <comment ref="H21" authorId="0">
      <text>
        <t xml:space="preserve">CWAN 10-Q FY2025 Q3 (filed 2025-11-05).pdf (page 9)</t>
      </text>
    </comment>
    <comment ref="H22" authorId="0">
      <text>
        <t xml:space="preserve">CWAN 10-Q FY2025 Q3 (filed 2025-11-05).pdf (page 9)</t>
      </text>
    </comment>
    <comment ref="H26" authorId="0">
      <text>
        <t xml:space="preserve">CWAN 10-Q FY2025 Q3 (filed 2025-11-05).pdf (page 9)</t>
      </text>
    </comment>
    <comment ref="H27" authorId="0">
      <text>
        <t xml:space="preserve">CWAN 10-Q FY2025 Q3 (filed 2025-11-05).pdf (page 9)</t>
      </text>
    </comment>
    <comment ref="H28" authorId="0">
      <text>
        <t xml:space="preserve">CWAN 10-Q FY2025 Q3 (filed 2025-11-05).pdf (page 9)</t>
      </text>
    </comment>
    <comment ref="H29" authorId="0">
      <text>
        <t xml:space="preserve">CWAN 10-Q FY2025 Q3 (filed 2025-11-05).pdf (page 9)</t>
      </text>
    </comment>
    <comment ref="H30" authorId="0">
      <text>
        <t xml:space="preserve">CWAN 10-Q FY2025 Q3 (filed 2025-11-05).pdf (page 9)</t>
      </text>
    </comment>
    <comment ref="H31" authorId="0">
      <text>
        <t xml:space="preserve">CWAN 10-Q FY2025 Q3 (filed 2025-11-05).pdf (page 9)</t>
      </text>
    </comment>
    <comment ref="H33" authorId="0">
      <text>
        <t xml:space="preserve">CWAN 10-Q FY2025 Q3 (filed 2025-11-05).pdf (page 9)</t>
      </text>
    </comment>
    <comment ref="H34" authorId="0">
      <text>
        <t xml:space="preserve">CWAN 10-Q FY2025 Q3 (filed 2025-11-05).pdf (page 9)</t>
      </text>
    </comment>
    <comment ref="H35" authorId="0">
      <text>
        <t xml:space="preserve">CWAN 10-Q FY2025 Q3 (filed 2025-11-05).pdf (page 9)</t>
      </text>
    </comment>
    <comment ref="H37" authorId="0">
      <text>
        <t xml:space="preserve">CWAN 10-Q FY2025 Q3 (filed 2025-11-05).pdf (page 9)</t>
      </text>
    </comment>
    <comment ref="H38" authorId="0">
      <text>
        <t xml:space="preserve">CWAN 10-Q FY2025 Q3 (filed 2025-11-05).pdf (page 9)</t>
      </text>
    </comment>
    <comment ref="H39" authorId="0">
      <text>
        <t xml:space="preserve">CWAN 10-Q FY2025 Q3 (filed 2025-11-05).pdf (page 9)</t>
      </text>
    </comment>
    <comment ref="H40" authorId="0">
      <text>
        <t xml:space="preserve">CWAN 10-Q FY2025 Q3 (filed 2025-11-05).pdf (page 9)</t>
      </text>
    </comment>
    <comment ref="H41" authorId="0">
      <text>
        <t xml:space="preserve">CWAN 10-Q FY2025 Q3 (filed 2025-11-05).pdf (page 9)</t>
      </text>
    </comment>
    <comment ref="H42" authorId="0">
      <text>
        <t xml:space="preserve">CWAN 10-Q FY2025 Q3 (filed 2025-11-05).pdf (page 9)</t>
      </text>
    </comment>
    <comment ref="H43" authorId="0">
      <text>
        <t xml:space="preserve">CWAN 10-Q FY2025 Q3 (filed 2025-11-05).pdf (page 9)</t>
      </text>
    </comment>
    <comment ref="H45" authorId="0">
      <text>
        <t xml:space="preserve">CWAN 10-Q FY2025 Q3 (filed 2025-11-05).pdf (page 9)</t>
      </text>
    </comment>
    <comment ref="H9" authorId="0">
      <text>
        <t xml:space="preserve">CWAN 10-Q FY2025 Q3 (filed 2025-11-05).pdf (page 9)</t>
      </text>
    </comment>
  </commentList>
</comments>
</file>

<file path=xl/comments3.xml><?xml version="1.0" encoding="utf-8"?>
<comments xmlns="http://schemas.openxmlformats.org/spreadsheetml/2006/main">
  <authors>
    <author>Compound</author>
  </authors>
  <commentList>
    <comment ref="C59" authorId="0">
      <text>
        <t xml:space="preserve">CWAN 10-K FY2023 (filed 2024-02-29).pdf (page 115)</t>
      </text>
    </comment>
    <comment ref="D10" authorId="0">
      <text>
        <t xml:space="preserve">Cited for C10:D10
CWAN 10-K FY2023 (filed 2024-02-29).pdf (page 115)</t>
      </text>
    </comment>
    <comment ref="D11" authorId="0">
      <text>
        <t xml:space="preserve">Cited for C11:D11
CWAN 10-K FY2023 (filed 2024-02-29).pdf (page 115)</t>
      </text>
    </comment>
    <comment ref="D12" authorId="0">
      <text>
        <t xml:space="preserve">Cited for C12:D12
CWAN 10-K FY2023 (filed 2024-02-29).pdf (page 115)</t>
      </text>
    </comment>
    <comment ref="D13" authorId="0">
      <text>
        <t xml:space="preserve">Cited for C13:D13
CWAN 10-K FY2023 (filed 2024-02-29).pdf (page 115)</t>
      </text>
    </comment>
    <comment ref="D14" authorId="0">
      <text>
        <t xml:space="preserve">Cited for C14:D14
CWAN 10-K FY2023 (filed 2024-02-29).pdf (page 115)</t>
      </text>
    </comment>
    <comment ref="D15" authorId="0">
      <text>
        <t xml:space="preserve">Cited for C15:D15
CWAN 10-K FY2023 (filed 2024-02-29).pdf (page 115)</t>
      </text>
    </comment>
    <comment ref="D17" authorId="0">
      <text>
        <t xml:space="preserve">Cited for C17:D17
CWAN 10-K FY2023 (filed 2024-02-29).pdf (page 115)</t>
      </text>
    </comment>
    <comment ref="D18" authorId="0">
      <text>
        <t xml:space="preserve">Cited for C18:D18
CWAN 10-K FY2023 (filed 2024-02-29).pdf (page 115)</t>
      </text>
    </comment>
    <comment ref="D19" authorId="0">
      <text>
        <t xml:space="preserve">Cited for C19:D19
CWAN 10-K FY2023 (filed 2024-02-29).pdf (page 115)</t>
      </text>
    </comment>
    <comment ref="D20" authorId="0">
      <text>
        <t xml:space="preserve">Cited for C20:D20
CWAN 10-K FY2023 (filed 2024-02-29).pdf (page 115)</t>
      </text>
    </comment>
    <comment ref="D21" authorId="0">
      <text>
        <t xml:space="preserve">Cited for C21:D21
CWAN 10-K FY2023 (filed 2024-02-29).pdf (page 115)</t>
      </text>
    </comment>
    <comment ref="D22" authorId="0">
      <text>
        <t xml:space="preserve">Cited for C22:D22
CWAN 10-K FY2023 (filed 2024-02-29).pdf (page 115)</t>
      </text>
    </comment>
    <comment ref="D23" authorId="0">
      <text>
        <t xml:space="preserve">Cited for C23:D23
CWAN 10-K FY2023 (filed 2024-02-29).pdf (page 115)</t>
      </text>
    </comment>
    <comment ref="D24" authorId="0">
      <text>
        <t xml:space="preserve">Cited for C24:D24
CWAN 10-K FY2023 (filed 2024-02-29).pdf (page 115)</t>
      </text>
    </comment>
    <comment ref="D25" authorId="0">
      <text>
        <t xml:space="preserve">Cited for C25:D25
CWAN 10-K FY2023 (filed 2024-02-29).pdf (page 115)</t>
      </text>
    </comment>
    <comment ref="D30" authorId="0">
      <text>
        <t xml:space="preserve">Cited for C30:D30
CWAN 10-K FY2023 (filed 2024-02-29).pdf (page 115)</t>
      </text>
    </comment>
    <comment ref="D32" authorId="0">
      <text>
        <t xml:space="preserve">Cited for C32:D32
CWAN 10-K FY2023 (filed 2024-02-29).pdf (page 115)</t>
      </text>
    </comment>
    <comment ref="D33" authorId="0">
      <text>
        <t xml:space="preserve">Cited for C33:D33
CWAN 10-K FY2023 (filed 2024-02-29).pdf (page 115)</t>
      </text>
    </comment>
    <comment ref="D34" authorId="0">
      <text>
        <t xml:space="preserve">Cited for C34:D34
CWAN 10-K FY2023 (filed 2024-02-29).pdf (page 115)</t>
      </text>
    </comment>
    <comment ref="D35" authorId="0">
      <text>
        <t xml:space="preserve">Cited for C35:D35
CWAN 10-K FY2023 (filed 2024-02-29).pdf (page 115)</t>
      </text>
    </comment>
    <comment ref="D36" authorId="0">
      <text>
        <t xml:space="preserve">Cited for C36:D36
CWAN 10-K FY2023 (filed 2024-02-29).pdf (page 115)</t>
      </text>
    </comment>
    <comment ref="D42" authorId="0">
      <text>
        <t xml:space="preserve">Cited for C42:D42
CWAN 10-K FY2023 (filed 2024-02-29).pdf (page 115)</t>
      </text>
    </comment>
    <comment ref="D43" authorId="0">
      <text>
        <t xml:space="preserve">Cited for C43:D43
CWAN 10-K FY2023 (filed 2024-02-29).pdf (page 115)</t>
      </text>
    </comment>
    <comment ref="D44" authorId="0">
      <text>
        <t xml:space="preserve">Cited for C44:D44
CWAN 10-K FY2023 (filed 2024-02-29).pdf (page 115)</t>
      </text>
    </comment>
    <comment ref="D45" authorId="0">
      <text>
        <t xml:space="preserve">Cited for C45:D45
CWAN 10-K FY2023 (filed 2024-02-29).pdf (page 115)</t>
      </text>
    </comment>
    <comment ref="D46" authorId="0">
      <text>
        <t xml:space="preserve">Cited for C46:D46
CWAN 10-K FY2023 (filed 2024-02-29).pdf (page 115)</t>
      </text>
    </comment>
    <comment ref="D47" authorId="0">
      <text>
        <t xml:space="preserve">Cited for C47:D47
CWAN 10-K FY2023 (filed 2024-02-29).pdf (page 115)</t>
      </text>
    </comment>
    <comment ref="D48" authorId="0">
      <text>
        <t xml:space="preserve">Cited for C48:D48
CWAN 10-K FY2023 (filed 2024-02-29).pdf (page 115)</t>
      </text>
    </comment>
    <comment ref="D49" authorId="0">
      <text>
        <t xml:space="preserve">Cited for C49:D49
CWAN 10-K FY2023 (filed 2024-02-29).pdf (page 115)</t>
      </text>
    </comment>
    <comment ref="D50" authorId="0">
      <text>
        <t xml:space="preserve">Cited for C50:D50
CWAN 10-K FY2023 (filed 2024-02-29).pdf (page 115)</t>
      </text>
    </comment>
    <comment ref="D51" authorId="0">
      <text>
        <t xml:space="preserve">Cited for C51:D51
CWAN 10-K FY2023 (filed 2024-02-29).pdf (page 115)</t>
      </text>
    </comment>
    <comment ref="D52" authorId="0">
      <text>
        <t xml:space="preserve">Cited for C52:D52
CWAN 10-K FY2023 (filed 2024-02-29).pdf (page 115)</t>
      </text>
    </comment>
    <comment ref="D53" authorId="0">
      <text>
        <t xml:space="preserve">Cited for C53:D53
CWAN 10-K FY2023 (filed 2024-02-29).pdf (page 115)</t>
      </text>
    </comment>
    <comment ref="D54" authorId="0">
      <text>
        <t xml:space="preserve">Cited for C54:D54
CWAN 10-K FY2023 (filed 2024-02-29).pdf (page 115)</t>
      </text>
    </comment>
    <comment ref="D57" authorId="0">
      <text>
        <t xml:space="preserve">Cited for C57:D57
CWAN 10-K FY2023 (filed 2024-02-29).pdf (page 115)</t>
      </text>
    </comment>
    <comment ref="D65" authorId="0">
      <text>
        <t xml:space="preserve">Cited for C65:D65
CWAN 10-K FY2023 (filed 2024-02-29).pdf (page 115)</t>
      </text>
    </comment>
    <comment ref="D66" authorId="0">
      <text>
        <t xml:space="preserve">Cited for C66:D66
CWAN 10-K FY2023 (filed 2024-02-29).pdf (page 115)</t>
      </text>
    </comment>
    <comment ref="G10" authorId="0">
      <text>
        <t xml:space="preserve">Cited for E10:G10
CWAN 10-K FY2025 (filed 2026-02-18).pdf (page 104)</t>
      </text>
    </comment>
    <comment ref="G11" authorId="0">
      <text>
        <t xml:space="preserve">Cited for E11:G11
CWAN 10-K FY2025 (filed 2026-02-18).pdf (page 104)</t>
      </text>
    </comment>
    <comment ref="G12" authorId="0">
      <text>
        <t xml:space="preserve">Cited for E12:G12
CWAN 10-K FY2025 (filed 2026-02-18).pdf (page 104)</t>
      </text>
    </comment>
    <comment ref="G13" authorId="0">
      <text>
        <t xml:space="preserve">Cited for E13:G13
CWAN 10-K FY2025 (filed 2026-02-18).pdf (page 104)</t>
      </text>
    </comment>
    <comment ref="G14" authorId="0">
      <text>
        <t xml:space="preserve">Cited for E14:G14
CWAN 10-K FY2025 (filed 2026-02-18).pdf (page 104)</t>
      </text>
    </comment>
    <comment ref="G15" authorId="0">
      <text>
        <t xml:space="preserve">Cited for E15:G15
CWAN 10-K FY2025 (filed 2026-02-18).pdf (page 104)</t>
      </text>
    </comment>
    <comment ref="G16" authorId="0">
      <text>
        <t xml:space="preserve">Cited for E16:G16
CWAN 10-K FY2025 (filed 2026-02-18).pdf (page 104)</t>
      </text>
    </comment>
    <comment ref="G17" authorId="0">
      <text>
        <t xml:space="preserve">Cited for E17:G17
CWAN 10-K FY2025 (filed 2026-02-18).pdf (page 104)</t>
      </text>
    </comment>
    <comment ref="G18" authorId="0">
      <text>
        <t xml:space="preserve">Cited for E18:G18
CWAN 10-K FY2025 (filed 2026-02-18).pdf (page 104)</t>
      </text>
    </comment>
    <comment ref="G19" authorId="0">
      <text>
        <t xml:space="preserve">Cited for E19:G19
CWAN 10-K FY2025 (filed 2026-02-18).pdf (page 104)</t>
      </text>
    </comment>
    <comment ref="G20" authorId="0">
      <text>
        <t xml:space="preserve">Cited for E20:G20
CWAN 10-K FY2025 (filed 2026-02-18).pdf (page 104)</t>
      </text>
    </comment>
    <comment ref="G21" authorId="0">
      <text>
        <t xml:space="preserve">Cited for E21:G21
CWAN 10-K FY2025 (filed 2026-02-18).pdf (page 104)</t>
      </text>
    </comment>
    <comment ref="G22" authorId="0">
      <text>
        <t xml:space="preserve">Cited for E22:G22
CWAN 10-K FY2025 (filed 2026-02-18).pdf (page 104)</t>
      </text>
    </comment>
    <comment ref="G23" authorId="0">
      <text>
        <t xml:space="preserve">Cited for E23:G23
CWAN 10-K FY2025 (filed 2026-02-18).pdf (page 104)</t>
      </text>
    </comment>
    <comment ref="G24" authorId="0">
      <text>
        <t xml:space="preserve">Cited for E24:G24
CWAN 10-K FY2025 (filed 2026-02-18).pdf (page 104)</t>
      </text>
    </comment>
    <comment ref="G25" authorId="0">
      <text>
        <t xml:space="preserve">Cited for E25:G25
CWAN 10-K FY2025 (filed 2026-02-18).pdf (page 104)</t>
      </text>
    </comment>
    <comment ref="G26" authorId="0">
      <text>
        <t xml:space="preserve">Cited for E26:G26
CWAN 10-K FY2025 (filed 2026-02-18).pdf (page 104)</t>
      </text>
    </comment>
    <comment ref="G30" authorId="0">
      <text>
        <t xml:space="preserve">Cited for E30:G30
CWAN 10-K FY2025 (filed 2026-02-18).pdf (page 104)</t>
      </text>
    </comment>
    <comment ref="G31" authorId="0">
      <text>
        <t xml:space="preserve">Cited for E31:G31
CWAN 10-K FY2025 (filed 2026-02-18).pdf (page 104)</t>
      </text>
    </comment>
    <comment ref="G32" authorId="0">
      <text>
        <t xml:space="preserve">Cited for E32:G32
CWAN 10-K FY2025 (filed 2026-02-18).pdf (page 104)</t>
      </text>
    </comment>
    <comment ref="G33" authorId="0">
      <text>
        <t xml:space="preserve">Cited for E33:G33
CWAN 10-K FY2025 (filed 2026-02-18).pdf (page 104)</t>
      </text>
    </comment>
    <comment ref="G34" authorId="0">
      <text>
        <t xml:space="preserve">Cited for E34:G34
CWAN 10-K FY2025 (filed 2026-02-18).pdf (page 104)</t>
      </text>
    </comment>
    <comment ref="G35" authorId="0">
      <text>
        <t xml:space="preserve">Cited for E35:G35
CWAN 10-K FY2025 (filed 2026-02-18).pdf (page 104)</t>
      </text>
    </comment>
    <comment ref="G36" authorId="0">
      <text>
        <t xml:space="preserve">Cited for E36:G36
CWAN 10-K FY2025 (filed 2026-02-18).pdf (page 104)</t>
      </text>
    </comment>
    <comment ref="G38" authorId="0">
      <text>
        <t xml:space="preserve">Cited for E38:G38
CWAN 10-K FY2025 (filed 2026-02-18).pdf (page 104)</t>
      </text>
    </comment>
    <comment ref="G43" authorId="0">
      <text>
        <t xml:space="preserve">Cited for E43:G43
CWAN 10-K FY2025 (filed 2026-02-18).pdf (page 104)</t>
      </text>
    </comment>
    <comment ref="G44" authorId="0">
      <text>
        <t xml:space="preserve">Cited for E44:G44
CWAN 10-K FY2025 (filed 2026-02-18).pdf (page 104)</t>
      </text>
    </comment>
    <comment ref="G45" authorId="0">
      <text>
        <t xml:space="preserve">Cited for E45:G45
CWAN 10-K FY2025 (filed 2026-02-18).pdf (page 104)</t>
      </text>
    </comment>
    <comment ref="G46" authorId="0">
      <text>
        <t xml:space="preserve">Cited for E46:G46
CWAN 10-K FY2025 (filed 2026-02-18).pdf (page 104)</t>
      </text>
    </comment>
    <comment ref="G47" authorId="0">
      <text>
        <t xml:space="preserve">Cited for E47:G47
CWAN 10-K FY2025 (filed 2026-02-18).pdf (page 104)</t>
      </text>
    </comment>
    <comment ref="G49" authorId="0">
      <text>
        <t xml:space="preserve">Cited for E49:G49
CWAN 10-K FY2025 (filed 2026-02-18).pdf (page 104)</t>
      </text>
    </comment>
    <comment ref="G53" authorId="0">
      <text>
        <t xml:space="preserve">Cited for E53:G53
CWAN 10-K FY2025 (filed 2026-02-18).pdf (page 104)</t>
      </text>
    </comment>
    <comment ref="G54" authorId="0">
      <text>
        <t xml:space="preserve">Cited for E54:G54
CWAN 10-K FY2025 (filed 2026-02-18).pdf (page 104)</t>
      </text>
    </comment>
    <comment ref="G57" authorId="0">
      <text>
        <t xml:space="preserve">Cited for E57:G57
CWAN 10-K FY2025 (filed 2026-02-18).pdf (page 104)</t>
      </text>
    </comment>
    <comment ref="G65" authorId="0">
      <text>
        <t xml:space="preserve">Cited for E65:G65
CWAN 10-K FY2025 (filed 2026-02-18).pdf (page 104)</t>
      </text>
    </comment>
    <comment ref="G66" authorId="0">
      <text>
        <t xml:space="preserve">Cited for E66:G66
CWAN 10-K FY2025 (filed 2026-02-18).pdf (page 104)</t>
      </text>
    </comment>
    <comment ref="H61" authorId="0">
      <text>
        <t xml:space="preserve">CWAN 10-Q FY2025 Q3 (filed 2025-11-05).pdf (page 21)</t>
      </text>
    </comment>
    <comment ref="I10" authorId="0">
      <text>
        <t xml:space="preserve">Cited for H10:I10
CWAN 10-Q FY2025 Q3 (filed 2025-11-05).pdf (page 19)</t>
      </text>
    </comment>
    <comment ref="I11" authorId="0">
      <text>
        <t xml:space="preserve">Cited for H11:I11
CWAN 10-Q FY2025 Q3 (filed 2025-11-05).pdf (page 19)</t>
      </text>
    </comment>
    <comment ref="I12" authorId="0">
      <text>
        <t xml:space="preserve">Cited for H12:I12
CWAN 10-Q FY2025 Q3 (filed 2025-11-05).pdf (page 19)</t>
      </text>
    </comment>
    <comment ref="I13" authorId="0">
      <text>
        <t xml:space="preserve">Cited for H13:I13
CWAN 10-Q FY2025 Q3 (filed 2025-11-05).pdf (page 19)</t>
      </text>
    </comment>
    <comment ref="I14" authorId="0">
      <text>
        <t xml:space="preserve">Cited for H14:I14
CWAN 10-Q FY2025 Q3 (filed 2025-11-05).pdf (page 19)</t>
      </text>
    </comment>
    <comment ref="I15" authorId="0">
      <text>
        <t xml:space="preserve">Cited for H15:I15
CWAN 10-Q FY2025 Q3 (filed 2025-11-05).pdf (page 19)</t>
      </text>
    </comment>
    <comment ref="I17" authorId="0">
      <text>
        <t xml:space="preserve">Cited for H17:I17
CWAN 10-Q FY2025 Q3 (filed 2025-11-05).pdf (page 19)</t>
      </text>
    </comment>
    <comment ref="I18" authorId="0">
      <text>
        <t xml:space="preserve">Cited for H18:I18
CWAN 10-Q FY2025 Q3 (filed 2025-11-05).pdf (page 19)</t>
      </text>
    </comment>
    <comment ref="I19" authorId="0">
      <text>
        <t xml:space="preserve">Cited for H19:I19
CWAN 10-Q FY2025 Q3 (filed 2025-11-05).pdf (page 19)</t>
      </text>
    </comment>
    <comment ref="I20" authorId="0">
      <text>
        <t xml:space="preserve">Cited for H20:I20
CWAN 10-Q FY2025 Q3 (filed 2025-11-05).pdf (page 19)</t>
      </text>
    </comment>
    <comment ref="I21" authorId="0">
      <text>
        <t xml:space="preserve">Cited for H21:I21
CWAN 10-Q FY2025 Q3 (filed 2025-11-05).pdf (page 19)</t>
      </text>
    </comment>
    <comment ref="I22" authorId="0">
      <text>
        <t xml:space="preserve">Cited for H22:I22
CWAN 10-Q FY2025 Q3 (filed 2025-11-05).pdf (page 19)</t>
      </text>
    </comment>
    <comment ref="I23" authorId="0">
      <text>
        <t xml:space="preserve">Cited for H23:I23
CWAN 10-Q FY2025 Q3 (filed 2025-11-05).pdf (page 19)</t>
      </text>
    </comment>
    <comment ref="I24" authorId="0">
      <text>
        <t xml:space="preserve">Cited for H24:I24
CWAN 10-Q FY2025 Q3 (filed 2025-11-05).pdf (page 19)</t>
      </text>
    </comment>
    <comment ref="I25" authorId="0">
      <text>
        <t xml:space="preserve">Cited for H25:I25
CWAN 10-Q FY2025 Q3 (filed 2025-11-05).pdf (page 19)</t>
      </text>
    </comment>
    <comment ref="I26" authorId="0">
      <text>
        <t xml:space="preserve">Cited for H26:I26
CWAN 10-Q FY2025 Q3 (filed 2025-11-05).pdf (page 19)</t>
      </text>
    </comment>
    <comment ref="I30" authorId="0">
      <text>
        <t xml:space="preserve">Cited for H30:I30
CWAN 10-Q FY2025 Q3 (filed 2025-11-05).pdf (page 19)</t>
      </text>
    </comment>
    <comment ref="I31" authorId="0">
      <text>
        <t xml:space="preserve">Cited for H31:I31
CWAN 10-Q FY2025 Q3 (filed 2025-11-05).pdf (page 19)</t>
      </text>
    </comment>
    <comment ref="I32" authorId="0">
      <text>
        <t xml:space="preserve">Cited for H32:I32
CWAN 10-Q FY2025 Q3 (filed 2025-11-05).pdf (page 19)</t>
      </text>
    </comment>
    <comment ref="I33" authorId="0">
      <text>
        <t xml:space="preserve">Cited for H33:I33
CWAN 10-Q FY2025 Q3 (filed 2025-11-05).pdf (page 19)</t>
      </text>
    </comment>
    <comment ref="I34" authorId="0">
      <text>
        <t xml:space="preserve">Cited for H34:I34
CWAN 10-Q FY2025 Q3 (filed 2025-11-05).pdf (page 19)</t>
      </text>
    </comment>
    <comment ref="I35" authorId="0">
      <text>
        <t xml:space="preserve">Cited for H35:I35
CWAN 10-Q FY2025 Q3 (filed 2025-11-05).pdf (page 19)</t>
      </text>
    </comment>
    <comment ref="I36" authorId="0">
      <text>
        <t xml:space="preserve">Cited for H36:I36
CWAN 10-Q FY2025 Q3 (filed 2025-11-05).pdf (page 19)</t>
      </text>
    </comment>
    <comment ref="I37" authorId="0">
      <text>
        <t xml:space="preserve">Cited for H37:I37
CWAN 10-Q FY2025 Q3 (filed 2025-11-05).pdf (page 19)</t>
      </text>
    </comment>
    <comment ref="I38" authorId="0">
      <text>
        <t xml:space="preserve">Cited for H38:I38
CWAN 10-Q FY2025 Q3 (filed 2025-11-05).pdf (page 19)</t>
      </text>
    </comment>
    <comment ref="I43" authorId="0">
      <text>
        <t xml:space="preserve">Cited for H43:I43
CWAN 10-Q FY2025 Q3 (filed 2025-11-05).pdf (page 19)</t>
      </text>
    </comment>
    <comment ref="I44" authorId="0">
      <text>
        <t xml:space="preserve">Cited for H44:I44
CWAN 10-Q FY2025 Q3 (filed 2025-11-05).pdf (page 19)</t>
      </text>
    </comment>
    <comment ref="I45" authorId="0">
      <text>
        <t xml:space="preserve">Cited for H45:I45
CWAN 10-Q FY2025 Q3 (filed 2025-11-05).pdf (page 19)</t>
      </text>
    </comment>
    <comment ref="I46" authorId="0">
      <text>
        <t xml:space="preserve">Cited for H46:I46
CWAN 10-Q FY2025 Q3 (filed 2025-11-05).pdf (page 19)</t>
      </text>
    </comment>
    <comment ref="I47" authorId="0">
      <text>
        <t xml:space="preserve">Cited for H47:I47
CWAN 10-Q FY2025 Q3 (filed 2025-11-05).pdf (page 19)</t>
      </text>
    </comment>
    <comment ref="I49" authorId="0">
      <text>
        <t xml:space="preserve">Cited for H49:I49
CWAN 10-Q FY2025 Q3 (filed 2025-11-05).pdf (page 19)</t>
      </text>
    </comment>
    <comment ref="I53" authorId="0">
      <text>
        <t xml:space="preserve">Cited for H53:I53
CWAN 10-Q FY2025 Q3 (filed 2025-11-05).pdf (page 19)</t>
      </text>
    </comment>
    <comment ref="I54" authorId="0">
      <text>
        <t xml:space="preserve">Cited for H54:I54
CWAN 10-Q FY2025 Q3 (filed 2025-11-05).pdf (page 19)</t>
      </text>
    </comment>
    <comment ref="I57" authorId="0">
      <text>
        <t xml:space="preserve">Cited for H57:I57
CWAN 10-Q FY2025 Q3 (filed 2025-11-05).pdf (page 19)</t>
      </text>
    </comment>
    <comment ref="I65" authorId="0">
      <text>
        <t xml:space="preserve">Cited for H65:I65
CWAN 10-Q FY2025 Q3 (filed 2025-11-05).pdf (page 21)</t>
      </text>
    </comment>
    <comment ref="I66" authorId="0">
      <text>
        <t xml:space="preserve">Cited for H66:I66
CWAN 10-Q FY2025 Q3 (filed 2025-11-05).pdf (page 21)</t>
      </text>
    </comment>
  </commentList>
</comments>
</file>

<file path=xl/comments4.xml><?xml version="1.0" encoding="utf-8"?>
<comments xmlns="http://schemas.openxmlformats.org/spreadsheetml/2006/main">
  <authors>
    <author>Compound</author>
  </authors>
  <commentList>
    <comment ref="C23" authorId="0">
      <text>
        <t xml:space="preserve">CWAN 10-K FY2023 (filed 2024-02-29).pdf (page 83)</t>
      </text>
    </comment>
    <comment ref="C28" authorId="0">
      <text>
        <t xml:space="preserve">CWAN 10-K FY2023 (filed 2024-02-29).pdf (page 83)</t>
      </text>
    </comment>
    <comment ref="C30" authorId="0">
      <text>
        <t xml:space="preserve">CWAN 10-K FY2023 (filed 2024-02-29).pdf (page 83)</t>
      </text>
    </comment>
    <comment ref="D16" authorId="0">
      <text>
        <t xml:space="preserve">CWAN 10-K FY2023 (filed 2024-02-29).pdf (page 87)</t>
      </text>
    </comment>
    <comment ref="D23" authorId="0">
      <text>
        <t xml:space="preserve">CWAN 10-K FY2023 (filed 2024-02-29).pdf (page 83)</t>
      </text>
    </comment>
    <comment ref="D28" authorId="0">
      <text>
        <t xml:space="preserve">CWAN 10-K FY2023 (filed 2024-02-29).pdf (page 83)</t>
      </text>
    </comment>
    <comment ref="D30" authorId="0">
      <text>
        <t xml:space="preserve">CWAN 10-K FY2023 (filed 2024-02-29).pdf (page 83)</t>
      </text>
    </comment>
    <comment ref="E16" authorId="0">
      <text>
        <t xml:space="preserve">CWAN 10-K FY2023 (filed 2024-02-29).pdf (page 87)</t>
      </text>
    </comment>
    <comment ref="E23" authorId="0">
      <text>
        <t xml:space="preserve">CWAN 10-K FY2025 (filed 2026-02-18).pdf (page 71)</t>
      </text>
    </comment>
    <comment ref="E28" authorId="0">
      <text>
        <t xml:space="preserve">CWAN 10-K FY2025 (filed 2026-02-18).pdf (page 72)</t>
      </text>
    </comment>
    <comment ref="E30" authorId="0">
      <text>
        <t xml:space="preserve">CWAN 10-K FY2025 (filed 2026-02-18).pdf (page 72)</t>
      </text>
    </comment>
    <comment ref="F23" authorId="0">
      <text>
        <t xml:space="preserve">CWAN 10-K FY2025 (filed 2026-02-18).pdf (page 71)</t>
      </text>
    </comment>
    <comment ref="F28" authorId="0">
      <text>
        <t xml:space="preserve">CWAN 10-K FY2025 (filed 2026-02-18).pdf (page 72)</t>
      </text>
    </comment>
    <comment ref="F30" authorId="0">
      <text>
        <t xml:space="preserve">CWAN 10-K FY2025 (filed 2026-02-18).pdf (page 72)</t>
      </text>
    </comment>
    <comment ref="G111" authorId="0">
      <text>
        <t xml:space="preserve">CWAN 10-K FY2025 (filed 2026-02-18).pdf (page 131)</t>
      </text>
    </comment>
    <comment ref="G115" authorId="0">
      <text>
        <t xml:space="preserve">CWAN 10-K FY2025 (filed 2026-02-18).pdf (page 68)</t>
      </text>
    </comment>
    <comment ref="G116" authorId="0">
      <text>
        <t xml:space="preserve">CWAN 10-K FY2025 (filed 2026-02-18).pdf (page 68)</t>
      </text>
    </comment>
    <comment ref="G21" authorId="0">
      <text>
        <t xml:space="preserve">Cited for F21:G21
CWAN 10-K FY2025 (filed 2026-02-18).pdf (page 125)</t>
      </text>
    </comment>
    <comment ref="G23" authorId="0">
      <text>
        <t xml:space="preserve">CWAN 10-K FY2025 (filed 2026-02-18).pdf (page 71)</t>
      </text>
    </comment>
    <comment ref="G81" authorId="0">
      <text>
        <t xml:space="preserve">Cited for E81:G81
CWAN 10-K FY2025 (filed 2026-02-18).pdf (page 129)</t>
      </text>
    </comment>
    <comment ref="G82" authorId="0">
      <text>
        <t xml:space="preserve">Cited for F82:G82
CWAN 10-K FY2025 (filed 2026-02-18).pdf (page 127)</t>
      </text>
    </comment>
    <comment ref="H23" authorId="0">
      <text>
        <t xml:space="preserve">CWAN 10-Q FY2025 Q3 (filed 2025-11-05).pdf (page 46)</t>
      </text>
    </comment>
    <comment ref="H25" authorId="0">
      <text>
        <t xml:space="preserve">Cited for G25:H25
CWAN 10-K FY2025 (filed 2026-02-18).pdf (page 71)</t>
      </text>
    </comment>
    <comment ref="H28" authorId="0">
      <text>
        <t xml:space="preserve">Cited for G28:H28
CWAN 10-K FY2025 (filed 2026-02-18).pdf (page 72)</t>
      </text>
    </comment>
    <comment ref="H29" authorId="0">
      <text>
        <t xml:space="preserve">Cited for G29:H29
CWAN 10-K FY2025 (filed 2026-02-18).pdf (page 72)</t>
      </text>
    </comment>
    <comment ref="H30" authorId="0">
      <text>
        <t xml:space="preserve">Cited for G30:H30
CWAN 10-K FY2025 (filed 2026-02-18).pdf (page 72)</t>
      </text>
    </comment>
  </commentList>
</comments>
</file>

<file path=xl/comments5.xml><?xml version="1.0" encoding="utf-8"?>
<comments xmlns="http://schemas.openxmlformats.org/spreadsheetml/2006/main">
  <authors>
    <author>Compound</author>
  </authors>
  <commentList>
    <comment ref="C10" authorId="0">
      <text>
        <t xml:space="preserve">CWAN 10-K FY2025 (filed 2026-02-18).pdf (page 120)</t>
      </text>
    </comment>
    <comment ref="C11" authorId="0">
      <text>
        <t xml:space="preserve">CWAN 10-K FY2025 (filed 2026-02-18).pdf (page 120)</t>
      </text>
    </comment>
    <comment ref="C12" authorId="0">
      <text>
        <t xml:space="preserve">CWAN 10-K FY2025 (filed 2026-02-18).pdf (page 120)</t>
      </text>
    </comment>
    <comment ref="C14" authorId="0">
      <text>
        <t xml:space="preserve">CWAN 10-K FY2025 (filed 2026-02-18).pdf (page 120)</t>
      </text>
    </comment>
    <comment ref="C16" authorId="0">
      <text>
        <t xml:space="preserve">Cited for C16:C17
CWAN 10-K FY2025 (filed 2026-02-18).pdf (page 120)</t>
      </text>
    </comment>
    <comment ref="C20" authorId="0">
      <text>
        <t xml:space="preserve">CWAN 10-K FY2025 (filed 2026-02-18).pdf (page 120)</t>
      </text>
    </comment>
    <comment ref="C21" authorId="0">
      <text>
        <t xml:space="preserve">Cited for C21:C23
CWAN 10-K FY2025 (filed 2026-02-18).pdf (page 122)</t>
      </text>
    </comment>
    <comment ref="C29" authorId="0">
      <text>
        <t xml:space="preserve">Cited for C29:C31
CWAN 10-K FY2025 (filed 2026-02-18).pdf (page 122)</t>
      </text>
    </comment>
    <comment ref="C37" authorId="0">
      <text>
        <t xml:space="preserve">CWAN 10-K FY2025 (filed 2026-02-18).pdf (page 122)</t>
      </text>
    </comment>
    <comment ref="C39" authorId="0">
      <text>
        <t xml:space="preserve">Cited for C39:C40
CWAN 10-Q FY2025 Q3 (filed 2025-11-05).pdf (page 26)</t>
      </text>
    </comment>
    <comment ref="C43" authorId="0">
      <text>
        <t xml:space="preserve">CWAN 424B3 Enfusion Merger Prospectus with Pro Formas (2025-03-20).pdf (page 162)</t>
      </text>
    </comment>
    <comment ref="C46" authorId="0">
      <text>
        <t xml:space="preserve">CWAN 10-K FY2025 (filed 2026-02-18).pdf (page 122)</t>
      </text>
    </comment>
    <comment ref="C47" authorId="0">
      <text>
        <t xml:space="preserve">CWAN 10-K FY2025 (filed 2026-02-18).pdf (page 122)</t>
      </text>
    </comment>
    <comment ref="C6" authorId="0">
      <text>
        <t xml:space="preserve">CWAN 10-K FY2025 (filed 2026-02-18).pdf (page 120)</t>
      </text>
    </comment>
    <comment ref="C9" authorId="0">
      <text>
        <t xml:space="preserve">CWAN 10-K FY2025 (filed 2026-02-18).pdf (page 120)</t>
      </text>
    </comment>
    <comment ref="D10" authorId="0">
      <text>
        <t xml:space="preserve">CWAN 10-K FY2025 (filed 2026-02-18).pdf (page 122)</t>
      </text>
    </comment>
    <comment ref="D11" authorId="0">
      <text>
        <t xml:space="preserve">CWAN 10-K FY2025 (filed 2026-02-18).pdf (page 122)</t>
      </text>
    </comment>
    <comment ref="D14" authorId="0">
      <text>
        <t xml:space="preserve">CWAN 10-K FY2025 (filed 2026-02-18).pdf (page 122)</t>
      </text>
    </comment>
    <comment ref="D16" authorId="0">
      <text>
        <t xml:space="preserve">Cited for D16:D17
CWAN 10-K FY2025 (filed 2026-02-18).pdf (page 122)</t>
      </text>
    </comment>
    <comment ref="D20" authorId="0">
      <text>
        <t xml:space="preserve">CWAN 10-K FY2025 (filed 2026-02-18).pdf (page 123)</t>
      </text>
    </comment>
    <comment ref="D21" authorId="0">
      <text>
        <t xml:space="preserve">Cited for D21:D23
CWAN 10-K FY2025 (filed 2026-02-18).pdf (page 123)</t>
      </text>
    </comment>
    <comment ref="D29" authorId="0">
      <text>
        <t xml:space="preserve">Cited for D29:D31
CWAN 10-K FY2025 (filed 2026-02-18).pdf (page 123)</t>
      </text>
    </comment>
    <comment ref="D37" authorId="0">
      <text>
        <t xml:space="preserve">CWAN 10-K FY2025 (filed 2026-02-18).pdf (page 123)</t>
      </text>
    </comment>
    <comment ref="D47" authorId="0">
      <text>
        <t xml:space="preserve">CWAN 10-K FY2025 (filed 2026-02-18).pdf (page 123)</t>
      </text>
    </comment>
    <comment ref="D6" authorId="0">
      <text>
        <t xml:space="preserve">CWAN 10-K FY2025 (filed 2026-02-18).pdf (page 122)</t>
      </text>
    </comment>
    <comment ref="D67" authorId="0">
      <text>
        <t xml:space="preserve">Cited for C67:D67
CWAN 10-K FY2025 (filed 2026-02-18).pdf (page 96)</t>
      </text>
    </comment>
    <comment ref="D68" authorId="0">
      <text>
        <t xml:space="preserve">Cited for D68:D69
CWAN 10-K FY2025 (filed 2026-02-18).pdf (page 131)</t>
      </text>
    </comment>
    <comment ref="D70" authorId="0">
      <text>
        <t xml:space="preserve">Cited for C70:D70
CWAN 10-K FY2025 (filed 2026-02-18).pdf (page 125)</t>
      </text>
    </comment>
    <comment ref="D9" authorId="0">
      <text>
        <t xml:space="preserve">CWAN 10-K FY2025 (filed 2026-02-18).pdf (page 122)</t>
      </text>
    </comment>
    <comment ref="E34" authorId="0">
      <text>
        <t xml:space="preserve">CWAN 10-K FY2025 (filed 2026-02-18).pdf (page 127)</t>
      </text>
    </comment>
  </commentList>
</comments>
</file>

<file path=xl/sharedStrings.xml><?xml version="1.0" encoding="utf-8"?>
<sst xmlns="http://schemas.openxmlformats.org/spreadsheetml/2006/main" count="378" uniqueCount="378">
  <si>
    <t>Clearwater Analytics (CWAN) – Income Statement as Reported</t>
  </si>
  <si>
    <t>($ in millions, except per share); FY2021A–FY2022A per 10-K FY2023, FY2023A–FY2025A per 10-K FY2025, quarters per 10-Q Q3 2025; costs negative</t>
  </si>
  <si>
    <t>INCOME STATEMENT</t>
  </si>
  <si>
    <t>Revenue ($M)</t>
  </si>
  <si>
    <t>Cost of revenue</t>
  </si>
  <si>
    <t>Gross profit ($M)</t>
  </si>
  <si>
    <t>Research and development</t>
  </si>
  <si>
    <t>Sales and marketing</t>
  </si>
  <si>
    <t>General and administrative</t>
  </si>
  <si>
    <t>Total operating expenses ($M)</t>
  </si>
  <si>
    <t>Income (loss) from operations ($M)</t>
  </si>
  <si>
    <t>Interest expense (FY21–FY22: net of interest income)</t>
  </si>
  <si>
    <t>Tax receivable agreement expense</t>
  </si>
  <si>
    <t>Loss on debt extinguishment</t>
  </si>
  <si>
    <t>Other income (expense), net</t>
  </si>
  <si>
    <t>Income (loss) before income taxes ($M)</t>
  </si>
  <si>
    <t>Benefit from (provision for) income taxes</t>
  </si>
  <si>
    <t>Net income (loss) ($M)</t>
  </si>
  <si>
    <t>Net (income) loss attributable to non-controlling interests</t>
  </si>
  <si>
    <t>Net income (loss) attributable to CWAN ($M)</t>
  </si>
  <si>
    <t>Diluted EPS, Class A and D ($)</t>
  </si>
  <si>
    <t>EQUITY-BASED COMPENSATION (INCLUDED ABOVE)</t>
  </si>
  <si>
    <t>Total equity-based compensation ($M)</t>
  </si>
  <si>
    <t>ADJUSTED EBITDA RECONCILIATION (COMPANY DEFINITION)</t>
  </si>
  <si>
    <t>Net income (loss)</t>
  </si>
  <si>
    <t>(+) Interest expense (FY21–FY22: net of interest income)</t>
  </si>
  <si>
    <t>(+) Loss on debt extinguishment</t>
  </si>
  <si>
    <t>(+) Depreciation and amortization</t>
  </si>
  <si>
    <t>(+) Equity-based compensation and related payroll taxes</t>
  </si>
  <si>
    <t>(+) Equity-based compensation related to JUMP acquisition</t>
  </si>
  <si>
    <t>(+) Tax receivable agreement expense</t>
  </si>
  <si>
    <t>(+) Transaction expenses</t>
  </si>
  <si>
    <t>(+) Amortization of prepaid management fees</t>
  </si>
  <si>
    <t>(+) Up-C structure expenses</t>
  </si>
  <si>
    <t>(+) Provision for (benefit from) income taxes</t>
  </si>
  <si>
    <t>(+) Other (income) expense, net</t>
  </si>
  <si>
    <t>Adjusted EBITDA ($M)</t>
  </si>
  <si>
    <t>% margin</t>
  </si>
  <si>
    <t>Adjusted EBITDA, as reported</t>
  </si>
  <si>
    <t>Difference</t>
  </si>
  <si>
    <t>Fiscal year ended 31-Dec</t>
  </si>
  <si>
    <t>Three months ended 30-Sep</t>
  </si>
  <si>
    <t>Nine months ended 30-Sep</t>
  </si>
  <si>
    <t>LTM</t>
  </si>
  <si>
    <t>Source (document, printed page)</t>
  </si>
  <si>
    <t>10-K FY2025 p. 69; 10-K FY2023 p. 66; 10-Q Q3 2025 p. 3</t>
  </si>
  <si>
    <t>Computed from the lines above</t>
  </si>
  <si>
    <t>10-K FY2023 p. 66</t>
  </si>
  <si>
    <t>Net income line above</t>
  </si>
  <si>
    <t>10-K FY2025 p. 49; 10-K FY2023 p. 49; 10-Q Q3 2025 p. 34</t>
  </si>
  <si>
    <t>10-K FY2023 p. 49</t>
  </si>
  <si>
    <t>Clearwater Analytics (CWAN) – Balance Sheet as Reported</t>
  </si>
  <si>
    <t>($ in millions); FY2021A per 10-K FY2022, FY2022A–FY2023A per 10-K FY2023, FY2024A–FY2025A per 10-K FY2025, Sep-25 per 10-Q Q3 2025</t>
  </si>
  <si>
    <t>ASSETS</t>
  </si>
  <si>
    <t>Cash and cash equivalents</t>
  </si>
  <si>
    <t>Short-term investments</t>
  </si>
  <si>
    <t>Accounts receivable, net</t>
  </si>
  <si>
    <t>Prepaid expenses and other current assets</t>
  </si>
  <si>
    <t>Total current assets ($M)</t>
  </si>
  <si>
    <t>Property, equipment and software, net</t>
  </si>
  <si>
    <t>Operating lease right-of-use assets, net</t>
  </si>
  <si>
    <t>Deferred contract costs, non-current</t>
  </si>
  <si>
    <t>Debt issuance costs – line of credit</t>
  </si>
  <si>
    <t>Deferred tax assets, net</t>
  </si>
  <si>
    <t>Other non-current assets</t>
  </si>
  <si>
    <t>Intangible assets, net</t>
  </si>
  <si>
    <t>Goodwill</t>
  </si>
  <si>
    <t>Long-term investments</t>
  </si>
  <si>
    <t>Total assets ($M)</t>
  </si>
  <si>
    <t>LIABILITIES AND STOCKHOLDERS' EQUITY</t>
  </si>
  <si>
    <t>Accounts payable</t>
  </si>
  <si>
    <t>Accrued expenses and other current liabilities</t>
  </si>
  <si>
    <t>Deferred revenue</t>
  </si>
  <si>
    <t>Notes payable, current portion</t>
  </si>
  <si>
    <t>Operating lease liability, current portion</t>
  </si>
  <si>
    <t>Tax receivable agreement liability</t>
  </si>
  <si>
    <t>Total current liabilities ($M)</t>
  </si>
  <si>
    <t>Notes payable, non-current (net of debt issuance costs)</t>
  </si>
  <si>
    <t>Operating lease liability, non-current</t>
  </si>
  <si>
    <t>Other long-term liabilities</t>
  </si>
  <si>
    <t>Total liabilities ($M)</t>
  </si>
  <si>
    <t>Class A common stock</t>
  </si>
  <si>
    <t>Class B common stock</t>
  </si>
  <si>
    <t>Class C common stock</t>
  </si>
  <si>
    <t>Class D common stock</t>
  </si>
  <si>
    <t>Additional paid-in capital</t>
  </si>
  <si>
    <t>Accumulated other comprehensive income (loss)</t>
  </si>
  <si>
    <t>Retained earnings (accumulated deficit)</t>
  </si>
  <si>
    <t>Equity attributable to CWAN ($M)</t>
  </si>
  <si>
    <t>Non-controlling interests</t>
  </si>
  <si>
    <t>Total stockholders' equity ($M)</t>
  </si>
  <si>
    <t>Total liabilities and stockholders' equity ($M)</t>
  </si>
  <si>
    <t>Balance check (assets less liabilities and equity)</t>
  </si>
  <si>
    <t>SUPPLEMENTAL</t>
  </si>
  <si>
    <t>Total debt, carrying value ($M)</t>
  </si>
  <si>
    <t>Internally developed software, gross (PP&amp;E note)</t>
  </si>
  <si>
    <t>As of 31-Dec</t>
  </si>
  <si>
    <t>Latest</t>
  </si>
  <si>
    <t>10-K FY2025 p. 68; 10-K FY2023 p. 65; 10-K FY2022 p. 62; 10-Q Q3 2025 p. 2</t>
  </si>
  <si>
    <t>10-K FY2025 p. 68; 10-Q Q3 2025 p. 2</t>
  </si>
  <si>
    <t>10-K FY2025 p. 68; 10-K FY2023 p. 65; 10-Q Q3 2025 p. 2</t>
  </si>
  <si>
    <t>10-K FY2025 p. 68; 10-K FY2022 p. 62; 10-Q Q3 2025 p. 2; 10-K FY2023 p. 65</t>
  </si>
  <si>
    <t>10-K FY2025 p. 89; 10-K FY2023 p. 85; 10-K FY2022 p. 79</t>
  </si>
  <si>
    <t>Clearwater Analytics (CWAN) – Cash Flow Statement as Reported</t>
  </si>
  <si>
    <t>($ in millions); FY2021A–FY2022A per 10-K FY2023, FY2023A–FY2025A per 10-K FY2025, nine months per 10-Q Q3 2025; LTM = FY2024 + 9M'25 – 9M'24</t>
  </si>
  <si>
    <t>OPERATING ACTIVITIES</t>
  </si>
  <si>
    <t>Depreciation and amortization</t>
  </si>
  <si>
    <t>Noncash operating lease cost</t>
  </si>
  <si>
    <t>Equity-based compensation</t>
  </si>
  <si>
    <t>Amortization of deferred contract acquisition costs</t>
  </si>
  <si>
    <t>Amortization of debt issuance costs</t>
  </si>
  <si>
    <t>Debt extinguishment costs</t>
  </si>
  <si>
    <t>Provision for bad debt</t>
  </si>
  <si>
    <t>Deferred tax benefit</t>
  </si>
  <si>
    <t>Accretion of discount on investments</t>
  </si>
  <si>
    <t>Realized gain on investments</t>
  </si>
  <si>
    <t>Prepaid expenses and other assets</t>
  </si>
  <si>
    <t>Deferred contract acquisition costs</t>
  </si>
  <si>
    <t>Accrued expenses and other liabilities</t>
  </si>
  <si>
    <t>Net cash from operating activities ($M)</t>
  </si>
  <si>
    <t>INVESTING ACTIVITIES</t>
  </si>
  <si>
    <t>Purchases of property, equipment and software</t>
  </si>
  <si>
    <t>Purchases of intangible assets</t>
  </si>
  <si>
    <t>Purchases of held-to-maturity investments</t>
  </si>
  <si>
    <t>Purchases of available-for-sale investments</t>
  </si>
  <si>
    <t>Proceeds from sale of available-for-sale investments</t>
  </si>
  <si>
    <t>Proceeds from maturities of investments</t>
  </si>
  <si>
    <t>Acquisition of businesses, net of cash acquired</t>
  </si>
  <si>
    <t>Payment of asset acquisition holdback liability</t>
  </si>
  <si>
    <t>Payment of initial direct costs for operating leases</t>
  </si>
  <si>
    <t>Net cash from investing activities ($M)</t>
  </si>
  <si>
    <t>FINANCING ACTIVITIES</t>
  </si>
  <si>
    <t>Proceeds from issuance of common unit options</t>
  </si>
  <si>
    <t>Proceeds from exercise of options</t>
  </si>
  <si>
    <t>Taxes paid on net share settlement of equity awards</t>
  </si>
  <si>
    <t>Repurchase of common stock (FY2021: common units)</t>
  </si>
  <si>
    <t>Proceeds from employee stock purchase plan</t>
  </si>
  <si>
    <t>Proceeds from borrowings (FY2025: net of issuance costs)</t>
  </si>
  <si>
    <t>Payment of debt issuance costs</t>
  </si>
  <si>
    <t>Repayments of borrowings</t>
  </si>
  <si>
    <t>Costs of early repayment of debt</t>
  </si>
  <si>
    <t>IPO proceeds, net of underwriting discounts</t>
  </si>
  <si>
    <t>Offering costs paid</t>
  </si>
  <si>
    <t>Payment of tax distributions</t>
  </si>
  <si>
    <t>Payment of business acquisition holdback liability</t>
  </si>
  <si>
    <t>Net cash from financing activities ($M)</t>
  </si>
  <si>
    <t>Effect of exchange rate changes on cash</t>
  </si>
  <si>
    <t>Change in cash and cash equivalents ($M)</t>
  </si>
  <si>
    <t>Cash and cash equivalents, beginning of period</t>
  </si>
  <si>
    <t>Cash and cash equivalents, end of period ($M)</t>
  </si>
  <si>
    <t>Cash per balance sheet (9M'24: per 10-Q)</t>
  </si>
  <si>
    <t>Cash paid for interest</t>
  </si>
  <si>
    <t>Cash paid for income taxes</t>
  </si>
  <si>
    <t>Income statement net income (10-K FY2025 p. 69; 10-K FY2023 p. 66; 10-Q Q3 2025 p. 3)</t>
  </si>
  <si>
    <t>10-K FY2025 p. 74; 10-K FY2023 p. 71; 10-Q Q3 2025 p. 9</t>
  </si>
  <si>
    <t>10-K FY2025 p. 74</t>
  </si>
  <si>
    <t>10-K FY2025 p. 74; 10-Q Q3 2025 p. 9</t>
  </si>
  <si>
    <t>10-Q Q3 2025 p. 9</t>
  </si>
  <si>
    <t>10-K FY2023 p. 71</t>
  </si>
  <si>
    <t>FY2021: 10-K FY2023 p. 71; later periods: prior balance sheet cash</t>
  </si>
  <si>
    <t>Balance sheet cash; 9M'24: 10-Q Q3 2025 p. 10</t>
  </si>
  <si>
    <t>10-K FY2025 p. 74; 10-K FY2023 p. 71; 10-Q Q3 2025 p. 10</t>
  </si>
  <si>
    <t>Clearwater Analytics (CWAN) – Ratio and Trend Analysis</t>
  </si>
  <si>
    <t>($ in millions); FY2021A–FY2025A per 10-K; LTM / Sep-25 per 10-Q Q3 2025 (LTM = FY2024 + 9M'25 – 9M'24); CAGR FY2021A–FY2025A</t>
  </si>
  <si>
    <t>REVENUE GROWTH AND RECURRING REVENUE</t>
  </si>
  <si>
    <t>% growth</t>
  </si>
  <si>
    <t>Acquired revenue – Enfusion (from 21-Apr-2025)</t>
  </si>
  <si>
    <t>Acquired revenue – Beacon (from 30-Apr-2025)</t>
  </si>
  <si>
    <t>Acquired revenue – JUMP license revenue (disclosed)</t>
  </si>
  <si>
    <t>Acquired revenue, disclosed ($M)</t>
  </si>
  <si>
    <t>Organic revenue ($M)</t>
  </si>
  <si>
    <t>Organic revenue growth</t>
  </si>
  <si>
    <t>Acquired contribution to growth</t>
  </si>
  <si>
    <t>Pro forma revenue (Enfusion and Beacon from 1-Jan-2024)</t>
  </si>
  <si>
    <t>Pro forma revenue growth</t>
  </si>
  <si>
    <t>Annualized recurring revenue, period end ($M)</t>
  </si>
  <si>
    <t>Acquired ARR (acquired entities)</t>
  </si>
  <si>
    <t>Organic ARR ($M)</t>
  </si>
  <si>
    <t>Organic ARR growth</t>
  </si>
  <si>
    <t>Net revenue retention, Q4 (H: Q3'25)</t>
  </si>
  <si>
    <t>Net revenue retention excl. acquired entities</t>
  </si>
  <si>
    <t>Gross revenue retention, Q4 (H: Q3'25)</t>
  </si>
  <si>
    <t>MARGINS</t>
  </si>
  <si>
    <t>Gross margin</t>
  </si>
  <si>
    <t>Research and development (% revenue)</t>
  </si>
  <si>
    <t>Sales and marketing (% revenue)</t>
  </si>
  <si>
    <t>General and administrative (% revenue)</t>
  </si>
  <si>
    <t>Operating margin (GAAP)</t>
  </si>
  <si>
    <t>Adjusted EBITDA margin</t>
  </si>
  <si>
    <t>Net margin</t>
  </si>
  <si>
    <t>Incremental Adjusted EBITDA margin</t>
  </si>
  <si>
    <t>EQUITY-BASED COMPENSATION</t>
  </si>
  <si>
    <t>Equity-based compensation ($M)</t>
  </si>
  <si>
    <t>% of revenue</t>
  </si>
  <si>
    <t>SBC and related payroll taxes, Adj. EBITDA add-back ($M)</t>
  </si>
  <si>
    <t>Adjusted EBITDA less SBC and payroll taxes ($M)</t>
  </si>
  <si>
    <t>Taxes paid on net share settlement</t>
  </si>
  <si>
    <t>CASH CONVERSION</t>
  </si>
  <si>
    <t>Cash from operations ($M)</t>
  </si>
  <si>
    <t>Free cash flow ($M)</t>
  </si>
  <si>
    <t>FCF margin</t>
  </si>
  <si>
    <t>CFO / Adjusted EBITDA</t>
  </si>
  <si>
    <t>FCF / Adjusted EBITDA</t>
  </si>
  <si>
    <t>FCF less taxes on net share settlement ($M)</t>
  </si>
  <si>
    <t>% of Adjusted EBITDA</t>
  </si>
  <si>
    <t>Cash interest paid</t>
  </si>
  <si>
    <t>TRA payments within CFO (expense less liability change)</t>
  </si>
  <si>
    <t>CFO before TRA payments / Adjusted EBITDA</t>
  </si>
  <si>
    <t>WORKING CAPITAL</t>
  </si>
  <si>
    <t>Days in period</t>
  </si>
  <si>
    <t>Days sales outstanding (AR / revenue)</t>
  </si>
  <si>
    <t>DSO on pro forma revenue</t>
  </si>
  <si>
    <t>Days payable (AP / cost of revenue)</t>
  </si>
  <si>
    <t>Accrued liabilities days (accrued / total costs)</t>
  </si>
  <si>
    <t>Deferred revenue days</t>
  </si>
  <si>
    <t>Net working capital ($M)</t>
  </si>
  <si>
    <t>NWC % revenue</t>
  </si>
  <si>
    <t>Cash flow from working capital changes</t>
  </si>
  <si>
    <t>CAPEX AND CAPITALIZED SOFTWARE</t>
  </si>
  <si>
    <t>Capex, incl. internally developed software ($M)</t>
  </si>
  <si>
    <t>Capex % revenue</t>
  </si>
  <si>
    <t>Internally developed software, gross balance</t>
  </si>
  <si>
    <t>Depreciation expense</t>
  </si>
  <si>
    <t>Amortization of intangible assets</t>
  </si>
  <si>
    <t>Depreciation and amortization ($M)</t>
  </si>
  <si>
    <t>Increase in internally developed software (capitalized proxy)</t>
  </si>
  <si>
    <t>Capex / depreciation (x)</t>
  </si>
  <si>
    <t>RETURN ON INVESTED CAPITAL</t>
  </si>
  <si>
    <t>Tax rate on NOPAT (U.S. federal statutory, assumed)</t>
  </si>
  <si>
    <t>NOPAT, GAAP operating income ($M)</t>
  </si>
  <si>
    <t>NOPAT, Adjusted EBITDA less D&amp;A ($M)</t>
  </si>
  <si>
    <t>Total debt, carrying value</t>
  </si>
  <si>
    <t>Total stockholders' equity</t>
  </si>
  <si>
    <t>Cash and investments</t>
  </si>
  <si>
    <t>Deferred tax assets</t>
  </si>
  <si>
    <t>Invested capital, excl. cash and DTA ($M)</t>
  </si>
  <si>
    <t>Average invested capital</t>
  </si>
  <si>
    <t>ROIC, GAAP</t>
  </si>
  <si>
    <t>ROIC, adjusted</t>
  </si>
  <si>
    <t>Goodwill and intangible assets</t>
  </si>
  <si>
    <t>ROIC, adjusted, excl. goodwill and intangibles</t>
  </si>
  <si>
    <t>LEVERAGE AND LIQUIDITY</t>
  </si>
  <si>
    <t>Net debt (cash) ($M)</t>
  </si>
  <si>
    <t>Net debt / Adjusted EBITDA (x)</t>
  </si>
  <si>
    <t>Total debt / Adjusted EBITDA (x)</t>
  </si>
  <si>
    <t>Adjusted EBITDA / interest expense (x)</t>
  </si>
  <si>
    <t>Current ratio (x)</t>
  </si>
  <si>
    <t>Undrawn revolver</t>
  </si>
  <si>
    <t>Liquidity: cash, investments and undrawn revolver ($M)</t>
  </si>
  <si>
    <t>TAKE-PRIVATE PRICE CONTEXT</t>
  </si>
  <si>
    <t>Offer price per share ($)</t>
  </si>
  <si>
    <t>Transaction value ($M)</t>
  </si>
  <si>
    <t>Transaction value / FY2025 revenue (x)</t>
  </si>
  <si>
    <t>Transaction value / FY2025 pro forma revenue (x)</t>
  </si>
  <si>
    <t>Transaction value / Adjusted EBITDA (x)</t>
  </si>
  <si>
    <t>Transaction value / (Adj. EBITDA less SBC) (x)</t>
  </si>
  <si>
    <t>FCF yield on transaction value</t>
  </si>
  <si>
    <t>Enfusion share issue price, 21-Apr-2025 ($)</t>
  </si>
  <si>
    <t>Beacon share issue price, 30-Apr-2025 ($)</t>
  </si>
  <si>
    <t>Offer premium to Enfusion issue price</t>
  </si>
  <si>
    <t>Offer premium to Beacon issue price</t>
  </si>
  <si>
    <t>LTM / latest</t>
  </si>
  <si>
    <t>CAGR</t>
  </si>
  <si>
    <t>FY21–25</t>
  </si>
  <si>
    <t>Source / basis</t>
  </si>
  <si>
    <t>Income statement</t>
  </si>
  <si>
    <t>Note 5, 10-K FY2025 p. 85</t>
  </si>
  <si>
    <t>Note 5, 10-K FY2025 p. 86</t>
  </si>
  <si>
    <t>10-K FY2023 p. 51</t>
  </si>
  <si>
    <t>Sum of disclosed acquired revenue; Wilshire (2024) not disclosed</t>
  </si>
  <si>
    <t>Revenue less disclosed acquired revenue</t>
  </si>
  <si>
    <t>Organic revenue / prior-year revenue</t>
  </si>
  <si>
    <t>10-K FY2025 p. 87</t>
  </si>
  <si>
    <t>10-K FY2023 p. 47; 10-K FY2025 p. 47; 10-Q Q3 2025 p. 33</t>
  </si>
  <si>
    <t>10-K FY2025 p. 47</t>
  </si>
  <si>
    <t>ARR less acquired ARR</t>
  </si>
  <si>
    <t>10-K FY2023 p. 47; 10-K FY2025 p. 48</t>
  </si>
  <si>
    <t>10-K FY2025 p. 48</t>
  </si>
  <si>
    <t>Company reconciliation</t>
  </si>
  <si>
    <t>Income statement memo</t>
  </si>
  <si>
    <t>Cash flow statement</t>
  </si>
  <si>
    <t>CFO less purchases of PP&amp;E and software</t>
  </si>
  <si>
    <t>TRA expense less change in TRA liability</t>
  </si>
  <si>
    <t>Assumed</t>
  </si>
  <si>
    <t>Balance sheet AR; FY2025 inflated by acquisitions closed in April</t>
  </si>
  <si>
    <t>AR + prepaid – AP – accrued – deferred revenue</t>
  </si>
  <si>
    <t>Balance sheet supplemental</t>
  </si>
  <si>
    <t>10-K FY2025 p. 89</t>
  </si>
  <si>
    <t>10-K FY2025 p. 88</t>
  </si>
  <si>
    <t>Gross balance change; ignores retirements and acquired software</t>
  </si>
  <si>
    <t>Assumed (21% U.S. federal statutory)</t>
  </si>
  <si>
    <t>Debt + equity – cash and investments – DTA</t>
  </si>
  <si>
    <t>Excludes goodwill and intangibles from invested capital</t>
  </si>
  <si>
    <t>Carrying debt less cash and investments</t>
  </si>
  <si>
    <t>10-K FY2025 p. 90</t>
  </si>
  <si>
    <t>Cash and investments plus undrawn revolver</t>
  </si>
  <si>
    <t>10-K FY2025 p. 44</t>
  </si>
  <si>
    <t>Transaction value / revenue</t>
  </si>
  <si>
    <t>Transaction value / Adjusted EBITDA</t>
  </si>
  <si>
    <t>FCF / transaction value</t>
  </si>
  <si>
    <t>Offer price / issue price – 1</t>
  </si>
  <si>
    <t>Clearwater Analytics (CWAN) – 2025 Acquisitions of Enfusion and Beacon</t>
  </si>
  <si>
    <t>($ in millions, except per share; preliminary purchase accounting per 10-K FY2025 Note 5); Enfusion FY2024 revenue per Enfusion merger prospectus</t>
  </si>
  <si>
    <t>Closing date</t>
  </si>
  <si>
    <t>CONSIDERATION</t>
  </si>
  <si>
    <t>Cash paid</t>
  </si>
  <si>
    <t>Fair value of CWAN Class A stock issued</t>
  </si>
  <si>
    <t>Converted equity awards (pre-combination service)</t>
  </si>
  <si>
    <t>Payment to terminate Enfusion tax receivable agreement</t>
  </si>
  <si>
    <t>Total consideration ($M)</t>
  </si>
  <si>
    <t>Less: cash acquired</t>
  </si>
  <si>
    <t>Consideration, net of cash acquired ($M)</t>
  </si>
  <si>
    <t>CWAN Class A shares issued (m)</t>
  </si>
  <si>
    <t>Issue price per CWAN share ($)</t>
  </si>
  <si>
    <t>PURCHASE PRICE ALLOCATION</t>
  </si>
  <si>
    <t>Developed technology</t>
  </si>
  <si>
    <t>Client relationships</t>
  </si>
  <si>
    <t>Trade names / trademarks</t>
  </si>
  <si>
    <t>Identified intangible assets ($M)</t>
  </si>
  <si>
    <t>Net tangible assets (liabilities) acquired</t>
  </si>
  <si>
    <t>Goodwill and intangibles % of net consideration</t>
  </si>
  <si>
    <t>AMORTIZATION</t>
  </si>
  <si>
    <t>Developed technology life (years)</t>
  </si>
  <si>
    <t>Client relationships life (years)</t>
  </si>
  <si>
    <t>Trade names life (years)</t>
  </si>
  <si>
    <t>Annual amortization of acquired intangibles ($M)</t>
  </si>
  <si>
    <t>CWAN intangible amortization, FY2025A</t>
  </si>
  <si>
    <t>CWAN scheduled intangible amortization, FY2026E</t>
  </si>
  <si>
    <t>CONTRIBUTION AND PRICE PAID</t>
  </si>
  <si>
    <t>FY2025 revenue contributed ($M)</t>
  </si>
  <si>
    <t>% of CWAN FY2025 revenue</t>
  </si>
  <si>
    <t>Q3'25 revenue contributed</t>
  </si>
  <si>
    <t>9M'25 revenue contributed</t>
  </si>
  <si>
    <t>Quarters per year</t>
  </si>
  <si>
    <t>Q3'25 revenue run-rate, annualized</t>
  </si>
  <si>
    <t>FY2024 standalone revenue</t>
  </si>
  <si>
    <t>Run-rate growth vs FY2024 standalone</t>
  </si>
  <si>
    <t>Net consideration / FY2024 revenue (x)</t>
  </si>
  <si>
    <t>FY2025 net income (loss) contributed</t>
  </si>
  <si>
    <t>Acquisition-related costs expensed</t>
  </si>
  <si>
    <t>EFFECT ON CWAN</t>
  </si>
  <si>
    <t>Acquired revenue (Enfusion and Beacon)</t>
  </si>
  <si>
    <t>Pro forma revenue (as if acquired 1-Jan-2024)</t>
  </si>
  <si>
    <t>ARR, Q4</t>
  </si>
  <si>
    <t>Acquired ARR, Q4</t>
  </si>
  <si>
    <t>Interest expense</t>
  </si>
  <si>
    <t>% of total assets</t>
  </si>
  <si>
    <t>Class A shares outstanding (m)</t>
  </si>
  <si>
    <t>2025 term loan drawn at Enfusion close</t>
  </si>
  <si>
    <t>2025 revolver drawn at Enfusion close</t>
  </si>
  <si>
    <t>Pro forma net income (loss), ASC 805 basis</t>
  </si>
  <si>
    <t>Reported net income (loss)</t>
  </si>
  <si>
    <t>Enfusion</t>
  </si>
  <si>
    <t>Beacon</t>
  </si>
  <si>
    <t>Total</t>
  </si>
  <si>
    <t>Change</t>
  </si>
  <si>
    <t>10-K FY2025 p. 84; 10-K FY2025 p. 85</t>
  </si>
  <si>
    <t>10-K FY2025 p. 84</t>
  </si>
  <si>
    <t>Computed</t>
  </si>
  <si>
    <t>10-K FY2025 p. 84; 10-K FY2025 p. 86</t>
  </si>
  <si>
    <t>10-K FY2025 p. 85; 10-K FY2025 p. 86</t>
  </si>
  <si>
    <t>10-Q Q3 2025 p. 14</t>
  </si>
  <si>
    <t>Enfusion merger prospectus (424B3) p. 153</t>
  </si>
  <si>
    <t>10-K FY2025 p. 85</t>
  </si>
  <si>
    <t>10-K FY2025 p. 68</t>
  </si>
  <si>
    <t>Balance sheet</t>
  </si>
  <si>
    <t>Key ratio trend</t>
  </si>
  <si>
    <t>Adj. EBITDA margin</t>
  </si>
  <si>
    <t>SBC % of revenue</t>
  </si>
  <si>
    <t>FCF / Adj. EBITDA</t>
  </si>
  <si>
    <t>Net debt / Adj. EBITDA</t>
  </si>
  <si>
    <t>Adjusted ROIC</t>
  </si>
  <si>
    <t>Source: 10-K FY2022, FY2023 and FY2025; Compound analysis. Shading: green favorable, amber watch, red unfavorable.</t>
  </si>
  <si>
    <t>Organic</t>
  </si>
  <si>
    <t>Acquired (Enfusion, Beacon, JUMP)</t>
  </si>
  <si>
    <t>n.a.</t>
  </si>
  <si>
    <t>Excl. Enfusion and Beacon</t>
  </si>
  <si>
    <t>Enfusion and Beacon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</si>
</sst>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#,##0.0_);(#,##0.0);&quot;–&quot;_)"/>
    <numFmt numFmtId="165" formatCode="0.00_);(0.00);&quot;–&quot;_)"/>
    <numFmt numFmtId="166" formatCode="0.0%_);(0.0%);&quot;–&quot;_)"/>
    <numFmt numFmtId="167" formatCode="&quot;FY&quot;yyyy&quot;A&quot;"/>
    <numFmt numFmtId="168" formatCode="&quot;Q3'&quot;yy&quot;A&quot;"/>
    <numFmt numFmtId="169" formatCode="&quot;9M'&quot;yy&quot;A&quot;"/>
    <numFmt numFmtId="170" formatCode="&quot;LTM Sep-&quot;yy"/>
    <numFmt numFmtId="171" formatCode="&quot;Sep-&quot;yy&quot;A&quot;"/>
    <numFmt numFmtId="172" formatCode="#,##0_);(#,##0);&quot;–&quot;_)"/>
    <numFmt numFmtId="173" formatCode="0.0&quot;x&quot;_);(0.0&quot;x&quot;);&quot;–&quot;_)"/>
    <numFmt numFmtId="174" formatCode="$0.00_);($0.00);&quot;–&quot;_)"/>
    <numFmt numFmtId="175" formatCode="0_);(0);&quot;–&quot;_)"/>
    <numFmt numFmtId="176" formatCode="d-mmm-yyyy"/>
    <numFmt numFmtId="177" formatCode="&quot;FY&quot;yy&quot;A&quot;"/>
  </numFmts>
  <fonts count="23">
    <font>
      <sz val="10"/>
      <color rgb="FF000000"/>
      <name val="Arial"/>
      <family val="2"/>
    </font>
    <font>
      <sz val="10"/>
      <color rgb="FF1A1A1A"/>
      <name val="Arial"/>
      <family val="2"/>
    </font>
    <font>
      <b/>
      <sz val="10"/>
      <color rgb="FF1A1A1A"/>
      <name val="Arial"/>
      <family val="2"/>
    </font>
    <font>
      <b/>
      <sz val="12"/>
      <color rgb="FF1A1A1A"/>
      <name val="Arial"/>
      <family val="2"/>
    </font>
    <font>
      <b/>
      <sz val="12"/>
      <color rgb="FF002060"/>
      <name val="Arial"/>
      <family val="2"/>
    </font>
    <font>
      <i/>
      <sz val="10"/>
      <color rgb="FF1A1A1A"/>
      <name val="Arial"/>
      <family val="2"/>
    </font>
    <font>
      <i/>
      <sz val="10"/>
      <color rgb="FF646464"/>
      <name val="Arial"/>
      <family val="2"/>
    </font>
    <font>
      <sz val="10"/>
      <color rgb="FF646464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0000FF"/>
      <name val="Arial"/>
      <family val="2"/>
    </font>
    <font>
      <b/>
      <sz val="10"/>
      <color rgb="FF0000FF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b/>
      <u val="singleAccounting"/>
      <sz val="10"/>
      <color rgb="FF1A1A1A"/>
      <name val="Arial"/>
      <family val="2"/>
    </font>
    <font>
      <sz val="10"/>
      <color rgb="FF008000"/>
      <name val="Arial"/>
      <family val="2"/>
    </font>
    <font>
      <b/>
      <sz val="10"/>
      <color rgb="FF008000"/>
      <name val="Arial"/>
      <family val="2"/>
    </font>
    <font>
      <b/>
      <i/>
      <sz val="10"/>
      <color rgb="FF000000"/>
      <name val="Arial"/>
      <family val="2"/>
    </font>
    <font>
      <i/>
      <sz val="10"/>
      <color rgb="FF0000FF"/>
      <name val="Arial"/>
      <family val="2"/>
    </font>
    <font>
      <i/>
      <sz val="10"/>
      <color rgb="FF008000"/>
      <name val="Arial"/>
      <family val="2"/>
    </font>
    <font>
      <b/>
      <u val="singleAccounting"/>
      <sz val="10"/>
      <color rgb="FF0000FF"/>
      <name val="Arial"/>
      <family val="2"/>
    </font>
    <font>
      <i/>
      <sz val="9"/>
      <color rgb="FF000000"/>
      <name val="Arial"/>
      <family val="2"/>
    </font>
    <font>
      <i/>
      <sz val="9"/>
      <color rgb="FF64646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2F0EC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4CCCC"/>
        <bgColor indexed="64"/>
      </patternFill>
    </fill>
  </fills>
  <borders count="7">
    <border>
      <left/>
      <right/>
      <top/>
      <bottom/>
      <diagonal/>
    </border>
    <border>
      <left/>
      <right/>
      <top style="thin"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borderId="0" fillId="0" fontId="0" numFmtId="0" applyAlignment="1" applyFont="1" applyFill="1"/>
  </cellStyleXfs>
  <cellXfs count="63">
    <xf xfId="0" borderId="0" fillId="0" fontId="0" numFmtId="0"/>
    <xf xfId="0" borderId="0" fillId="0" fontId="1" numFmtId="0" applyFont="1"/>
    <xf xfId="0" borderId="0" fillId="0" fontId="4" numFmtId="0" applyFont="1"/>
    <xf xfId="0" borderId="0" fillId="0" fontId="6" numFmtId="0" applyFont="1"/>
    <xf xfId="0" borderId="0" fillId="0" fontId="1" numFmtId="164" applyAlignment="1" applyFont="1">
      <alignment horizontal="right"/>
    </xf>
    <xf xfId="0" borderId="0" fillId="0" fontId="6" numFmtId="0" applyAlignment="1" applyFont="1">
      <alignment horizontal="left"/>
    </xf>
    <xf xfId="0" borderId="0" fillId="2" fontId="9" numFmtId="0" applyFont="1" applyFill="1"/>
    <xf xfId="0" borderId="0" fillId="2" fontId="9" numFmtId="164" applyAlignment="1" applyFont="1" applyFill="1">
      <alignment horizontal="right"/>
    </xf>
    <xf xfId="0" borderId="0" fillId="0" fontId="10" numFmtId="164" applyAlignment="1" applyFont="1">
      <alignment horizontal="right"/>
    </xf>
    <xf xfId="0" borderId="0" fillId="0" fontId="0" numFmtId="164" applyAlignment="1">
      <alignment horizontal="right"/>
    </xf>
    <xf xfId="0" borderId="2" fillId="0" fontId="2" numFmtId="0" applyFont="1"/>
    <xf xfId="0" borderId="2" fillId="0" fontId="11" numFmtId="164" applyAlignment="1" applyFont="1">
      <alignment horizontal="right"/>
    </xf>
    <xf xfId="0" borderId="2" fillId="0" fontId="12" numFmtId="164" applyAlignment="1" applyFont="1">
      <alignment horizontal="right"/>
    </xf>
    <xf xfId="0" borderId="0" fillId="0" fontId="1" numFmtId="0" applyAlignment="1" applyFont="1">
      <alignment indent="1"/>
    </xf>
    <xf xfId="0" borderId="0" fillId="0" fontId="1" numFmtId="165" applyAlignment="1" applyFont="1">
      <alignment horizontal="right"/>
    </xf>
    <xf xfId="0" borderId="0" fillId="0" fontId="10" numFmtId="165" applyAlignment="1" applyFont="1">
      <alignment horizontal="right"/>
    </xf>
    <xf xfId="0" borderId="0" fillId="0" fontId="5" numFmtId="0" applyAlignment="1" applyFont="1">
      <alignment indent="1"/>
    </xf>
    <xf xfId="0" borderId="0" fillId="0" fontId="13" numFmtId="166" applyAlignment="1" applyFont="1">
      <alignment horizontal="right"/>
    </xf>
    <xf xfId="0" borderId="0" fillId="0" fontId="13" numFmtId="164" applyAlignment="1" applyFont="1">
      <alignment horizontal="right"/>
    </xf>
    <xf xfId="0" borderId="0" fillId="0" fontId="14" numFmtId="0" applyAlignment="1" applyFont="1">
      <alignment horizontal="centerContinuous"/>
    </xf>
    <xf xfId="0" borderId="0" fillId="0" fontId="14" numFmtId="167" applyAlignment="1" applyFont="1">
      <alignment horizontal="center"/>
    </xf>
    <xf xfId="0" borderId="0" fillId="0" fontId="14" numFmtId="168" applyAlignment="1" applyFont="1">
      <alignment horizontal="center"/>
    </xf>
    <xf xfId="0" borderId="0" fillId="0" fontId="14" numFmtId="169" applyAlignment="1" applyFont="1">
      <alignment horizontal="center"/>
    </xf>
    <xf xfId="0" borderId="0" fillId="0" fontId="14" numFmtId="170" applyAlignment="1" applyFont="1">
      <alignment horizontal="center"/>
    </xf>
    <xf xfId="0" borderId="0" fillId="0" fontId="2" numFmtId="0" applyAlignment="1" applyFont="1">
      <alignment horizontal="left"/>
    </xf>
    <xf xfId="0" borderId="0" fillId="0" fontId="14" numFmtId="171" applyAlignment="1" applyFont="1">
      <alignment horizontal="center"/>
    </xf>
    <xf xfId="0" borderId="0" fillId="0" fontId="15" numFmtId="164" applyAlignment="1" applyFont="1">
      <alignment horizontal="right"/>
    </xf>
    <xf xfId="0" borderId="2" fillId="0" fontId="2" numFmtId="164" applyAlignment="1" applyFont="1">
      <alignment horizontal="right"/>
    </xf>
    <xf xfId="0" borderId="0" fillId="0" fontId="5" numFmtId="164" applyAlignment="1" applyFont="1">
      <alignment horizontal="right"/>
    </xf>
    <xf xfId="0" borderId="2" fillId="0" fontId="16" numFmtId="164" applyAlignment="1" applyFont="1">
      <alignment horizontal="right"/>
    </xf>
    <xf xfId="0" borderId="2" fillId="0" fontId="17" numFmtId="166" applyAlignment="1" applyFont="1">
      <alignment horizontal="right"/>
    </xf>
    <xf xfId="0" borderId="0" fillId="0" fontId="5" numFmtId="166" applyAlignment="1" applyFont="1">
      <alignment horizontal="right"/>
    </xf>
    <xf xfId="0" borderId="0" fillId="0" fontId="18" numFmtId="166" applyAlignment="1" applyFont="1">
      <alignment horizontal="right"/>
    </xf>
    <xf xfId="0" borderId="0" fillId="0" fontId="1" numFmtId="172" applyAlignment="1" applyFont="1">
      <alignment horizontal="right"/>
    </xf>
    <xf xfId="0" borderId="0" fillId="0" fontId="10" numFmtId="172" applyAlignment="1" applyFont="1">
      <alignment horizontal="right"/>
    </xf>
    <xf xfId="0" borderId="0" fillId="0" fontId="1" numFmtId="173" applyAlignment="1" applyFont="1">
      <alignment horizontal="right"/>
    </xf>
    <xf xfId="0" borderId="0" fillId="0" fontId="0" numFmtId="173" applyAlignment="1">
      <alignment horizontal="right"/>
    </xf>
    <xf xfId="0" borderId="0" fillId="0" fontId="1" numFmtId="174" applyAlignment="1" applyFont="1">
      <alignment horizontal="right"/>
    </xf>
    <xf xfId="0" borderId="0" fillId="0" fontId="10" numFmtId="174" applyAlignment="1" applyFont="1">
      <alignment horizontal="right"/>
    </xf>
    <xf xfId="0" borderId="0" fillId="0" fontId="15" numFmtId="174" applyAlignment="1" applyFont="1">
      <alignment horizontal="right"/>
    </xf>
    <xf xfId="0" borderId="0" fillId="0" fontId="1" numFmtId="175" applyAlignment="1" applyFont="1">
      <alignment horizontal="right"/>
    </xf>
    <xf xfId="0" borderId="0" fillId="0" fontId="10" numFmtId="175" applyAlignment="1" applyFont="1">
      <alignment horizontal="right"/>
    </xf>
    <xf xfId="0" borderId="0" fillId="0" fontId="19" numFmtId="166" applyAlignment="1" applyFont="1">
      <alignment horizontal="right"/>
    </xf>
    <xf xfId="0" borderId="0" fillId="0" fontId="15" numFmtId="173" applyAlignment="1" applyFont="1">
      <alignment horizontal="right"/>
    </xf>
    <xf xfId="0" borderId="0" fillId="0" fontId="10" numFmtId="176" applyAlignment="1" applyFont="1">
      <alignment horizontal="right"/>
    </xf>
    <xf xfId="0" borderId="0" fillId="0" fontId="14" numFmtId="0" applyAlignment="1" applyFont="1">
      <alignment horizontal="center"/>
    </xf>
    <xf xfId="0" borderId="0" fillId="0" fontId="15" numFmtId="172" applyAlignment="1" applyFont="1">
      <alignment horizontal="right"/>
    </xf>
    <xf xfId="0" borderId="5" fillId="0" fontId="1" numFmtId="0" applyFont="1"/>
    <xf xfId="0" borderId="5" fillId="0" fontId="1" numFmtId="164" applyAlignment="1" applyFont="1">
      <alignment horizontal="right"/>
    </xf>
    <xf xfId="0" borderId="5" fillId="0" fontId="0" numFmtId="164" applyAlignment="1">
      <alignment horizontal="right"/>
    </xf>
    <xf xfId="0" borderId="6" fillId="0" fontId="1" numFmtId="0" applyFont="1"/>
    <xf xfId="0" borderId="6" fillId="0" fontId="6" numFmtId="0" applyAlignment="1" applyFont="1">
      <alignment horizontal="left"/>
    </xf>
    <xf xfId="0" borderId="0" fillId="3" fontId="2" numFmtId="0" applyFont="1" applyFill="1"/>
    <xf xfId="0" borderId="0" fillId="3" fontId="2" numFmtId="177" applyAlignment="1" applyFont="1" applyFill="1">
      <alignment horizontal="center"/>
    </xf>
    <xf xfId="0" borderId="0" fillId="0" fontId="0" numFmtId="177"/>
    <xf xfId="0" borderId="0" fillId="0" fontId="1" numFmtId="166" applyAlignment="1" applyFont="1">
      <alignment horizontal="center"/>
    </xf>
    <xf xfId="0" borderId="0" fillId="0" fontId="0" numFmtId="172"/>
    <xf xfId="0" borderId="0" fillId="0" fontId="22" numFmtId="0" applyFont="1"/>
    <xf xfId="0" borderId="0" fillId="4" fontId="1" numFmtId="166" applyAlignment="1" applyFont="1" applyFill="1">
      <alignment horizontal="center"/>
    </xf>
    <xf xfId="0" borderId="0" fillId="5" fontId="1" numFmtId="166" applyAlignment="1" applyFont="1" applyFill="1">
      <alignment horizontal="center"/>
    </xf>
    <xf xfId="0" borderId="0" fillId="6" fontId="1" numFmtId="166" applyAlignment="1" applyFont="1" applyFill="1">
      <alignment horizontal="center"/>
    </xf>
    <xf xfId="0" borderId="0" fillId="4" fontId="1" numFmtId="173" applyAlignment="1" applyFont="1" applyFill="1">
      <alignment horizontal="center"/>
    </xf>
    <xf xfId="0" borderId="0" fillId="6" fontId="1" numFmtId="173" applyAlignment="1" applyFont="1" applyFill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theme" Target="theme/theme1.xml"/></Relationships>
</file>

<file path=xl/charts/_rels/chart1.xml.rels><?xml version="1.0" encoding="UTF-8" standalone="yes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000" b="1">
                <a:solidFill>
                  <a:srgbClr val="1A1A1A"/>
                </a:solidFill>
              </a:defRPr>
            </a:pPr>
            <a:r>
              <a:rPr lang="en-US"/>
              <a:t>Revenue, base vs acquired ($m)</a:t>
            </a:r>
          </a:p>
        </c:rich>
      </c:tx>
      <c:overlay val="0"/>
    </c:title>
    <c:plotArea>
      <c:barChart>
        <c:barDir val="col"/>
        <c:grouping val="stacked"/>
        <c:varyColors val="0"/>
        <c:ser>
          <c:idx val="0"/>
          <c:order val="0"/>
          <c:tx>
            <c:strRef>
              <c:f>Analysis!$N$22</c:f>
              <c:strCache>
                <c:ptCount val="1"/>
                <c:pt idx="0">
                  <c:v>Excl. Enfusion and Beacon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</c:spPr>
          <c:invertIfNegative val="0"/>
          <c:dLbls>
            <c:numFmt formatCode="#,##0"/>
            <c:txPr>
              <a:bodyPr/>
              <a:lstStyle/>
              <a:p>
                <a:pPr>
                  <a:defRPr sz="1000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numRef>
              <c:f>Analysis!$O$21:$S$21</c:f>
              <c:numCache>
                <c:formatCode>"FY"yy"A"</c:formatCode>
                <c:ptCount val="5"/>
                <c:pt idx="0">
                  <c:v>44561</c:v>
                </c:pt>
                <c:pt idx="1">
                  <c:v>44926</c:v>
                </c:pt>
                <c:pt idx="2">
                  <c:v>45291</c:v>
                </c:pt>
                <c:pt idx="3">
                  <c:v>45657</c:v>
                </c:pt>
                <c:pt idx="4">
                  <c:v>46022</c:v>
                </c:pt>
              </c:numCache>
            </c:numRef>
          </c:cat>
          <c:val>
            <c:numRef>
              <c:f>Analysis!$O$22:$S$22</c:f>
              <c:numCache>
                <c:formatCode>#,##0_);(#,##0);"–"_)</c:formatCode>
                <c:ptCount val="5"/>
                <c:pt idx="0">
                  <c:v>252.022</c:v>
                </c:pt>
                <c:pt idx="1">
                  <c:v>303.426</c:v>
                </c:pt>
                <c:pt idx="2">
                  <c:v>368.168</c:v>
                </c:pt>
                <c:pt idx="3">
                  <c:v>451.803</c:v>
                </c:pt>
                <c:pt idx="4">
                  <c:v>536.868</c:v>
                </c:pt>
              </c:numCache>
            </c:numRef>
          </c:val>
        </c:ser>
        <c:ser>
          <c:idx val="1"/>
          <c:order val="1"/>
          <c:tx>
            <c:strRef>
              <c:f>Analysis!$N$23</c:f>
              <c:strCache>
                <c:ptCount val="1"/>
                <c:pt idx="0">
                  <c:v>Enfusion and Beacon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</c:spPr>
          <c:invertIfNegative val="0"/>
          <c:dLbls>
            <c:numFmt formatCode="#,##0"/>
            <c:txPr>
              <a:bodyPr/>
              <a:lstStyle/>
              <a:p>
                <a:pPr>
                  <a:defRPr sz="1000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numRef>
              <c:f>Analysis!$O$21:$S$21</c:f>
              <c:numCache>
                <c:formatCode>"FY"yy"A"</c:formatCode>
                <c:ptCount val="5"/>
                <c:pt idx="0">
                  <c:v>44561</c:v>
                </c:pt>
                <c:pt idx="1">
                  <c:v>44926</c:v>
                </c:pt>
                <c:pt idx="2">
                  <c:v>45291</c:v>
                </c:pt>
                <c:pt idx="3">
                  <c:v>45657</c:v>
                </c:pt>
                <c:pt idx="4">
                  <c:v>46022</c:v>
                </c:pt>
              </c:numCache>
            </c:numRef>
          </c:cat>
          <c:val>
            <c:numRef>
              <c:f>Analysis!$O$23:$S$23</c:f>
              <c:numCache>
                <c:formatCode>#,##0_);(#,##0);"–"_)</c:formatCode>
                <c:ptCount val="5"/>
                <c:pt idx="4">
                  <c:v>194.5</c:v>
                </c:pt>
              </c:numCache>
            </c:numRef>
          </c:val>
        </c:ser>
        <c:gapWidth val="60"/>
        <c:overlap val="100"/>
        <c:axId val="111111111"/>
        <c:axId val="222222222"/>
      </c:barChart>
      <c:catAx>
        <c:axId val="111111111"/>
        <c:scaling>
          <c:orientation val="minMax"/>
        </c:scaling>
        <c:delete val="0"/>
        <c:axPos val="b"/>
        <c:txPr>
          <a:bodyPr/>
          <a:lstStyle/>
          <a:p>
            <a:pPr>
              <a:defRPr sz="1000"/>
            </a:pPr>
            <a:endParaRPr lang="en-US"/>
          </a:p>
        </c:txPr>
        <c:crossAx val="222222222"/>
        <c:crosses val="autoZero"/>
      </c:catAx>
      <c:valAx>
        <c:axId val="222222222"/>
        <c:scaling>
          <c:orientation val="minMax"/>
        </c:scaling>
        <c:delete val="1"/>
        <c:axPos val="l"/>
        <c:crossAx val="111111111"/>
        <c:crosses val="autoZero"/>
      </c:valAx>
    </c:plotArea>
    <c:legend>
      <c:legendPos val="b"/>
      <c:overlay val="0"/>
      <c:txPr>
        <a:bodyPr/>
        <a:lstStyle/>
        <a:p>
          <a:pPr>
            <a:defRPr sz="1000"/>
          </a:pPr>
          <a:endParaRPr lang="en-US"/>
        </a:p>
      </c:txPr>
    </c:legend>
    <c:dispBlanksAs val="gap"/>
  </c:char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13</xdr:col>
      <xdr:colOff>0</xdr:colOff>
      <xdr:row>24</xdr:row>
      <xdr:rowOff>0</xdr:rowOff>
    </xdr:from>
    <xdr:to>
      <xdr:col>19</xdr:col>
      <xdr:colOff>0</xdr:colOff>
      <xdr:row>40</xdr:row>
      <xdr:rowOff>0</xdr:rowOff>
    </xdr:to>
    <xdr:graphicFrame macro="">
      <xdr:nvGraphicFramePr>
        <xdr:cNvPr id="1" name="Revenue base vs acquired">
          <a:extLst>
            <a:ext uri="{FF2B5EF4-FFF2-40B4-BE49-F238E27FC236}">
              <a16:creationId xmlns:a16="http://schemas.microsoft.com/office/drawing/2014/main" id="{00000000-BC08-4C1D-8CA1-000000000002}"/>
            </a:ext>
          </a:extLst>
        </xdr:cNvPr>
        <xdr:cNvGraphicFramePr/>
      </xdr:nvGraphicFramePr>
      <xdr:xfrm>
        <a:off x="0" y="0"/>
        <a:ext cx="4733925" cy="30480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comments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comments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comments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comments" Target="../comments4.xml"/><Relationship Id="rId3" Type="http://schemas.openxmlformats.org/officeDocument/2006/relationships/vmlDrawing" Target="../drawings/commentsDrawing4.v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comments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showGridLines="0" tabSelected="1" workbookViewId="0">
      <selection activeCell="A1" sqref="A1"/>
    </sheetView>
  </sheetViews>
  <cols>
    <col min="1" max="1" width="2" customWidth="1"/>
    <col min="2" max="2" width="54" customWidth="1"/>
    <col min="3" max="12" width="11" customWidth="1"/>
    <col min="13" max="13" width="2" customWidth="1"/>
    <col min="14" max="14" width="44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1"/>
      <c r="B2" t="s" s="2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>
      <c r="A3" s="1"/>
      <c r="B3" t="s" s="3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>
      <c r="A5" s="1"/>
      <c r="B5" s="1"/>
      <c r="C5" t="s" s="19">
        <v>40</v>
      </c>
      <c r="D5" s="19"/>
      <c r="E5" s="19"/>
      <c r="F5" s="19"/>
      <c r="G5" s="19"/>
      <c r="H5" t="s" s="19">
        <v>41</v>
      </c>
      <c r="I5" s="19"/>
      <c r="J5" t="s" s="19">
        <v>42</v>
      </c>
      <c r="K5" s="19"/>
      <c r="L5" t="s" s="19">
        <v>43</v>
      </c>
      <c r="M5" s="1"/>
      <c r="N5" s="24"/>
    </row>
    <row r="6">
      <c r="A6" s="1"/>
      <c r="B6" s="1"/>
      <c r="C6" s="20">
        <f>DATE(2021,12,31)</f>
        <v>44561</v>
      </c>
      <c r="D6" s="20">
        <f>DATE(2022,12,31)</f>
        <v>44926</v>
      </c>
      <c r="E6" s="20">
        <f>DATE(2023,12,31)</f>
        <v>45291</v>
      </c>
      <c r="F6" s="20">
        <f>DATE(2024,12,31)</f>
        <v>45657</v>
      </c>
      <c r="G6" s="20">
        <f>DATE(2025,12,31)</f>
        <v>46022</v>
      </c>
      <c r="H6" s="21">
        <f>DATE(2024,9,30)</f>
        <v>45565</v>
      </c>
      <c r="I6" s="21">
        <f>DATE(2025,9,30)</f>
        <v>45930</v>
      </c>
      <c r="J6" s="22">
        <f>DATE(2024,9,30)</f>
        <v>45565</v>
      </c>
      <c r="K6" s="22">
        <f>DATE(2025,9,30)</f>
        <v>45930</v>
      </c>
      <c r="L6" s="23">
        <f>DATE(2025,9,30)</f>
        <v>45930</v>
      </c>
      <c r="M6" s="1"/>
      <c r="N6" t="s" s="24">
        <v>44</v>
      </c>
    </row>
    <row r="7">
      <c r="A7" s="1"/>
      <c r="B7" s="1"/>
      <c r="C7" s="4"/>
      <c r="D7" s="4"/>
      <c r="E7" s="4"/>
      <c r="F7" s="4"/>
      <c r="G7" s="4"/>
      <c r="H7" s="4"/>
      <c r="I7" s="4"/>
      <c r="J7" s="4"/>
      <c r="K7" s="4"/>
      <c r="L7" s="4"/>
      <c r="M7" s="1"/>
      <c r="N7" s="5"/>
    </row>
    <row r="8">
      <c r="A8" s="1"/>
      <c r="B8" t="s" s="6">
        <v>2</v>
      </c>
      <c r="C8" s="7"/>
      <c r="D8" s="7"/>
      <c r="E8" s="7"/>
      <c r="F8" s="7"/>
      <c r="G8" s="7"/>
      <c r="H8" s="7"/>
      <c r="I8" s="7"/>
      <c r="J8" s="7"/>
      <c r="K8" s="7"/>
      <c r="L8" s="7"/>
      <c r="M8" s="1"/>
      <c r="N8" s="5"/>
    </row>
    <row r="9">
      <c r="A9" s="1"/>
      <c r="B9" t="s" s="10">
        <v>3</v>
      </c>
      <c r="C9" s="11">
        <v>252.022</v>
      </c>
      <c r="D9" s="11">
        <v>303.426</v>
      </c>
      <c r="E9" s="11">
        <v>368.168</v>
      </c>
      <c r="F9" s="11">
        <v>451.803</v>
      </c>
      <c r="G9" s="11">
        <v>731.368</v>
      </c>
      <c r="H9" s="11">
        <v>115.828</v>
      </c>
      <c r="I9" s="11">
        <v>205.11</v>
      </c>
      <c r="J9" s="11">
        <v>325.338</v>
      </c>
      <c r="K9" s="11">
        <v>513.9110000000001</v>
      </c>
      <c r="L9" s="12">
        <f>F9+K9-J9</f>
        <v>640.376</v>
      </c>
      <c r="M9" s="1"/>
      <c r="N9" t="s" s="5">
        <v>45</v>
      </c>
    </row>
    <row r="10">
      <c r="A10" s="1"/>
      <c r="B10" t="s" s="13">
        <v>4</v>
      </c>
      <c r="C10" s="8">
        <v>-67.864</v>
      </c>
      <c r="D10" s="8">
        <v>-87.784</v>
      </c>
      <c r="E10" s="8">
        <v>-107.127</v>
      </c>
      <c r="F10" s="8">
        <v>-122.98700000000001</v>
      </c>
      <c r="G10" s="8">
        <v>-239.22</v>
      </c>
      <c r="H10" s="8">
        <v>-31.357</v>
      </c>
      <c r="I10" s="8">
        <v>-70.638</v>
      </c>
      <c r="J10" s="8">
        <v>-89.426</v>
      </c>
      <c r="K10" s="8">
        <v>-167.984</v>
      </c>
      <c r="L10" s="9">
        <f>F10+K10-J10</f>
        <v>-201.54500000000002</v>
      </c>
      <c r="M10" s="1"/>
      <c r="N10" t="s" s="5">
        <v>45</v>
      </c>
    </row>
    <row r="11">
      <c r="A11" s="1"/>
      <c r="B11" t="s" s="10">
        <v>5</v>
      </c>
      <c r="C11" s="12">
        <f>C9+C10</f>
        <v>184.158</v>
      </c>
      <c r="D11" s="12">
        <f>D9+D10</f>
        <v>215.642</v>
      </c>
      <c r="E11" s="12">
        <f>E9+E10</f>
        <v>261.041</v>
      </c>
      <c r="F11" s="12">
        <f>F9+F10</f>
        <v>328.816</v>
      </c>
      <c r="G11" s="12">
        <f>G9+G10</f>
        <v>492.148</v>
      </c>
      <c r="H11" s="12">
        <f>H9+H10</f>
        <v>84.471</v>
      </c>
      <c r="I11" s="12">
        <f>I9+I10</f>
        <v>134.472</v>
      </c>
      <c r="J11" s="12">
        <f>J9+J10</f>
        <v>235.91200000000003</v>
      </c>
      <c r="K11" s="12">
        <f>K9+K10</f>
        <v>345.927</v>
      </c>
      <c r="L11" s="12">
        <f>L9+L10</f>
        <v>438.83099999999996</v>
      </c>
      <c r="M11" s="1"/>
      <c r="N11" t="s" s="5">
        <v>46</v>
      </c>
    </row>
    <row r="12">
      <c r="A12" s="1"/>
      <c r="B12" t="s" s="13">
        <v>6</v>
      </c>
      <c r="C12" s="8">
        <v>-72.69</v>
      </c>
      <c r="D12" s="8">
        <v>-94.12</v>
      </c>
      <c r="E12" s="8">
        <v>-123.925</v>
      </c>
      <c r="F12" s="8">
        <v>-150.558</v>
      </c>
      <c r="G12" s="8">
        <v>-196.228</v>
      </c>
      <c r="H12" s="8">
        <v>-36.618</v>
      </c>
      <c r="I12" s="8">
        <v>-52.065</v>
      </c>
      <c r="J12" s="8">
        <v>-109.654</v>
      </c>
      <c r="K12" s="8">
        <v>-139.219</v>
      </c>
      <c r="L12" s="9">
        <f>F12+K12-J12</f>
        <v>-180.123</v>
      </c>
      <c r="M12" s="1"/>
      <c r="N12" t="s" s="5">
        <v>45</v>
      </c>
    </row>
    <row r="13">
      <c r="A13" s="1"/>
      <c r="B13" t="s" s="13">
        <v>7</v>
      </c>
      <c r="C13" s="8">
        <v>-39.065</v>
      </c>
      <c r="D13" s="8">
        <v>-52.638</v>
      </c>
      <c r="E13" s="8">
        <v>-60.365</v>
      </c>
      <c r="F13" s="8">
        <v>-67.254</v>
      </c>
      <c r="G13" s="8">
        <v>-149.18</v>
      </c>
      <c r="H13" s="8">
        <v>-17.889</v>
      </c>
      <c r="I13" s="8">
        <v>-44.471000000000004</v>
      </c>
      <c r="J13" s="8">
        <v>-49.369</v>
      </c>
      <c r="K13" s="8">
        <v>-103.32300000000001</v>
      </c>
      <c r="L13" s="9">
        <f>F13+K13-J13</f>
        <v>-121.208</v>
      </c>
      <c r="M13" s="1"/>
      <c r="N13" t="s" s="5">
        <v>45</v>
      </c>
    </row>
    <row r="14">
      <c r="A14" s="1"/>
      <c r="B14" t="s" s="13">
        <v>8</v>
      </c>
      <c r="C14" s="8">
        <v>-43.942</v>
      </c>
      <c r="D14" s="8">
        <v>-63.767</v>
      </c>
      <c r="E14" s="8">
        <v>-93.496</v>
      </c>
      <c r="F14" s="8">
        <v>-98.77</v>
      </c>
      <c r="G14" s="8">
        <v>-154.42600000000002</v>
      </c>
      <c r="H14" s="8">
        <v>-22.626</v>
      </c>
      <c r="I14" s="8">
        <v>-31.382</v>
      </c>
      <c r="J14" s="8">
        <v>-65.873</v>
      </c>
      <c r="K14" s="8">
        <v>-104.328</v>
      </c>
      <c r="L14" s="9">
        <f>F14+K14-J14</f>
        <v>-137.22500000000002</v>
      </c>
      <c r="M14" s="1"/>
      <c r="N14" t="s" s="5">
        <v>45</v>
      </c>
    </row>
    <row r="15">
      <c r="A15" s="1"/>
      <c r="B15" t="s" s="10">
        <v>9</v>
      </c>
      <c r="C15" s="12">
        <f>SUM(C12:C14)</f>
        <v>-155.697</v>
      </c>
      <c r="D15" s="12">
        <f>SUM(D12:D14)</f>
        <v>-210.525</v>
      </c>
      <c r="E15" s="12">
        <f>SUM(E12:E14)</f>
        <v>-277.786</v>
      </c>
      <c r="F15" s="12">
        <f>SUM(F12:F14)</f>
        <v>-316.582</v>
      </c>
      <c r="G15" s="12">
        <f>SUM(G12:G14)</f>
        <v>-499.83400000000006</v>
      </c>
      <c r="H15" s="12">
        <f>SUM(H12:H14)</f>
        <v>-77.13300000000001</v>
      </c>
      <c r="I15" s="12">
        <f>SUM(I12:I14)</f>
        <v>-127.918</v>
      </c>
      <c r="J15" s="12">
        <f>SUM(J12:J14)</f>
        <v>-224.89600000000002</v>
      </c>
      <c r="K15" s="12">
        <f>SUM(K12:K14)</f>
        <v>-346.87</v>
      </c>
      <c r="L15" s="12">
        <f>SUM(L12:L14)</f>
        <v>-438.55600000000004</v>
      </c>
      <c r="M15" s="1"/>
      <c r="N15" t="s" s="5">
        <v>46</v>
      </c>
    </row>
    <row r="16">
      <c r="A16" s="1"/>
      <c r="B16" t="s" s="10">
        <v>10</v>
      </c>
      <c r="C16" s="12">
        <f>C11+C15</f>
        <v>28.460999999999984</v>
      </c>
      <c r="D16" s="12">
        <f>D11+D15</f>
        <v>5.11699999999999</v>
      </c>
      <c r="E16" s="12">
        <f>E11+E15</f>
        <v>-16.745000000000005</v>
      </c>
      <c r="F16" s="12">
        <f>F11+F15</f>
        <v>12.23399999999998</v>
      </c>
      <c r="G16" s="12">
        <f>G11+G15</f>
        <v>-7.6860000000000355</v>
      </c>
      <c r="H16" s="12">
        <f>H11+H15</f>
        <v>7.337999999999994</v>
      </c>
      <c r="I16" s="12">
        <f>I11+I15</f>
        <v>6.554000000000002</v>
      </c>
      <c r="J16" s="12">
        <f>J11+J15</f>
        <v>11.01600000000002</v>
      </c>
      <c r="K16" s="12">
        <f>K11+K15</f>
        <v>-0.9429999999999836</v>
      </c>
      <c r="L16" s="12">
        <f>L11+L15</f>
        <v>0.2749999999999204</v>
      </c>
      <c r="M16" s="1"/>
      <c r="N16" t="s" s="5">
        <v>46</v>
      </c>
    </row>
    <row r="17">
      <c r="A17" s="1"/>
      <c r="B17" t="s" s="13">
        <v>11</v>
      </c>
      <c r="C17" s="8">
        <v>-25.682000000000002</v>
      </c>
      <c r="D17" s="8">
        <v>1.137</v>
      </c>
      <c r="E17" s="8">
        <v>-4.729</v>
      </c>
      <c r="F17" s="8">
        <v>-4.325</v>
      </c>
      <c r="G17" s="8">
        <v>-45.664</v>
      </c>
      <c r="H17" s="8">
        <v>-1.076</v>
      </c>
      <c r="I17" s="8">
        <v>-16.119</v>
      </c>
      <c r="J17" s="8">
        <v>-3.2560000000000002</v>
      </c>
      <c r="K17" s="8">
        <v>-30.502</v>
      </c>
      <c r="L17" s="9">
        <f>F17+K17-J17</f>
        <v>-31.570999999999998</v>
      </c>
      <c r="M17" s="1"/>
      <c r="N17" t="s" s="5">
        <v>45</v>
      </c>
    </row>
    <row r="18">
      <c r="A18" s="1"/>
      <c r="B18" t="s" s="13">
        <v>12</v>
      </c>
      <c r="C18" s="8">
        <v>-0</v>
      </c>
      <c r="D18" s="8">
        <v>-11.639000000000001</v>
      </c>
      <c r="E18" s="8">
        <v>-14.396</v>
      </c>
      <c r="F18" s="8">
        <v>-53.181000000000004</v>
      </c>
      <c r="G18" s="8">
        <v>-0</v>
      </c>
      <c r="H18" s="8">
        <v>-5.344</v>
      </c>
      <c r="I18" s="8">
        <v>-0</v>
      </c>
      <c r="J18" s="8">
        <v>-11.545</v>
      </c>
      <c r="K18" s="8">
        <v>-0</v>
      </c>
      <c r="L18" s="9">
        <f>F18+K18-J18</f>
        <v>-41.636</v>
      </c>
      <c r="M18" s="1"/>
      <c r="N18" t="s" s="5">
        <v>45</v>
      </c>
    </row>
    <row r="19">
      <c r="A19" s="1"/>
      <c r="B19" t="s" s="13">
        <v>13</v>
      </c>
      <c r="C19" s="8">
        <v>-10.303</v>
      </c>
      <c r="D19" s="8">
        <v>-0</v>
      </c>
      <c r="E19" s="4"/>
      <c r="F19" s="4"/>
      <c r="G19" s="4"/>
      <c r="H19" s="4"/>
      <c r="I19" s="4"/>
      <c r="J19" s="4"/>
      <c r="K19" s="4"/>
      <c r="L19" s="9">
        <f>F19+K19-J19</f>
        <v>0</v>
      </c>
      <c r="M19" s="1"/>
      <c r="N19" t="s" s="5">
        <v>47</v>
      </c>
    </row>
    <row r="20">
      <c r="A20" s="1"/>
      <c r="B20" t="s" s="13">
        <v>14</v>
      </c>
      <c r="C20" s="8">
        <v>-0.083</v>
      </c>
      <c r="D20" s="8">
        <v>0.05</v>
      </c>
      <c r="E20" s="8">
        <v>13.004</v>
      </c>
      <c r="F20" s="8">
        <v>15.209</v>
      </c>
      <c r="G20" s="8">
        <v>3.678</v>
      </c>
      <c r="H20" s="8">
        <v>3.365</v>
      </c>
      <c r="I20" s="8">
        <v>-0.439</v>
      </c>
      <c r="J20" s="8">
        <v>10.56</v>
      </c>
      <c r="K20" s="8">
        <v>3.4290000000000003</v>
      </c>
      <c r="L20" s="9">
        <f>F20+K20-J20</f>
        <v>8.077999999999998</v>
      </c>
      <c r="M20" s="1"/>
      <c r="N20" t="s" s="5">
        <v>45</v>
      </c>
    </row>
    <row r="21">
      <c r="A21" s="1"/>
      <c r="B21" t="s" s="10">
        <v>15</v>
      </c>
      <c r="C21" s="12">
        <f>C16+SUM(C17:C20)</f>
        <v>-7.6070000000000135</v>
      </c>
      <c r="D21" s="12">
        <f>D16+SUM(D17:D20)</f>
        <v>-5.33500000000001</v>
      </c>
      <c r="E21" s="12">
        <f>E16+SUM(E17:E20)</f>
        <v>-22.866000000000007</v>
      </c>
      <c r="F21" s="12">
        <f>F16+SUM(F17:F20)</f>
        <v>-30.06300000000003</v>
      </c>
      <c r="G21" s="12">
        <f>G16+SUM(G17:G20)</f>
        <v>-49.67200000000004</v>
      </c>
      <c r="H21" s="12">
        <f>H16+SUM(H17:H20)</f>
        <v>4.282999999999994</v>
      </c>
      <c r="I21" s="12">
        <f>I16+SUM(I17:I20)</f>
        <v>-10.003999999999998</v>
      </c>
      <c r="J21" s="12">
        <f>J16+SUM(J17:J20)</f>
        <v>6.77500000000002</v>
      </c>
      <c r="K21" s="12">
        <f>K16+SUM(K17:K20)</f>
        <v>-28.015999999999984</v>
      </c>
      <c r="L21" s="12">
        <f>L16+SUM(L17:L20)</f>
        <v>-64.85400000000007</v>
      </c>
      <c r="M21" s="1"/>
      <c r="N21" t="s" s="5">
        <v>46</v>
      </c>
    </row>
    <row r="22">
      <c r="A22" s="1"/>
      <c r="B22" t="s" s="13">
        <v>16</v>
      </c>
      <c r="C22" s="8">
        <v>-0.487</v>
      </c>
      <c r="D22" s="8">
        <v>-1.36</v>
      </c>
      <c r="E22" s="8">
        <v>-0.217</v>
      </c>
      <c r="F22" s="8">
        <v>457.648</v>
      </c>
      <c r="G22" s="8">
        <v>9.418000000000001</v>
      </c>
      <c r="H22" s="8">
        <v>0.486</v>
      </c>
      <c r="I22" s="8">
        <v>-0.51</v>
      </c>
      <c r="J22" s="8">
        <v>0.505</v>
      </c>
      <c r="K22" s="8">
        <v>0.28700000000000003</v>
      </c>
      <c r="L22" s="9">
        <f>F22+K22-J22</f>
        <v>457.43</v>
      </c>
      <c r="M22" s="1"/>
      <c r="N22" t="s" s="5">
        <v>45</v>
      </c>
    </row>
    <row r="23">
      <c r="A23" s="1"/>
      <c r="B23" t="s" s="10">
        <v>17</v>
      </c>
      <c r="C23" s="12">
        <f>C21+C22</f>
        <v>-8.094000000000014</v>
      </c>
      <c r="D23" s="12">
        <f>D21+D22</f>
        <v>-6.69500000000001</v>
      </c>
      <c r="E23" s="12">
        <f>E21+E22</f>
        <v>-23.083000000000006</v>
      </c>
      <c r="F23" s="12">
        <f>F21+F22</f>
        <v>427.585</v>
      </c>
      <c r="G23" s="12">
        <f>G21+G22</f>
        <v>-40.25400000000004</v>
      </c>
      <c r="H23" s="12">
        <f>H21+H22</f>
        <v>4.768999999999994</v>
      </c>
      <c r="I23" s="12">
        <f>I21+I22</f>
        <v>-10.513999999999998</v>
      </c>
      <c r="J23" s="12">
        <f>J21+J22</f>
        <v>7.28000000000002</v>
      </c>
      <c r="K23" s="12">
        <f>K21+K22</f>
        <v>-27.728999999999985</v>
      </c>
      <c r="L23" s="12">
        <f>L21+L22</f>
        <v>392.5759999999999</v>
      </c>
      <c r="M23" s="1"/>
      <c r="N23" t="s" s="5">
        <v>46</v>
      </c>
    </row>
    <row r="24">
      <c r="A24" s="1"/>
      <c r="B24" t="s" s="13">
        <v>18</v>
      </c>
      <c r="C24" s="8">
        <v>-0.11900000000000001</v>
      </c>
      <c r="D24" s="8">
        <v>-1.272</v>
      </c>
      <c r="E24" s="8">
        <v>1.456</v>
      </c>
      <c r="F24" s="8">
        <v>-3.207</v>
      </c>
      <c r="G24" s="8">
        <v>1.447</v>
      </c>
      <c r="H24" s="8">
        <v>-1.1400000000000001</v>
      </c>
      <c r="I24" s="8">
        <v>0.179</v>
      </c>
      <c r="J24" s="8">
        <v>-2.184</v>
      </c>
      <c r="K24" s="8">
        <v>0.988</v>
      </c>
      <c r="L24" s="9">
        <f>F24+K24-J24</f>
        <v>-0.0349999999999997</v>
      </c>
      <c r="M24" s="1"/>
      <c r="N24" t="s" s="5">
        <v>45</v>
      </c>
    </row>
    <row r="25">
      <c r="A25" s="1"/>
      <c r="B25" t="s" s="10">
        <v>19</v>
      </c>
      <c r="C25" s="12">
        <f>C23+C24</f>
        <v>-8.213000000000013</v>
      </c>
      <c r="D25" s="12">
        <f>D23+D24</f>
        <v>-7.96700000000001</v>
      </c>
      <c r="E25" s="12">
        <f>E23+E24</f>
        <v>-21.627000000000006</v>
      </c>
      <c r="F25" s="12">
        <f>F23+F24</f>
        <v>424.378</v>
      </c>
      <c r="G25" s="12">
        <f>G23+G24</f>
        <v>-38.80700000000004</v>
      </c>
      <c r="H25" s="12">
        <f>H23+H24</f>
        <v>3.628999999999994</v>
      </c>
      <c r="I25" s="12">
        <f>I23+I24</f>
        <v>-10.334999999999997</v>
      </c>
      <c r="J25" s="12">
        <f>J23+J24</f>
        <v>5.09600000000002</v>
      </c>
      <c r="K25" s="12">
        <f>K23+K24</f>
        <v>-26.740999999999985</v>
      </c>
      <c r="L25" s="12">
        <f>L23+L24</f>
        <v>392.5409999999999</v>
      </c>
      <c r="M25" s="1"/>
      <c r="N25" t="s" s="5">
        <v>46</v>
      </c>
    </row>
    <row r="26">
      <c r="A26" s="1"/>
      <c r="B26" t="s" s="13">
        <v>20</v>
      </c>
      <c r="C26" s="15">
        <v>-0.05</v>
      </c>
      <c r="D26" s="15">
        <v>-0.04</v>
      </c>
      <c r="E26" s="15">
        <v>-0.11</v>
      </c>
      <c r="F26" s="15">
        <v>1.68</v>
      </c>
      <c r="G26" s="15">
        <v>-0.14</v>
      </c>
      <c r="H26" s="15">
        <v>0.02</v>
      </c>
      <c r="I26" s="15">
        <v>-0.04</v>
      </c>
      <c r="J26" s="15">
        <v>0.02</v>
      </c>
      <c r="K26" s="15">
        <v>-0.1</v>
      </c>
      <c r="L26" s="14"/>
      <c r="M26" s="1"/>
      <c r="N26" t="s" s="5">
        <v>45</v>
      </c>
    </row>
    <row r="27">
      <c r="A27" s="1"/>
      <c r="B27" s="1"/>
      <c r="C27" s="4"/>
      <c r="D27" s="4"/>
      <c r="E27" s="4"/>
      <c r="F27" s="4"/>
      <c r="G27" s="4"/>
      <c r="H27" s="4"/>
      <c r="I27" s="4"/>
      <c r="J27" s="4"/>
      <c r="K27" s="4"/>
      <c r="L27" s="4"/>
      <c r="M27" s="1"/>
      <c r="N27" s="5"/>
    </row>
    <row r="28">
      <c r="A28" s="1"/>
      <c r="B28" s="1"/>
      <c r="C28" s="4"/>
      <c r="D28" s="4"/>
      <c r="E28" s="4"/>
      <c r="F28" s="4"/>
      <c r="G28" s="4"/>
      <c r="H28" s="4"/>
      <c r="I28" s="4"/>
      <c r="J28" s="4"/>
      <c r="K28" s="4"/>
      <c r="L28" s="4"/>
      <c r="M28" s="1"/>
      <c r="N28" s="5"/>
    </row>
    <row r="29">
      <c r="A29" s="1"/>
      <c r="B29" t="s" s="6">
        <v>21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1"/>
      <c r="N29" s="5"/>
    </row>
    <row r="30">
      <c r="A30" s="1"/>
      <c r="B30" t="s" s="13">
        <v>4</v>
      </c>
      <c r="C30" s="8">
        <v>4.7860000000000005</v>
      </c>
      <c r="D30" s="8">
        <v>9.043000000000001</v>
      </c>
      <c r="E30" s="8">
        <v>12.215</v>
      </c>
      <c r="F30" s="8">
        <v>13.634</v>
      </c>
      <c r="G30" s="8">
        <v>16.445</v>
      </c>
      <c r="H30" s="8">
        <v>3.46</v>
      </c>
      <c r="I30" s="8">
        <v>4.398</v>
      </c>
      <c r="J30" s="8">
        <v>9.879</v>
      </c>
      <c r="K30" s="8">
        <v>12.48</v>
      </c>
      <c r="L30" s="9">
        <f>F30+K30-J30</f>
        <v>16.235</v>
      </c>
      <c r="M30" s="1"/>
      <c r="N30" t="s" s="5">
        <v>45</v>
      </c>
    </row>
    <row r="31">
      <c r="A31" s="1"/>
      <c r="B31" t="s" s="13">
        <v>6</v>
      </c>
      <c r="C31" s="8">
        <v>10.409</v>
      </c>
      <c r="D31" s="8">
        <v>17.95</v>
      </c>
      <c r="E31" s="8">
        <v>24.739</v>
      </c>
      <c r="F31" s="8">
        <v>36.093</v>
      </c>
      <c r="G31" s="8">
        <v>33.835</v>
      </c>
      <c r="H31" s="8">
        <v>8.674</v>
      </c>
      <c r="I31" s="8">
        <v>7.097</v>
      </c>
      <c r="J31" s="8">
        <v>26.767</v>
      </c>
      <c r="K31" s="8">
        <v>24.588</v>
      </c>
      <c r="L31" s="9">
        <f>F31+K31-J31</f>
        <v>33.914</v>
      </c>
      <c r="M31" s="1"/>
      <c r="N31" t="s" s="5">
        <v>45</v>
      </c>
    </row>
    <row r="32">
      <c r="A32" s="1"/>
      <c r="B32" t="s" s="13">
        <v>7</v>
      </c>
      <c r="C32" s="8">
        <v>7.059</v>
      </c>
      <c r="D32" s="8">
        <v>12.711</v>
      </c>
      <c r="E32" s="8">
        <v>15.843</v>
      </c>
      <c r="F32" s="8">
        <v>15.304</v>
      </c>
      <c r="G32" s="8">
        <v>37.369</v>
      </c>
      <c r="H32" s="8">
        <v>3.9050000000000002</v>
      </c>
      <c r="I32" s="8">
        <v>12.68</v>
      </c>
      <c r="J32" s="8">
        <v>10.418000000000001</v>
      </c>
      <c r="K32" s="8">
        <v>26.87</v>
      </c>
      <c r="L32" s="9">
        <f>F32+K32-J32</f>
        <v>31.756</v>
      </c>
      <c r="M32" s="1"/>
      <c r="N32" t="s" s="5">
        <v>45</v>
      </c>
    </row>
    <row r="33">
      <c r="A33" s="1"/>
      <c r="B33" t="s" s="13">
        <v>8</v>
      </c>
      <c r="C33" s="8">
        <v>14.441</v>
      </c>
      <c r="D33" s="8">
        <v>25.987000000000002</v>
      </c>
      <c r="E33" s="8">
        <v>51.65</v>
      </c>
      <c r="F33" s="8">
        <v>38.17</v>
      </c>
      <c r="G33" s="8">
        <v>40.247</v>
      </c>
      <c r="H33" s="8">
        <v>9.937</v>
      </c>
      <c r="I33" s="8">
        <v>9.295</v>
      </c>
      <c r="J33" s="8">
        <v>27.995</v>
      </c>
      <c r="K33" s="8">
        <v>30.792</v>
      </c>
      <c r="L33" s="9">
        <f>F33+K33-J33</f>
        <v>40.967</v>
      </c>
      <c r="M33" s="1"/>
      <c r="N33" t="s" s="5">
        <v>45</v>
      </c>
    </row>
    <row r="34">
      <c r="A34" s="1"/>
      <c r="B34" t="s" s="10">
        <v>22</v>
      </c>
      <c r="C34" s="12">
        <f>SUM(C30:C33)</f>
        <v>36.695</v>
      </c>
      <c r="D34" s="12">
        <f>SUM(D30:D33)</f>
        <v>65.691</v>
      </c>
      <c r="E34" s="12">
        <f>SUM(E30:E33)</f>
        <v>104.447</v>
      </c>
      <c r="F34" s="12">
        <f>SUM(F30:F33)</f>
        <v>103.20100000000001</v>
      </c>
      <c r="G34" s="12">
        <f>SUM(G30:G33)</f>
        <v>127.896</v>
      </c>
      <c r="H34" s="12">
        <f>SUM(H30:H33)</f>
        <v>25.976</v>
      </c>
      <c r="I34" s="12">
        <f>SUM(I30:I33)</f>
        <v>33.47</v>
      </c>
      <c r="J34" s="12">
        <f>SUM(J30:J33)</f>
        <v>75.059</v>
      </c>
      <c r="K34" s="12">
        <f>SUM(K30:K33)</f>
        <v>94.73</v>
      </c>
      <c r="L34" s="12">
        <f>SUM(L30:L33)</f>
        <v>122.872</v>
      </c>
      <c r="M34" s="1"/>
      <c r="N34" t="s" s="5">
        <v>46</v>
      </c>
    </row>
    <row r="35">
      <c r="A35" s="1"/>
      <c r="B35" s="1"/>
      <c r="C35" s="4"/>
      <c r="D35" s="4"/>
      <c r="E35" s="4"/>
      <c r="F35" s="4"/>
      <c r="G35" s="4"/>
      <c r="H35" s="4"/>
      <c r="I35" s="4"/>
      <c r="J35" s="4"/>
      <c r="K35" s="4"/>
      <c r="L35" s="4"/>
      <c r="M35" s="1"/>
      <c r="N35" s="5"/>
    </row>
    <row r="36">
      <c r="A36" s="1"/>
      <c r="B36" t="s" s="6">
        <v>23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1"/>
      <c r="N36" s="5"/>
    </row>
    <row r="37">
      <c r="A37" s="1"/>
      <c r="B37" t="s" s="13">
        <v>24</v>
      </c>
      <c r="C37" s="9">
        <f>C23</f>
        <v>-8.094000000000014</v>
      </c>
      <c r="D37" s="9">
        <f>D23</f>
        <v>-6.69500000000001</v>
      </c>
      <c r="E37" s="9">
        <f>E23</f>
        <v>-23.083000000000006</v>
      </c>
      <c r="F37" s="9">
        <f>F23</f>
        <v>427.585</v>
      </c>
      <c r="G37" s="9">
        <f>G23</f>
        <v>-40.25400000000004</v>
      </c>
      <c r="H37" s="9">
        <f>H23</f>
        <v>4.768999999999994</v>
      </c>
      <c r="I37" s="9">
        <f>I23</f>
        <v>-10.513999999999998</v>
      </c>
      <c r="J37" s="9">
        <f>J23</f>
        <v>7.28000000000002</v>
      </c>
      <c r="K37" s="9">
        <f>K23</f>
        <v>-27.728999999999985</v>
      </c>
      <c r="L37" s="9">
        <f>L23</f>
        <v>392.5759999999999</v>
      </c>
      <c r="M37" s="1"/>
      <c r="N37" t="s" s="5">
        <v>48</v>
      </c>
    </row>
    <row r="38">
      <c r="A38" s="1"/>
      <c r="B38" t="s" s="13">
        <v>25</v>
      </c>
      <c r="C38" s="8">
        <v>25.682000000000002</v>
      </c>
      <c r="D38" s="8">
        <v>-1.137</v>
      </c>
      <c r="E38" s="8">
        <v>4.729</v>
      </c>
      <c r="F38" s="8">
        <v>4.325</v>
      </c>
      <c r="G38" s="8">
        <v>45.664</v>
      </c>
      <c r="H38" s="8">
        <v>1.076</v>
      </c>
      <c r="I38" s="8">
        <v>16.119</v>
      </c>
      <c r="J38" s="8">
        <v>3.2560000000000002</v>
      </c>
      <c r="K38" s="8">
        <v>30.502</v>
      </c>
      <c r="L38" s="9">
        <f>F38+K38-J38</f>
        <v>31.570999999999998</v>
      </c>
      <c r="M38" s="1"/>
      <c r="N38" t="s" s="5">
        <v>49</v>
      </c>
    </row>
    <row r="39">
      <c r="A39" s="1"/>
      <c r="B39" t="s" s="13">
        <v>26</v>
      </c>
      <c r="C39" s="8">
        <v>10.303</v>
      </c>
      <c r="D39" s="8">
        <v>0</v>
      </c>
      <c r="E39" s="4"/>
      <c r="F39" s="4"/>
      <c r="G39" s="4"/>
      <c r="H39" s="4"/>
      <c r="I39" s="4"/>
      <c r="J39" s="4"/>
      <c r="K39" s="4"/>
      <c r="L39" s="9">
        <f>F39+K39-J39</f>
        <v>0</v>
      </c>
      <c r="M39" s="1"/>
      <c r="N39" t="s" s="5">
        <v>50</v>
      </c>
    </row>
    <row r="40">
      <c r="A40" s="1"/>
      <c r="B40" t="s" s="13">
        <v>27</v>
      </c>
      <c r="C40" s="8">
        <v>3.493</v>
      </c>
      <c r="D40" s="8">
        <v>5.139</v>
      </c>
      <c r="E40" s="8">
        <v>9.929</v>
      </c>
      <c r="F40" s="8">
        <v>12.181000000000001</v>
      </c>
      <c r="G40" s="8">
        <v>85.541</v>
      </c>
      <c r="H40" s="8">
        <v>3.239</v>
      </c>
      <c r="I40" s="8">
        <v>29.3</v>
      </c>
      <c r="J40" s="8">
        <v>8.73</v>
      </c>
      <c r="K40" s="8">
        <v>56.052</v>
      </c>
      <c r="L40" s="9">
        <f>F40+K40-J40</f>
        <v>59.503</v>
      </c>
      <c r="M40" s="1"/>
      <c r="N40" t="s" s="5">
        <v>49</v>
      </c>
    </row>
    <row r="41">
      <c r="A41" s="1"/>
      <c r="B41" t="s" s="13">
        <v>28</v>
      </c>
      <c r="C41" s="8">
        <v>36.695</v>
      </c>
      <c r="D41" s="8">
        <v>64.70400000000001</v>
      </c>
      <c r="E41" s="8">
        <v>108.078</v>
      </c>
      <c r="F41" s="8">
        <v>110.961</v>
      </c>
      <c r="G41" s="8">
        <v>134.53300000000002</v>
      </c>
      <c r="H41" s="8">
        <v>26.907</v>
      </c>
      <c r="I41" s="8">
        <v>34.33</v>
      </c>
      <c r="J41" s="8">
        <v>80.54</v>
      </c>
      <c r="K41" s="8">
        <v>100.735</v>
      </c>
      <c r="L41" s="9">
        <f>F41+K41-J41</f>
        <v>131.156</v>
      </c>
      <c r="M41" s="1"/>
      <c r="N41" t="s" s="5">
        <v>49</v>
      </c>
    </row>
    <row r="42">
      <c r="A42" s="1"/>
      <c r="B42" t="s" s="13">
        <v>29</v>
      </c>
      <c r="C42" s="8">
        <v>0</v>
      </c>
      <c r="D42" s="8">
        <v>1.821</v>
      </c>
      <c r="E42" s="4"/>
      <c r="F42" s="4"/>
      <c r="G42" s="4"/>
      <c r="H42" s="4"/>
      <c r="I42" s="4"/>
      <c r="J42" s="4"/>
      <c r="K42" s="4"/>
      <c r="L42" s="9">
        <f>F42+K42-J42</f>
        <v>0</v>
      </c>
      <c r="M42" s="1"/>
      <c r="N42" t="s" s="5">
        <v>50</v>
      </c>
    </row>
    <row r="43">
      <c r="A43" s="1"/>
      <c r="B43" t="s" s="13">
        <v>30</v>
      </c>
      <c r="C43" s="8">
        <v>0</v>
      </c>
      <c r="D43" s="8">
        <v>11.639000000000001</v>
      </c>
      <c r="E43" s="8">
        <v>14.396</v>
      </c>
      <c r="F43" s="8">
        <v>53.181000000000004</v>
      </c>
      <c r="G43" s="8">
        <v>0</v>
      </c>
      <c r="H43" s="8">
        <v>5.344</v>
      </c>
      <c r="I43" s="8">
        <v>0</v>
      </c>
      <c r="J43" s="8">
        <v>11.545</v>
      </c>
      <c r="K43" s="8">
        <v>0</v>
      </c>
      <c r="L43" s="9">
        <f>F43+K43-J43</f>
        <v>41.636</v>
      </c>
      <c r="M43" s="1"/>
      <c r="N43" t="s" s="5">
        <v>49</v>
      </c>
    </row>
    <row r="44">
      <c r="A44" s="1"/>
      <c r="B44" t="s" s="13">
        <v>31</v>
      </c>
      <c r="C44" s="8">
        <v>0</v>
      </c>
      <c r="D44" s="8">
        <v>1.711</v>
      </c>
      <c r="E44" s="8">
        <v>2.052</v>
      </c>
      <c r="F44" s="8">
        <v>8.308</v>
      </c>
      <c r="G44" s="8">
        <v>35.773</v>
      </c>
      <c r="H44" s="8">
        <v>0.248</v>
      </c>
      <c r="I44" s="8">
        <v>0.549</v>
      </c>
      <c r="J44" s="8">
        <v>1.926</v>
      </c>
      <c r="K44" s="8">
        <v>18.263</v>
      </c>
      <c r="L44" s="9">
        <f>F44+K44-J44</f>
        <v>24.645000000000003</v>
      </c>
      <c r="M44" s="1"/>
      <c r="N44" t="s" s="5">
        <v>49</v>
      </c>
    </row>
    <row r="45">
      <c r="A45" s="1"/>
      <c r="B45" t="s" s="13">
        <v>32</v>
      </c>
      <c r="C45" s="8">
        <v>2.367</v>
      </c>
      <c r="D45" s="8">
        <v>2.486</v>
      </c>
      <c r="E45" s="8">
        <v>2.592</v>
      </c>
      <c r="F45" s="8">
        <v>1.99</v>
      </c>
      <c r="G45" s="8">
        <v>0.029</v>
      </c>
      <c r="H45" s="8">
        <v>0.608</v>
      </c>
      <c r="I45" s="8">
        <v>0</v>
      </c>
      <c r="J45" s="8">
        <v>1.78</v>
      </c>
      <c r="K45" s="8">
        <v>0.01</v>
      </c>
      <c r="L45" s="9">
        <f>F45+K45-J45</f>
        <v>0.21999999999999997</v>
      </c>
      <c r="M45" s="1"/>
      <c r="N45" t="s" s="5">
        <v>49</v>
      </c>
    </row>
    <row r="46">
      <c r="A46" s="1"/>
      <c r="B46" t="s" s="13">
        <v>33</v>
      </c>
      <c r="C46" s="8">
        <v>1.6600000000000001</v>
      </c>
      <c r="D46" s="8">
        <v>0.158</v>
      </c>
      <c r="E46" s="4"/>
      <c r="F46" s="4"/>
      <c r="G46" s="4"/>
      <c r="H46" s="4"/>
      <c r="I46" s="4"/>
      <c r="J46" s="4"/>
      <c r="K46" s="4"/>
      <c r="L46" s="9">
        <f>F46+K46-J46</f>
        <v>0</v>
      </c>
      <c r="M46" s="1"/>
      <c r="N46" t="s" s="5">
        <v>50</v>
      </c>
    </row>
    <row r="47">
      <c r="A47" s="1"/>
      <c r="B47" t="s" s="13">
        <v>34</v>
      </c>
      <c r="C47" s="8">
        <v>0.487</v>
      </c>
      <c r="D47" s="8">
        <v>1.36</v>
      </c>
      <c r="E47" s="8">
        <v>0.217</v>
      </c>
      <c r="F47" s="8">
        <v>-457.648</v>
      </c>
      <c r="G47" s="8">
        <v>-9.418000000000001</v>
      </c>
      <c r="H47" s="8">
        <v>-0.486</v>
      </c>
      <c r="I47" s="8">
        <v>0.51</v>
      </c>
      <c r="J47" s="8">
        <v>-0.505</v>
      </c>
      <c r="K47" s="8">
        <v>-0.28700000000000003</v>
      </c>
      <c r="L47" s="9">
        <f>F47+K47-J47</f>
        <v>-457.43</v>
      </c>
      <c r="M47" s="1"/>
      <c r="N47" t="s" s="5">
        <v>49</v>
      </c>
    </row>
    <row r="48">
      <c r="A48" s="1"/>
      <c r="B48" t="s" s="13">
        <v>35</v>
      </c>
      <c r="C48" s="8">
        <v>0.083</v>
      </c>
      <c r="D48" s="8">
        <v>-0.05</v>
      </c>
      <c r="E48" s="8">
        <v>-13.004</v>
      </c>
      <c r="F48" s="8">
        <v>-15.209</v>
      </c>
      <c r="G48" s="8">
        <v>-3.678</v>
      </c>
      <c r="H48" s="8">
        <v>-3.365</v>
      </c>
      <c r="I48" s="8">
        <v>0.439</v>
      </c>
      <c r="J48" s="8">
        <v>-10.56</v>
      </c>
      <c r="K48" s="8">
        <v>-3.4290000000000003</v>
      </c>
      <c r="L48" s="9">
        <f>F48+K48-J48</f>
        <v>-8.077999999999998</v>
      </c>
      <c r="M48" s="1"/>
      <c r="N48" t="s" s="5">
        <v>49</v>
      </c>
    </row>
    <row r="49">
      <c r="A49" s="1"/>
      <c r="B49" t="s" s="10">
        <v>36</v>
      </c>
      <c r="C49" s="12">
        <f>SUM(C37:C48)</f>
        <v>72.67599999999997</v>
      </c>
      <c r="D49" s="12">
        <f>SUM(D37:D48)</f>
        <v>81.136</v>
      </c>
      <c r="E49" s="12">
        <f>SUM(E37:E48)</f>
        <v>105.90599999999999</v>
      </c>
      <c r="F49" s="12">
        <f>SUM(F37:F48)</f>
        <v>145.67399999999992</v>
      </c>
      <c r="G49" s="12">
        <f>SUM(G37:G48)</f>
        <v>248.19</v>
      </c>
      <c r="H49" s="12">
        <f>SUM(H37:H48)</f>
        <v>38.33999999999999</v>
      </c>
      <c r="I49" s="12">
        <f>SUM(I37:I48)</f>
        <v>70.733</v>
      </c>
      <c r="J49" s="12">
        <f>SUM(J37:J48)</f>
        <v>103.99200000000003</v>
      </c>
      <c r="K49" s="12">
        <f>SUM(K37:K48)</f>
        <v>174.117</v>
      </c>
      <c r="L49" s="12">
        <f>SUM(L37:L48)</f>
        <v>215.7989999999999</v>
      </c>
      <c r="M49" s="1"/>
      <c r="N49" t="s" s="5">
        <v>46</v>
      </c>
    </row>
    <row r="50">
      <c r="A50" s="1"/>
      <c r="B50" t="s" s="16">
        <v>37</v>
      </c>
      <c r="C50" s="17">
        <f>C49/C9</f>
        <v>0.2883716500940393</v>
      </c>
      <c r="D50" s="17">
        <f>D49/D9</f>
        <v>0.2673996295637157</v>
      </c>
      <c r="E50" s="17">
        <f>E49/E9</f>
        <v>0.2876567219312922</v>
      </c>
      <c r="F50" s="17">
        <f>F49/F9</f>
        <v>0.32242813792737085</v>
      </c>
      <c r="G50" s="17">
        <f>G49/G9</f>
        <v>0.33935036807735636</v>
      </c>
      <c r="H50" s="17">
        <f>H49/H9</f>
        <v>0.3310080464136477</v>
      </c>
      <c r="I50" s="17">
        <f>I49/I9</f>
        <v>0.34485398079079516</v>
      </c>
      <c r="J50" s="17">
        <f>J49/J9</f>
        <v>0.31964295594120584</v>
      </c>
      <c r="K50" s="17">
        <f>K49/K9</f>
        <v>0.3388076923825331</v>
      </c>
      <c r="L50" s="17">
        <f>L49/L9</f>
        <v>0.33698795707521817</v>
      </c>
      <c r="M50" s="1"/>
      <c r="N50" s="5"/>
    </row>
    <row r="51">
      <c r="A51" s="1"/>
      <c r="B51" t="s" s="13">
        <v>38</v>
      </c>
      <c r="C51" s="8">
        <v>72.676</v>
      </c>
      <c r="D51" s="8">
        <v>81.136</v>
      </c>
      <c r="E51" s="8">
        <v>105.906</v>
      </c>
      <c r="F51" s="8">
        <v>145.674</v>
      </c>
      <c r="G51" s="8">
        <v>248.19</v>
      </c>
      <c r="H51" s="8">
        <v>38.34</v>
      </c>
      <c r="I51" s="8">
        <v>70.733</v>
      </c>
      <c r="J51" s="8">
        <v>103.992</v>
      </c>
      <c r="K51" s="8">
        <v>174.117</v>
      </c>
      <c r="L51" s="9">
        <f>F51+K51-J51</f>
        <v>215.79899999999998</v>
      </c>
      <c r="M51" s="1"/>
      <c r="N51" t="s" s="5">
        <v>49</v>
      </c>
    </row>
    <row r="52">
      <c r="A52" s="1"/>
      <c r="B52" t="s" s="16">
        <v>39</v>
      </c>
      <c r="C52" s="18">
        <f>C49-C51</f>
        <v>0</v>
      </c>
      <c r="D52" s="18">
        <f>D49-D51</f>
        <v>0</v>
      </c>
      <c r="E52" s="18">
        <f>E49-E51</f>
        <v>0</v>
      </c>
      <c r="F52" s="18">
        <f>F49-F51</f>
        <v>0</v>
      </c>
      <c r="G52" s="18">
        <f>G49-G51</f>
        <v>0</v>
      </c>
      <c r="H52" s="18">
        <f>H49-H51</f>
        <v>0</v>
      </c>
      <c r="I52" s="18">
        <f>I49-I51</f>
        <v>0</v>
      </c>
      <c r="J52" s="18">
        <f>J49-J51</f>
        <v>0</v>
      </c>
      <c r="K52" s="18">
        <f>K49-K51</f>
        <v>0</v>
      </c>
      <c r="L52" s="18">
        <f>L49-L51</f>
        <v>0</v>
      </c>
      <c r="M52" s="1"/>
      <c r="N52" s="5"/>
    </row>
  </sheetData>
  <pageMargins left="0.7" right="0.7" top="0.75" bottom="0.75" header="0.3" footer="0.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showGridLines="0" workbookViewId="0">
      <selection activeCell="A1" sqref="A1"/>
    </sheetView>
  </sheetViews>
  <cols>
    <col min="1" max="1" width="2" customWidth="1"/>
    <col min="2" max="2" width="54" customWidth="1"/>
    <col min="3" max="8" width="11" customWidth="1"/>
    <col min="9" max="9" width="2" customWidth="1"/>
    <col min="10" max="10" width="44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t="s" s="2">
        <v>51</v>
      </c>
      <c r="C2" s="1"/>
      <c r="D2" s="1"/>
      <c r="E2" s="1"/>
      <c r="F2" s="1"/>
      <c r="G2" s="1"/>
      <c r="H2" s="1"/>
      <c r="I2" s="1"/>
      <c r="J2" s="1"/>
    </row>
    <row r="3">
      <c r="A3" s="1"/>
      <c r="B3" t="s" s="3">
        <v>52</v>
      </c>
      <c r="C3" s="1"/>
      <c r="D3" s="1"/>
      <c r="E3" s="1"/>
      <c r="F3" s="1"/>
      <c r="G3" s="1"/>
      <c r="H3" s="1"/>
      <c r="I3" s="1"/>
      <c r="J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</row>
    <row r="5">
      <c r="A5" s="1"/>
      <c r="B5" s="1"/>
      <c r="C5" t="s" s="19">
        <v>96</v>
      </c>
      <c r="D5" s="19"/>
      <c r="E5" s="19"/>
      <c r="F5" s="19"/>
      <c r="G5" s="19"/>
      <c r="H5" t="s" s="19">
        <v>97</v>
      </c>
      <c r="I5" s="1"/>
      <c r="J5" s="24"/>
    </row>
    <row r="6">
      <c r="A6" s="1"/>
      <c r="B6" s="1"/>
      <c r="C6" s="20">
        <f>DATE(2021,12,31)</f>
        <v>44561</v>
      </c>
      <c r="D6" s="20">
        <f>DATE(2022,12,31)</f>
        <v>44926</v>
      </c>
      <c r="E6" s="20">
        <f>DATE(2023,12,31)</f>
        <v>45291</v>
      </c>
      <c r="F6" s="20">
        <f>DATE(2024,12,31)</f>
        <v>45657</v>
      </c>
      <c r="G6" s="20">
        <f>DATE(2025,12,31)</f>
        <v>46022</v>
      </c>
      <c r="H6" s="25">
        <f>DATE(2025,9,30)</f>
        <v>45930</v>
      </c>
      <c r="I6" s="1"/>
      <c r="J6" t="s" s="24">
        <v>44</v>
      </c>
    </row>
    <row r="7">
      <c r="A7" s="1"/>
      <c r="B7" s="1"/>
      <c r="C7" s="4"/>
      <c r="D7" s="4"/>
      <c r="E7" s="4"/>
      <c r="F7" s="4"/>
      <c r="G7" s="4"/>
      <c r="H7" s="4"/>
      <c r="I7" s="1"/>
      <c r="J7" s="5"/>
    </row>
    <row r="8">
      <c r="A8" s="1"/>
      <c r="B8" t="s" s="6">
        <v>53</v>
      </c>
      <c r="C8" s="7"/>
      <c r="D8" s="7"/>
      <c r="E8" s="7"/>
      <c r="F8" s="7"/>
      <c r="G8" s="7"/>
      <c r="H8" s="7"/>
      <c r="I8" s="1"/>
      <c r="J8" s="5"/>
    </row>
    <row r="9">
      <c r="A9" s="1"/>
      <c r="B9" t="s" s="13">
        <v>54</v>
      </c>
      <c r="C9" s="8">
        <v>254.597</v>
      </c>
      <c r="D9" s="8">
        <v>250.72400000000002</v>
      </c>
      <c r="E9" s="8">
        <v>221.76500000000001</v>
      </c>
      <c r="F9" s="8">
        <v>177.35</v>
      </c>
      <c r="G9" s="8">
        <v>91.245</v>
      </c>
      <c r="H9" s="8">
        <v>60.75</v>
      </c>
      <c r="I9" s="1"/>
      <c r="J9" t="s" s="5">
        <v>98</v>
      </c>
    </row>
    <row r="10">
      <c r="A10" s="1"/>
      <c r="B10" t="s" s="13">
        <v>55</v>
      </c>
      <c r="C10" s="8">
        <v>0</v>
      </c>
      <c r="D10" s="8">
        <v>4.89</v>
      </c>
      <c r="E10" s="8">
        <v>74.45700000000001</v>
      </c>
      <c r="F10" s="8">
        <v>78.139</v>
      </c>
      <c r="G10" s="8">
        <v>0</v>
      </c>
      <c r="H10" s="8">
        <v>3.398</v>
      </c>
      <c r="I10" s="1"/>
      <c r="J10" t="s" s="5">
        <v>98</v>
      </c>
    </row>
    <row r="11">
      <c r="A11" s="1"/>
      <c r="B11" t="s" s="13">
        <v>56</v>
      </c>
      <c r="C11" s="8">
        <v>50.19</v>
      </c>
      <c r="D11" s="8">
        <v>72.575</v>
      </c>
      <c r="E11" s="8">
        <v>92.09100000000001</v>
      </c>
      <c r="F11" s="8">
        <v>106.151</v>
      </c>
      <c r="G11" s="8">
        <v>167.348</v>
      </c>
      <c r="H11" s="8">
        <v>152.791</v>
      </c>
      <c r="I11" s="1"/>
      <c r="J11" t="s" s="5">
        <v>98</v>
      </c>
    </row>
    <row r="12">
      <c r="A12" s="1"/>
      <c r="B12" t="s" s="13">
        <v>57</v>
      </c>
      <c r="C12" s="8">
        <v>16.551000000000002</v>
      </c>
      <c r="D12" s="8">
        <v>28.157</v>
      </c>
      <c r="E12" s="8">
        <v>27.683</v>
      </c>
      <c r="F12" s="8">
        <v>23.006</v>
      </c>
      <c r="G12" s="8">
        <v>36.977000000000004</v>
      </c>
      <c r="H12" s="8">
        <v>33.871</v>
      </c>
      <c r="I12" s="1"/>
      <c r="J12" t="s" s="5">
        <v>98</v>
      </c>
    </row>
    <row r="13">
      <c r="A13" s="1"/>
      <c r="B13" t="s" s="10">
        <v>58</v>
      </c>
      <c r="C13" s="12">
        <f>SUM(C9:C12)</f>
        <v>321.338</v>
      </c>
      <c r="D13" s="12">
        <f>SUM(D9:D12)</f>
        <v>356.346</v>
      </c>
      <c r="E13" s="12">
        <f>SUM(E9:E12)</f>
        <v>415.99600000000004</v>
      </c>
      <c r="F13" s="12">
        <f>SUM(F9:F12)</f>
        <v>384.64599999999996</v>
      </c>
      <c r="G13" s="12">
        <f>SUM(G9:G12)</f>
        <v>295.57000000000005</v>
      </c>
      <c r="H13" s="12">
        <f>SUM(H9:H12)</f>
        <v>250.81</v>
      </c>
      <c r="I13" s="1"/>
      <c r="J13" t="s" s="5">
        <v>46</v>
      </c>
    </row>
    <row r="14">
      <c r="A14" s="1"/>
      <c r="B14" t="s" s="13">
        <v>59</v>
      </c>
      <c r="C14" s="8">
        <v>10.738</v>
      </c>
      <c r="D14" s="8">
        <v>15.064</v>
      </c>
      <c r="E14" s="8">
        <v>15.349</v>
      </c>
      <c r="F14" s="8">
        <v>14.797</v>
      </c>
      <c r="G14" s="8">
        <v>26.607</v>
      </c>
      <c r="H14" s="8">
        <v>26.262</v>
      </c>
      <c r="I14" s="1"/>
      <c r="J14" t="s" s="5">
        <v>98</v>
      </c>
    </row>
    <row r="15">
      <c r="A15" s="1"/>
      <c r="B15" t="s" s="13">
        <v>60</v>
      </c>
      <c r="C15" s="8">
        <v>0</v>
      </c>
      <c r="D15" s="8">
        <v>24.114</v>
      </c>
      <c r="E15" s="8">
        <v>22.554000000000002</v>
      </c>
      <c r="F15" s="8">
        <v>24.797</v>
      </c>
      <c r="G15" s="8">
        <v>34.300000000000004</v>
      </c>
      <c r="H15" s="8">
        <v>40.315</v>
      </c>
      <c r="I15" s="1"/>
      <c r="J15" t="s" s="5">
        <v>98</v>
      </c>
    </row>
    <row r="16">
      <c r="A16" s="1"/>
      <c r="B16" t="s" s="13">
        <v>61</v>
      </c>
      <c r="C16" s="8">
        <v>5.687</v>
      </c>
      <c r="D16" s="8">
        <v>6.563</v>
      </c>
      <c r="E16" s="8">
        <v>6.439</v>
      </c>
      <c r="F16" s="8">
        <v>7.013</v>
      </c>
      <c r="G16" s="8">
        <v>13.017</v>
      </c>
      <c r="H16" s="8">
        <v>9.551</v>
      </c>
      <c r="I16" s="1"/>
      <c r="J16" t="s" s="5">
        <v>98</v>
      </c>
    </row>
    <row r="17">
      <c r="A17" s="1"/>
      <c r="B17" t="s" s="13">
        <v>62</v>
      </c>
      <c r="C17" s="8">
        <v>0.922</v>
      </c>
      <c r="D17" s="8">
        <v>0.728</v>
      </c>
      <c r="E17" s="8">
        <v>0.533</v>
      </c>
      <c r="F17" s="8">
        <v>0.339</v>
      </c>
      <c r="G17" s="8">
        <v>3.467</v>
      </c>
      <c r="H17" s="8">
        <v>3.67</v>
      </c>
      <c r="I17" s="1"/>
      <c r="J17" t="s" s="5">
        <v>98</v>
      </c>
    </row>
    <row r="18">
      <c r="A18" s="1"/>
      <c r="B18" t="s" s="13">
        <v>63</v>
      </c>
      <c r="C18" s="4"/>
      <c r="D18" s="4"/>
      <c r="E18" s="4"/>
      <c r="F18" s="8">
        <v>602.5</v>
      </c>
      <c r="G18" s="8">
        <v>695.998</v>
      </c>
      <c r="H18" s="8">
        <v>671.801</v>
      </c>
      <c r="I18" s="1"/>
      <c r="J18" t="s" s="5">
        <v>99</v>
      </c>
    </row>
    <row r="19">
      <c r="A19" s="1"/>
      <c r="B19" t="s" s="13">
        <v>64</v>
      </c>
      <c r="C19" s="8">
        <v>5.67</v>
      </c>
      <c r="D19" s="8">
        <v>5.88</v>
      </c>
      <c r="E19" s="8">
        <v>4.907</v>
      </c>
      <c r="F19" s="8">
        <v>3.34</v>
      </c>
      <c r="G19" s="8">
        <v>5.336</v>
      </c>
      <c r="H19" s="8">
        <v>6.877</v>
      </c>
      <c r="I19" s="1"/>
      <c r="J19" t="s" s="5">
        <v>98</v>
      </c>
    </row>
    <row r="20">
      <c r="A20" s="1"/>
      <c r="B20" t="s" s="13">
        <v>65</v>
      </c>
      <c r="C20" s="8">
        <v>0</v>
      </c>
      <c r="D20" s="8">
        <v>29.456</v>
      </c>
      <c r="E20" s="8">
        <v>26.132</v>
      </c>
      <c r="F20" s="8">
        <v>30.868000000000002</v>
      </c>
      <c r="G20" s="8">
        <v>687.578</v>
      </c>
      <c r="H20" s="8">
        <v>714.118</v>
      </c>
      <c r="I20" s="1"/>
      <c r="J20" t="s" s="5">
        <v>98</v>
      </c>
    </row>
    <row r="21">
      <c r="A21" s="1"/>
      <c r="B21" t="s" s="13">
        <v>66</v>
      </c>
      <c r="C21" s="8">
        <v>0</v>
      </c>
      <c r="D21" s="8">
        <v>43.791000000000004</v>
      </c>
      <c r="E21" s="8">
        <v>45.338</v>
      </c>
      <c r="F21" s="8">
        <v>70.971</v>
      </c>
      <c r="G21" s="8">
        <v>1270.056</v>
      </c>
      <c r="H21" s="8">
        <v>1267.108</v>
      </c>
      <c r="I21" s="1"/>
      <c r="J21" t="s" s="5">
        <v>98</v>
      </c>
    </row>
    <row r="22">
      <c r="A22" s="1"/>
      <c r="B22" t="s" s="13">
        <v>67</v>
      </c>
      <c r="C22" s="4"/>
      <c r="D22" s="8">
        <v>0</v>
      </c>
      <c r="E22" s="8">
        <v>21.495</v>
      </c>
      <c r="F22" s="8">
        <v>30.301000000000002</v>
      </c>
      <c r="G22" s="8">
        <v>0</v>
      </c>
      <c r="H22" s="8">
        <v>0</v>
      </c>
      <c r="I22" s="1"/>
      <c r="J22" t="s" s="5">
        <v>100</v>
      </c>
    </row>
    <row r="23">
      <c r="A23" s="1"/>
      <c r="B23" t="s" s="10">
        <v>68</v>
      </c>
      <c r="C23" s="12">
        <f>C13+SUM(C14:C22)</f>
        <v>344.355</v>
      </c>
      <c r="D23" s="12">
        <f>D13+SUM(D14:D22)</f>
        <v>481.942</v>
      </c>
      <c r="E23" s="12">
        <f>E13+SUM(E14:E22)</f>
        <v>558.743</v>
      </c>
      <c r="F23" s="12">
        <f>F13+SUM(F14:F22)</f>
        <v>1169.5720000000001</v>
      </c>
      <c r="G23" s="12">
        <f>G13+SUM(G14:G22)</f>
        <v>3031.929</v>
      </c>
      <c r="H23" s="12">
        <f>H13+SUM(H14:H22)</f>
        <v>2990.512</v>
      </c>
      <c r="I23" s="1"/>
      <c r="J23" t="s" s="5">
        <v>46</v>
      </c>
    </row>
    <row r="24">
      <c r="A24" s="1"/>
      <c r="B24" s="1"/>
      <c r="C24" s="4"/>
      <c r="D24" s="4"/>
      <c r="E24" s="4"/>
      <c r="F24" s="4"/>
      <c r="G24" s="4"/>
      <c r="H24" s="4"/>
      <c r="I24" s="1"/>
      <c r="J24" s="5"/>
    </row>
    <row r="25">
      <c r="A25" s="1"/>
      <c r="B25" t="s" s="6">
        <v>69</v>
      </c>
      <c r="C25" s="7"/>
      <c r="D25" s="7"/>
      <c r="E25" s="7"/>
      <c r="F25" s="7"/>
      <c r="G25" s="7"/>
      <c r="H25" s="7"/>
      <c r="I25" s="1"/>
      <c r="J25" s="5"/>
    </row>
    <row r="26">
      <c r="A26" s="1"/>
      <c r="B26" t="s" s="13">
        <v>70</v>
      </c>
      <c r="C26" s="8">
        <v>1.416</v>
      </c>
      <c r="D26" s="8">
        <v>3.092</v>
      </c>
      <c r="E26" s="8">
        <v>3.0620000000000003</v>
      </c>
      <c r="F26" s="8">
        <v>2.934</v>
      </c>
      <c r="G26" s="8">
        <v>4.096</v>
      </c>
      <c r="H26" s="8">
        <v>3.3160000000000003</v>
      </c>
      <c r="I26" s="1"/>
      <c r="J26" t="s" s="5">
        <v>98</v>
      </c>
    </row>
    <row r="27">
      <c r="A27" s="1"/>
      <c r="B27" t="s" s="13">
        <v>71</v>
      </c>
      <c r="C27" s="8">
        <v>27.032</v>
      </c>
      <c r="D27" s="8">
        <v>42.119</v>
      </c>
      <c r="E27" s="8">
        <v>49.535000000000004</v>
      </c>
      <c r="F27" s="8">
        <v>55.654</v>
      </c>
      <c r="G27" s="8">
        <v>112.24900000000001</v>
      </c>
      <c r="H27" s="8">
        <v>83.61</v>
      </c>
      <c r="I27" s="1"/>
      <c r="J27" t="s" s="5">
        <v>98</v>
      </c>
    </row>
    <row r="28">
      <c r="A28" s="1"/>
      <c r="B28" t="s" s="13">
        <v>72</v>
      </c>
      <c r="C28" s="4"/>
      <c r="D28" s="4"/>
      <c r="E28" s="4"/>
      <c r="F28" s="8">
        <v>7.329</v>
      </c>
      <c r="G28" s="8">
        <v>21.86</v>
      </c>
      <c r="H28" s="8">
        <v>17.152</v>
      </c>
      <c r="I28" s="1"/>
      <c r="J28" t="s" s="5">
        <v>99</v>
      </c>
    </row>
    <row r="29">
      <c r="A29" s="1"/>
      <c r="B29" t="s" s="13">
        <v>73</v>
      </c>
      <c r="C29" s="8">
        <v>2.75</v>
      </c>
      <c r="D29" s="8">
        <v>2.75</v>
      </c>
      <c r="E29" s="8">
        <v>2.75</v>
      </c>
      <c r="F29" s="8">
        <v>2.75</v>
      </c>
      <c r="G29" s="8">
        <v>8</v>
      </c>
      <c r="H29" s="8">
        <v>8</v>
      </c>
      <c r="I29" s="1"/>
      <c r="J29" t="s" s="5">
        <v>98</v>
      </c>
    </row>
    <row r="30">
      <c r="A30" s="1"/>
      <c r="B30" t="s" s="13">
        <v>74</v>
      </c>
      <c r="C30" s="8">
        <v>0</v>
      </c>
      <c r="D30" s="8">
        <v>5.851</v>
      </c>
      <c r="E30" s="8">
        <v>6.551</v>
      </c>
      <c r="F30" s="8">
        <v>8.35</v>
      </c>
      <c r="G30" s="8">
        <v>15.138</v>
      </c>
      <c r="H30" s="8">
        <v>15.537</v>
      </c>
      <c r="I30" s="1"/>
      <c r="J30" t="s" s="5">
        <v>98</v>
      </c>
    </row>
    <row r="31">
      <c r="A31" s="1"/>
      <c r="B31" t="s" s="13">
        <v>75</v>
      </c>
      <c r="C31" s="8">
        <v>0</v>
      </c>
      <c r="D31" s="8">
        <v>12.200000000000001</v>
      </c>
      <c r="E31" s="8">
        <v>18.894000000000002</v>
      </c>
      <c r="F31" s="8">
        <v>0.035</v>
      </c>
      <c r="G31" s="8">
        <v>0</v>
      </c>
      <c r="H31" s="8">
        <v>0</v>
      </c>
      <c r="I31" s="1"/>
      <c r="J31" t="s" s="5">
        <v>98</v>
      </c>
    </row>
    <row r="32">
      <c r="A32" s="1"/>
      <c r="B32" t="s" s="10">
        <v>76</v>
      </c>
      <c r="C32" s="12">
        <f>SUM(C26:C31)</f>
        <v>31.198</v>
      </c>
      <c r="D32" s="12">
        <f>SUM(D26:D31)</f>
        <v>66.012</v>
      </c>
      <c r="E32" s="12">
        <f>SUM(E26:E31)</f>
        <v>80.792</v>
      </c>
      <c r="F32" s="12">
        <f>SUM(F26:F31)</f>
        <v>77.05199999999999</v>
      </c>
      <c r="G32" s="12">
        <f>SUM(G26:G31)</f>
        <v>161.34300000000002</v>
      </c>
      <c r="H32" s="12">
        <f>SUM(H26:H31)</f>
        <v>127.61500000000001</v>
      </c>
      <c r="I32" s="1"/>
      <c r="J32" t="s" s="5">
        <v>46</v>
      </c>
    </row>
    <row r="33">
      <c r="A33" s="1"/>
      <c r="B33" t="s" s="13">
        <v>77</v>
      </c>
      <c r="C33" s="8">
        <v>51.157000000000004</v>
      </c>
      <c r="D33" s="8">
        <v>48.492000000000004</v>
      </c>
      <c r="E33" s="8">
        <v>45.828</v>
      </c>
      <c r="F33" s="8">
        <v>43.164</v>
      </c>
      <c r="G33" s="8">
        <v>814.643</v>
      </c>
      <c r="H33" s="8">
        <v>830.869</v>
      </c>
      <c r="I33" s="1"/>
      <c r="J33" t="s" s="5">
        <v>98</v>
      </c>
    </row>
    <row r="34">
      <c r="A34" s="1"/>
      <c r="B34" t="s" s="13">
        <v>78</v>
      </c>
      <c r="C34" s="8">
        <v>0</v>
      </c>
      <c r="D34" s="8">
        <v>19.505</v>
      </c>
      <c r="E34" s="8">
        <v>16.948</v>
      </c>
      <c r="F34" s="8">
        <v>17.655</v>
      </c>
      <c r="G34" s="8">
        <v>22.555</v>
      </c>
      <c r="H34" s="8">
        <v>28.448</v>
      </c>
      <c r="I34" s="1"/>
      <c r="J34" t="s" s="5">
        <v>98</v>
      </c>
    </row>
    <row r="35">
      <c r="A35" s="1"/>
      <c r="B35" t="s" s="13">
        <v>79</v>
      </c>
      <c r="C35" s="8">
        <v>0.132</v>
      </c>
      <c r="D35" s="8">
        <v>9.547</v>
      </c>
      <c r="E35" s="8">
        <v>5.518</v>
      </c>
      <c r="F35" s="8">
        <v>1.47</v>
      </c>
      <c r="G35" s="8">
        <v>2.2960000000000003</v>
      </c>
      <c r="H35" s="8">
        <v>2.029</v>
      </c>
      <c r="I35" s="1"/>
      <c r="J35" t="s" s="5">
        <v>98</v>
      </c>
    </row>
    <row r="36">
      <c r="A36" s="1"/>
      <c r="B36" t="s" s="10">
        <v>80</v>
      </c>
      <c r="C36" s="12">
        <f>C32+SUM(C33:C35)</f>
        <v>82.487</v>
      </c>
      <c r="D36" s="12">
        <f>D32+SUM(D33:D35)</f>
        <v>143.55599999999998</v>
      </c>
      <c r="E36" s="12">
        <f>E32+SUM(E33:E35)</f>
        <v>149.086</v>
      </c>
      <c r="F36" s="12">
        <f>F32+SUM(F33:F35)</f>
        <v>139.341</v>
      </c>
      <c r="G36" s="12">
        <f>G32+SUM(G33:G35)</f>
        <v>1000.837</v>
      </c>
      <c r="H36" s="12">
        <f>H32+SUM(H33:H35)</f>
        <v>988.961</v>
      </c>
      <c r="I36" s="1"/>
      <c r="J36" t="s" s="5">
        <v>46</v>
      </c>
    </row>
    <row r="37">
      <c r="A37" s="1"/>
      <c r="B37" t="s" s="13">
        <v>81</v>
      </c>
      <c r="C37" s="8">
        <v>0.048</v>
      </c>
      <c r="D37" s="8">
        <v>0.061</v>
      </c>
      <c r="E37" s="8">
        <v>0.128</v>
      </c>
      <c r="F37" s="8">
        <v>0.213</v>
      </c>
      <c r="G37" s="8">
        <v>0.291</v>
      </c>
      <c r="H37" s="8">
        <v>0.28800000000000003</v>
      </c>
      <c r="I37" s="1"/>
      <c r="J37" t="s" s="5">
        <v>101</v>
      </c>
    </row>
    <row r="38">
      <c r="A38" s="1"/>
      <c r="B38" t="s" s="13">
        <v>82</v>
      </c>
      <c r="C38" s="8">
        <v>0.011</v>
      </c>
      <c r="D38" s="8">
        <v>0.001</v>
      </c>
      <c r="E38" s="8">
        <v>0</v>
      </c>
      <c r="F38" s="8">
        <v>0</v>
      </c>
      <c r="G38" s="8">
        <v>0.002</v>
      </c>
      <c r="H38" s="8">
        <v>0.005</v>
      </c>
      <c r="I38" s="1"/>
      <c r="J38" t="s" s="5">
        <v>98</v>
      </c>
    </row>
    <row r="39">
      <c r="A39" s="1"/>
      <c r="B39" t="s" s="13">
        <v>83</v>
      </c>
      <c r="C39" s="8">
        <v>0.047</v>
      </c>
      <c r="D39" s="8">
        <v>0.047</v>
      </c>
      <c r="E39" s="8">
        <v>0.033</v>
      </c>
      <c r="F39" s="8">
        <v>0.013000000000000001</v>
      </c>
      <c r="G39" s="8">
        <v>0</v>
      </c>
      <c r="H39" s="8">
        <v>0</v>
      </c>
      <c r="I39" s="1"/>
      <c r="J39" t="s" s="5">
        <v>98</v>
      </c>
    </row>
    <row r="40">
      <c r="A40" s="1"/>
      <c r="B40" t="s" s="13">
        <v>84</v>
      </c>
      <c r="C40" s="8">
        <v>0.13</v>
      </c>
      <c r="D40" s="8">
        <v>0.13</v>
      </c>
      <c r="E40" s="8">
        <v>0.083</v>
      </c>
      <c r="F40" s="8">
        <v>0.022</v>
      </c>
      <c r="G40" s="8">
        <v>0</v>
      </c>
      <c r="H40" s="8">
        <v>0</v>
      </c>
      <c r="I40" s="1"/>
      <c r="J40" t="s" s="5">
        <v>98</v>
      </c>
    </row>
    <row r="41">
      <c r="A41" s="1"/>
      <c r="B41" t="s" s="13">
        <v>85</v>
      </c>
      <c r="C41" s="8">
        <v>388.591</v>
      </c>
      <c r="D41" s="8">
        <v>455.32</v>
      </c>
      <c r="E41" s="8">
        <v>532.5070000000001</v>
      </c>
      <c r="F41" s="8">
        <v>725.174</v>
      </c>
      <c r="G41" s="8">
        <v>1754.387</v>
      </c>
      <c r="H41" s="8">
        <v>1712.8</v>
      </c>
      <c r="I41" s="1"/>
      <c r="J41" t="s" s="5">
        <v>98</v>
      </c>
    </row>
    <row r="42">
      <c r="A42" s="1"/>
      <c r="B42" t="s" s="13">
        <v>86</v>
      </c>
      <c r="C42" s="8">
        <v>-0.034</v>
      </c>
      <c r="D42" s="8">
        <v>0.609</v>
      </c>
      <c r="E42" s="8">
        <v>2.9090000000000003</v>
      </c>
      <c r="F42" s="8">
        <v>-1.113</v>
      </c>
      <c r="G42" s="8">
        <v>7.089</v>
      </c>
      <c r="H42" s="8">
        <v>7.448</v>
      </c>
      <c r="I42" s="1"/>
      <c r="J42" t="s" s="5">
        <v>98</v>
      </c>
    </row>
    <row r="43">
      <c r="A43" s="1"/>
      <c r="B43" t="s" s="13">
        <v>87</v>
      </c>
      <c r="C43" s="8">
        <v>-191.92600000000002</v>
      </c>
      <c r="D43" s="8">
        <v>-186.647</v>
      </c>
      <c r="E43" s="8">
        <v>-181.33100000000002</v>
      </c>
      <c r="F43" s="8">
        <v>283.946</v>
      </c>
      <c r="G43" s="8">
        <v>259.963</v>
      </c>
      <c r="H43" s="8">
        <v>261.009</v>
      </c>
      <c r="I43" s="1"/>
      <c r="J43" t="s" s="5">
        <v>98</v>
      </c>
    </row>
    <row r="44">
      <c r="A44" s="1"/>
      <c r="B44" t="s" s="10">
        <v>88</v>
      </c>
      <c r="C44" s="12">
        <f>SUM(C37:C43)</f>
        <v>196.867</v>
      </c>
      <c r="D44" s="12">
        <f>SUM(D37:D43)</f>
        <v>269.52099999999996</v>
      </c>
      <c r="E44" s="12">
        <f>SUM(E37:E43)</f>
        <v>354.32900000000006</v>
      </c>
      <c r="F44" s="12">
        <f>SUM(F37:F43)</f>
        <v>1008.255</v>
      </c>
      <c r="G44" s="12">
        <f>SUM(G37:G43)</f>
        <v>2021.7319999999997</v>
      </c>
      <c r="H44" s="12">
        <f>SUM(H37:H43)</f>
        <v>1981.55</v>
      </c>
      <c r="I44" s="1"/>
      <c r="J44" t="s" s="5">
        <v>46</v>
      </c>
    </row>
    <row r="45">
      <c r="A45" s="1"/>
      <c r="B45" t="s" s="13">
        <v>89</v>
      </c>
      <c r="C45" s="8">
        <v>65.001</v>
      </c>
      <c r="D45" s="8">
        <v>68.865</v>
      </c>
      <c r="E45" s="8">
        <v>55.328</v>
      </c>
      <c r="F45" s="8">
        <v>21.976</v>
      </c>
      <c r="G45" s="8">
        <v>9.36</v>
      </c>
      <c r="H45" s="8">
        <v>20.001</v>
      </c>
      <c r="I45" s="1"/>
      <c r="J45" t="s" s="5">
        <v>98</v>
      </c>
    </row>
    <row r="46">
      <c r="A46" s="1"/>
      <c r="B46" t="s" s="10">
        <v>90</v>
      </c>
      <c r="C46" s="12">
        <f>C44+C45</f>
        <v>261.868</v>
      </c>
      <c r="D46" s="12">
        <f>D44+D45</f>
        <v>338.38599999999997</v>
      </c>
      <c r="E46" s="12">
        <f>E44+E45</f>
        <v>409.65700000000004</v>
      </c>
      <c r="F46" s="12">
        <f>F44+F45</f>
        <v>1030.231</v>
      </c>
      <c r="G46" s="12">
        <f>G44+G45</f>
        <v>2031.0919999999996</v>
      </c>
      <c r="H46" s="12">
        <f>H44+H45</f>
        <v>2001.551</v>
      </c>
      <c r="I46" s="1"/>
      <c r="J46" t="s" s="5">
        <v>46</v>
      </c>
    </row>
    <row r="47">
      <c r="A47" s="1"/>
      <c r="B47" t="s" s="10">
        <v>91</v>
      </c>
      <c r="C47" s="12">
        <f>C36+C46</f>
        <v>344.355</v>
      </c>
      <c r="D47" s="12">
        <f>D36+D46</f>
        <v>481.94199999999995</v>
      </c>
      <c r="E47" s="12">
        <f>E36+E46</f>
        <v>558.743</v>
      </c>
      <c r="F47" s="12">
        <f>F36+F46</f>
        <v>1169.5720000000001</v>
      </c>
      <c r="G47" s="12">
        <f>G36+G46</f>
        <v>3031.9289999999996</v>
      </c>
      <c r="H47" s="12">
        <f>H36+H46</f>
        <v>2990.5119999999997</v>
      </c>
      <c r="I47" s="1"/>
      <c r="J47" t="s" s="5">
        <v>46</v>
      </c>
    </row>
    <row r="48">
      <c r="A48" s="1"/>
      <c r="B48" t="s" s="16">
        <v>92</v>
      </c>
      <c r="C48" s="18">
        <f>ROUND(C23-C47,3)</f>
        <v>0</v>
      </c>
      <c r="D48" s="18">
        <f>ROUND(D23-D47,3)</f>
        <v>0</v>
      </c>
      <c r="E48" s="18">
        <f>ROUND(E23-E47,3)</f>
        <v>0</v>
      </c>
      <c r="F48" s="18">
        <f>ROUND(F23-F47,3)</f>
        <v>0</v>
      </c>
      <c r="G48" s="18">
        <f>ROUND(G23-G47,3)</f>
        <v>0</v>
      </c>
      <c r="H48" s="18">
        <f>ROUND(H23-H47,3)</f>
        <v>0</v>
      </c>
      <c r="I48" s="1"/>
      <c r="J48" s="5"/>
    </row>
    <row r="49">
      <c r="A49" s="1"/>
      <c r="B49" s="1"/>
      <c r="C49" s="4"/>
      <c r="D49" s="4"/>
      <c r="E49" s="4"/>
      <c r="F49" s="4"/>
      <c r="G49" s="4"/>
      <c r="H49" s="4"/>
      <c r="I49" s="1"/>
      <c r="J49" s="5"/>
    </row>
    <row r="50">
      <c r="A50" s="1"/>
      <c r="B50" t="s" s="6">
        <v>93</v>
      </c>
      <c r="C50" s="7"/>
      <c r="D50" s="7"/>
      <c r="E50" s="7"/>
      <c r="F50" s="7"/>
      <c r="G50" s="7"/>
      <c r="H50" s="7"/>
      <c r="I50" s="1"/>
      <c r="J50" s="5"/>
    </row>
    <row r="51">
      <c r="A51" s="1"/>
      <c r="B51" t="s" s="10">
        <v>94</v>
      </c>
      <c r="C51" s="12">
        <f>C29+C33</f>
        <v>53.907000000000004</v>
      </c>
      <c r="D51" s="12">
        <f>D29+D33</f>
        <v>51.242000000000004</v>
      </c>
      <c r="E51" s="12">
        <f>E29+E33</f>
        <v>48.578</v>
      </c>
      <c r="F51" s="12">
        <f>F29+F33</f>
        <v>45.914</v>
      </c>
      <c r="G51" s="12">
        <f>G29+G33</f>
        <v>822.643</v>
      </c>
      <c r="H51" s="12">
        <f>H29+H33</f>
        <v>838.869</v>
      </c>
      <c r="I51" s="1"/>
      <c r="J51" t="s" s="5">
        <v>46</v>
      </c>
    </row>
    <row r="52">
      <c r="A52" s="1"/>
      <c r="B52" t="s" s="13">
        <v>95</v>
      </c>
      <c r="C52" s="8">
        <v>4.925</v>
      </c>
      <c r="D52" s="8">
        <v>11.561</v>
      </c>
      <c r="E52" s="8">
        <v>15.954</v>
      </c>
      <c r="F52" s="8">
        <v>18.053</v>
      </c>
      <c r="G52" s="8">
        <v>24.475</v>
      </c>
      <c r="H52" s="4"/>
      <c r="I52" s="1"/>
      <c r="J52" t="s" s="5">
        <v>102</v>
      </c>
    </row>
  </sheetData>
  <pageMargins left="0.7" right="0.7" top="0.75" bottom="0.75" header="0.3" footer="0.3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showGridLines="0" workbookViewId="0">
      <selection activeCell="A1" sqref="A1"/>
    </sheetView>
  </sheetViews>
  <cols>
    <col min="1" max="1" width="2" customWidth="1"/>
    <col min="2" max="2" width="54" customWidth="1"/>
    <col min="3" max="10" width="11" customWidth="1"/>
    <col min="11" max="11" width="2" customWidth="1"/>
    <col min="12" max="12" width="44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t="s" s="2">
        <v>103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t="s" s="3">
        <v>104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t="s" s="19">
        <v>40</v>
      </c>
      <c r="D5" s="19"/>
      <c r="E5" s="19"/>
      <c r="F5" s="19"/>
      <c r="G5" s="19"/>
      <c r="H5" t="s" s="19">
        <v>42</v>
      </c>
      <c r="I5" s="19"/>
      <c r="J5" t="s" s="19">
        <v>43</v>
      </c>
      <c r="K5" s="1"/>
      <c r="L5" s="24"/>
    </row>
    <row r="6">
      <c r="A6" s="1"/>
      <c r="B6" s="1"/>
      <c r="C6" s="20">
        <f>DATE(2021,12,31)</f>
        <v>44561</v>
      </c>
      <c r="D6" s="20">
        <f>DATE(2022,12,31)</f>
        <v>44926</v>
      </c>
      <c r="E6" s="20">
        <f>DATE(2023,12,31)</f>
        <v>45291</v>
      </c>
      <c r="F6" s="20">
        <f>DATE(2024,12,31)</f>
        <v>45657</v>
      </c>
      <c r="G6" s="20">
        <f>DATE(2025,12,31)</f>
        <v>46022</v>
      </c>
      <c r="H6" s="22">
        <f>DATE(2024,9,30)</f>
        <v>45565</v>
      </c>
      <c r="I6" s="22">
        <f>DATE(2025,9,30)</f>
        <v>45930</v>
      </c>
      <c r="J6" s="23">
        <f>DATE(2025,9,30)</f>
        <v>45930</v>
      </c>
      <c r="K6" s="1"/>
      <c r="L6" t="s" s="24">
        <v>44</v>
      </c>
    </row>
    <row r="7">
      <c r="A7" s="1"/>
      <c r="B7" s="1"/>
      <c r="C7" s="4"/>
      <c r="D7" s="4"/>
      <c r="E7" s="4"/>
      <c r="F7" s="4"/>
      <c r="G7" s="4"/>
      <c r="H7" s="4"/>
      <c r="I7" s="4"/>
      <c r="J7" s="4"/>
      <c r="K7" s="1"/>
      <c r="L7" s="5"/>
    </row>
    <row r="8">
      <c r="A8" s="1"/>
      <c r="B8" t="s" s="6">
        <v>105</v>
      </c>
      <c r="C8" s="7"/>
      <c r="D8" s="7"/>
      <c r="E8" s="7"/>
      <c r="F8" s="7"/>
      <c r="G8" s="7"/>
      <c r="H8" s="7"/>
      <c r="I8" s="7"/>
      <c r="J8" s="7"/>
      <c r="K8" s="1"/>
      <c r="L8" s="5"/>
    </row>
    <row r="9">
      <c r="A9" s="1"/>
      <c r="B9" t="s" s="13">
        <v>24</v>
      </c>
      <c r="C9" s="26">
        <f>IS!C23</f>
        <v>-8.094000000000014</v>
      </c>
      <c r="D9" s="26">
        <f>IS!D23</f>
        <v>-6.69500000000001</v>
      </c>
      <c r="E9" s="26">
        <f>IS!E23</f>
        <v>-23.083000000000006</v>
      </c>
      <c r="F9" s="26">
        <f>IS!F23</f>
        <v>427.585</v>
      </c>
      <c r="G9" s="26">
        <f>IS!G23</f>
        <v>-40.25400000000004</v>
      </c>
      <c r="H9" s="26">
        <f>IS!J23</f>
        <v>7.28000000000002</v>
      </c>
      <c r="I9" s="26">
        <f>IS!K23</f>
        <v>-27.728999999999985</v>
      </c>
      <c r="J9" s="9">
        <f>F9+I9-H9</f>
        <v>392.57599999999996</v>
      </c>
      <c r="K9" s="1"/>
      <c r="L9" t="s" s="5">
        <v>153</v>
      </c>
    </row>
    <row r="10">
      <c r="A10" s="1"/>
      <c r="B10" t="s" s="13">
        <v>106</v>
      </c>
      <c r="C10" s="8">
        <v>3.493</v>
      </c>
      <c r="D10" s="8">
        <v>5.139</v>
      </c>
      <c r="E10" s="8">
        <v>9.929</v>
      </c>
      <c r="F10" s="8">
        <v>12.181000000000001</v>
      </c>
      <c r="G10" s="8">
        <v>85.541</v>
      </c>
      <c r="H10" s="8">
        <v>8.73</v>
      </c>
      <c r="I10" s="8">
        <v>56.052</v>
      </c>
      <c r="J10" s="9">
        <f>F10+I10-H10</f>
        <v>59.503</v>
      </c>
      <c r="K10" s="1"/>
      <c r="L10" t="s" s="5">
        <v>154</v>
      </c>
    </row>
    <row r="11">
      <c r="A11" s="1"/>
      <c r="B11" t="s" s="13">
        <v>107</v>
      </c>
      <c r="C11" s="8">
        <v>0</v>
      </c>
      <c r="D11" s="8">
        <v>5.95</v>
      </c>
      <c r="E11" s="8">
        <v>7.619</v>
      </c>
      <c r="F11" s="8">
        <v>9.221</v>
      </c>
      <c r="G11" s="8">
        <v>16.682</v>
      </c>
      <c r="H11" s="8">
        <v>6.9</v>
      </c>
      <c r="I11" s="8">
        <v>12.299</v>
      </c>
      <c r="J11" s="9">
        <f>F11+I11-H11</f>
        <v>14.62</v>
      </c>
      <c r="K11" s="1"/>
      <c r="L11" t="s" s="5">
        <v>154</v>
      </c>
    </row>
    <row r="12">
      <c r="A12" s="1"/>
      <c r="B12" t="s" s="13">
        <v>108</v>
      </c>
      <c r="C12" s="8">
        <v>36.695</v>
      </c>
      <c r="D12" s="8">
        <v>65.691</v>
      </c>
      <c r="E12" s="8">
        <v>104.447</v>
      </c>
      <c r="F12" s="8">
        <v>103.20100000000001</v>
      </c>
      <c r="G12" s="8">
        <v>127.896</v>
      </c>
      <c r="H12" s="8">
        <v>75.059</v>
      </c>
      <c r="I12" s="8">
        <v>94.73</v>
      </c>
      <c r="J12" s="9">
        <f>F12+I12-H12</f>
        <v>122.87200000000001</v>
      </c>
      <c r="K12" s="1"/>
      <c r="L12" t="s" s="5">
        <v>154</v>
      </c>
    </row>
    <row r="13">
      <c r="A13" s="1"/>
      <c r="B13" t="s" s="13">
        <v>109</v>
      </c>
      <c r="C13" s="8">
        <v>3.3850000000000002</v>
      </c>
      <c r="D13" s="8">
        <v>4.327</v>
      </c>
      <c r="E13" s="8">
        <v>4.763</v>
      </c>
      <c r="F13" s="8">
        <v>5.265</v>
      </c>
      <c r="G13" s="8">
        <v>11.487</v>
      </c>
      <c r="H13" s="8">
        <v>3.573</v>
      </c>
      <c r="I13" s="8">
        <v>7.125</v>
      </c>
      <c r="J13" s="9">
        <f>F13+I13-H13</f>
        <v>8.817</v>
      </c>
      <c r="K13" s="1"/>
      <c r="L13" t="s" s="5">
        <v>154</v>
      </c>
    </row>
    <row r="14">
      <c r="A14" s="1"/>
      <c r="B14" t="s" s="13">
        <v>110</v>
      </c>
      <c r="C14" s="8">
        <v>1.545</v>
      </c>
      <c r="D14" s="8">
        <v>0.279</v>
      </c>
      <c r="E14" s="8">
        <v>0.28</v>
      </c>
      <c r="F14" s="8">
        <v>0.28</v>
      </c>
      <c r="G14" s="8">
        <v>2.77</v>
      </c>
      <c r="H14" s="8">
        <v>0.209</v>
      </c>
      <c r="I14" s="8">
        <v>1.793</v>
      </c>
      <c r="J14" s="9">
        <f>F14+I14-H14</f>
        <v>1.8639999999999999</v>
      </c>
      <c r="K14" s="1"/>
      <c r="L14" t="s" s="5">
        <v>154</v>
      </c>
    </row>
    <row r="15">
      <c r="A15" s="1"/>
      <c r="B15" t="s" s="13">
        <v>111</v>
      </c>
      <c r="C15" s="8">
        <v>10.303</v>
      </c>
      <c r="D15" s="8">
        <v>0</v>
      </c>
      <c r="E15" s="8">
        <v>0</v>
      </c>
      <c r="F15" s="8">
        <v>0</v>
      </c>
      <c r="G15" s="8">
        <v>0.419</v>
      </c>
      <c r="H15" s="8">
        <v>0</v>
      </c>
      <c r="I15" s="8">
        <v>0.419</v>
      </c>
      <c r="J15" s="9">
        <f>F15+I15-H15</f>
        <v>0.419</v>
      </c>
      <c r="K15" s="1"/>
      <c r="L15" t="s" s="5">
        <v>154</v>
      </c>
    </row>
    <row r="16">
      <c r="A16" s="1"/>
      <c r="B16" t="s" s="13">
        <v>112</v>
      </c>
      <c r="C16" s="4"/>
      <c r="D16" s="4"/>
      <c r="E16" s="8">
        <v>0</v>
      </c>
      <c r="F16" s="8">
        <v>0</v>
      </c>
      <c r="G16" s="8">
        <v>2.165</v>
      </c>
      <c r="H16" s="4"/>
      <c r="I16" s="4"/>
      <c r="J16" s="9">
        <f>F16+I16-H16</f>
        <v>0</v>
      </c>
      <c r="K16" s="1"/>
      <c r="L16" t="s" s="5">
        <v>155</v>
      </c>
    </row>
    <row r="17">
      <c r="A17" s="1"/>
      <c r="B17" t="s" s="13">
        <v>113</v>
      </c>
      <c r="C17" s="8">
        <v>-0.675</v>
      </c>
      <c r="D17" s="8">
        <v>-0.803</v>
      </c>
      <c r="E17" s="8">
        <v>-1.665</v>
      </c>
      <c r="F17" s="8">
        <v>-460.032</v>
      </c>
      <c r="G17" s="8">
        <v>-12.607000000000001</v>
      </c>
      <c r="H17" s="8">
        <v>-3.076</v>
      </c>
      <c r="I17" s="8">
        <v>-2.73</v>
      </c>
      <c r="J17" s="9">
        <f>F17+I17-H17</f>
        <v>-459.686</v>
      </c>
      <c r="K17" s="1"/>
      <c r="L17" t="s" s="5">
        <v>154</v>
      </c>
    </row>
    <row r="18">
      <c r="A18" s="1"/>
      <c r="B18" t="s" s="13">
        <v>114</v>
      </c>
      <c r="C18" s="8">
        <v>0</v>
      </c>
      <c r="D18" s="8">
        <v>0</v>
      </c>
      <c r="E18" s="8">
        <v>-1.474</v>
      </c>
      <c r="F18" s="8">
        <v>-2.185</v>
      </c>
      <c r="G18" s="8">
        <v>-0.28400000000000003</v>
      </c>
      <c r="H18" s="8">
        <v>-1.732</v>
      </c>
      <c r="I18" s="8">
        <v>-0.28400000000000003</v>
      </c>
      <c r="J18" s="9">
        <f>F18+I18-H18</f>
        <v>-0.7370000000000003</v>
      </c>
      <c r="K18" s="1"/>
      <c r="L18" t="s" s="5">
        <v>154</v>
      </c>
    </row>
    <row r="19">
      <c r="A19" s="1"/>
      <c r="B19" t="s" s="13">
        <v>115</v>
      </c>
      <c r="C19" s="8">
        <v>0</v>
      </c>
      <c r="D19" s="8">
        <v>0</v>
      </c>
      <c r="E19" s="8">
        <v>-0.089</v>
      </c>
      <c r="F19" s="8">
        <v>-0.035</v>
      </c>
      <c r="G19" s="8">
        <v>-0.112</v>
      </c>
      <c r="H19" s="8">
        <v>0.024</v>
      </c>
      <c r="I19" s="8">
        <v>-0.112</v>
      </c>
      <c r="J19" s="9">
        <f>F19+I19-H19</f>
        <v>-0.171</v>
      </c>
      <c r="K19" s="1"/>
      <c r="L19" t="s" s="5">
        <v>154</v>
      </c>
    </row>
    <row r="20">
      <c r="A20" s="1"/>
      <c r="B20" t="s" s="13">
        <v>56</v>
      </c>
      <c r="C20" s="8">
        <v>-17.308</v>
      </c>
      <c r="D20" s="8">
        <v>-19.098</v>
      </c>
      <c r="E20" s="8">
        <v>-19.298000000000002</v>
      </c>
      <c r="F20" s="8">
        <v>-13.648</v>
      </c>
      <c r="G20" s="8">
        <v>-11.148</v>
      </c>
      <c r="H20" s="8">
        <v>-7.875</v>
      </c>
      <c r="I20" s="8">
        <v>5.574</v>
      </c>
      <c r="J20" s="9">
        <f>F20+I20-H20</f>
        <v>-0.19899999999999984</v>
      </c>
      <c r="K20" s="1"/>
      <c r="L20" t="s" s="5">
        <v>154</v>
      </c>
    </row>
    <row r="21">
      <c r="A21" s="1"/>
      <c r="B21" t="s" s="13">
        <v>116</v>
      </c>
      <c r="C21" s="8">
        <v>-13.136000000000001</v>
      </c>
      <c r="D21" s="8">
        <v>-4.956</v>
      </c>
      <c r="E21" s="8">
        <v>1.151</v>
      </c>
      <c r="F21" s="8">
        <v>5.627</v>
      </c>
      <c r="G21" s="8">
        <v>-11.159</v>
      </c>
      <c r="H21" s="8">
        <v>2.561</v>
      </c>
      <c r="I21" s="8">
        <v>-8.620000000000001</v>
      </c>
      <c r="J21" s="9">
        <f>F21+I21-H21</f>
        <v>-5.554000000000001</v>
      </c>
      <c r="K21" s="1"/>
      <c r="L21" t="s" s="5">
        <v>154</v>
      </c>
    </row>
    <row r="22">
      <c r="A22" s="1"/>
      <c r="B22" t="s" s="13">
        <v>117</v>
      </c>
      <c r="C22" s="8">
        <v>-5.1610000000000005</v>
      </c>
      <c r="D22" s="8">
        <v>-5.845</v>
      </c>
      <c r="E22" s="8">
        <v>-5.067</v>
      </c>
      <c r="F22" s="8">
        <v>-6.242</v>
      </c>
      <c r="G22" s="8">
        <v>-17.036</v>
      </c>
      <c r="H22" s="8">
        <v>-3.416</v>
      </c>
      <c r="I22" s="8">
        <v>-8.711</v>
      </c>
      <c r="J22" s="9">
        <f>F22+I22-H22</f>
        <v>-11.536999999999999</v>
      </c>
      <c r="K22" s="1"/>
      <c r="L22" t="s" s="5">
        <v>154</v>
      </c>
    </row>
    <row r="23">
      <c r="A23" s="1"/>
      <c r="B23" t="s" s="13">
        <v>70</v>
      </c>
      <c r="C23" s="8">
        <v>0.361</v>
      </c>
      <c r="D23" s="8">
        <v>1.609</v>
      </c>
      <c r="E23" s="8">
        <v>-0.115</v>
      </c>
      <c r="F23" s="8">
        <v>0.269</v>
      </c>
      <c r="G23" s="8">
        <v>-1.341</v>
      </c>
      <c r="H23" s="8">
        <v>1.586</v>
      </c>
      <c r="I23" s="8">
        <v>-1.965</v>
      </c>
      <c r="J23" s="9">
        <f>F23+I23-H23</f>
        <v>-3.282</v>
      </c>
      <c r="K23" s="1"/>
      <c r="L23" t="s" s="5">
        <v>154</v>
      </c>
    </row>
    <row r="24">
      <c r="A24" s="1"/>
      <c r="B24" t="s" s="13">
        <v>118</v>
      </c>
      <c r="C24" s="8">
        <v>-8.05</v>
      </c>
      <c r="D24" s="8">
        <v>0.20700000000000002</v>
      </c>
      <c r="E24" s="8">
        <v>1.204</v>
      </c>
      <c r="F24" s="8">
        <v>11.693</v>
      </c>
      <c r="G24" s="8">
        <v>22.449</v>
      </c>
      <c r="H24" s="8">
        <v>3.763</v>
      </c>
      <c r="I24" s="8">
        <v>-6.15</v>
      </c>
      <c r="J24" s="9">
        <f>F24+I24-H24</f>
        <v>1.7799999999999994</v>
      </c>
      <c r="K24" s="1"/>
      <c r="L24" t="s" s="5">
        <v>154</v>
      </c>
    </row>
    <row r="25">
      <c r="A25" s="1"/>
      <c r="B25" t="s" s="13">
        <v>75</v>
      </c>
      <c r="C25" s="8">
        <v>0</v>
      </c>
      <c r="D25" s="8">
        <v>12.200000000000001</v>
      </c>
      <c r="E25" s="8">
        <v>6</v>
      </c>
      <c r="F25" s="8">
        <v>-18.859</v>
      </c>
      <c r="G25" s="8">
        <v>-0.035</v>
      </c>
      <c r="H25" s="8">
        <v>9.934000000000001</v>
      </c>
      <c r="I25" s="8">
        <v>-0.035</v>
      </c>
      <c r="J25" s="9">
        <f>F25+I25-H25</f>
        <v>-28.828000000000003</v>
      </c>
      <c r="K25" s="1"/>
      <c r="L25" t="s" s="5">
        <v>154</v>
      </c>
    </row>
    <row r="26">
      <c r="A26" s="1"/>
      <c r="B26" t="s" s="13">
        <v>79</v>
      </c>
      <c r="C26" s="4"/>
      <c r="D26" s="4"/>
      <c r="E26" s="8">
        <v>0</v>
      </c>
      <c r="F26" s="8">
        <v>0</v>
      </c>
      <c r="G26" s="8">
        <v>0.463</v>
      </c>
      <c r="H26" s="8">
        <v>0</v>
      </c>
      <c r="I26" s="8">
        <v>-1.091</v>
      </c>
      <c r="J26" s="9">
        <f>F26+I26-H26</f>
        <v>-1.091</v>
      </c>
      <c r="K26" s="1"/>
      <c r="L26" t="s" s="5">
        <v>156</v>
      </c>
    </row>
    <row r="27">
      <c r="A27" s="1"/>
      <c r="B27" t="s" s="10">
        <v>119</v>
      </c>
      <c r="C27" s="12">
        <f>SUM(C9:C26)</f>
        <v>3.3579999999999828</v>
      </c>
      <c r="D27" s="12">
        <f>SUM(D9:D26)</f>
        <v>58.004999999999995</v>
      </c>
      <c r="E27" s="12">
        <f>SUM(E9:E26)</f>
        <v>84.60199999999998</v>
      </c>
      <c r="F27" s="12">
        <f>SUM(F9:F26)</f>
        <v>74.32099999999997</v>
      </c>
      <c r="G27" s="12">
        <f>SUM(G9:G26)</f>
        <v>175.896</v>
      </c>
      <c r="H27" s="12">
        <f>SUM(H9:H26)</f>
        <v>103.52000000000002</v>
      </c>
      <c r="I27" s="12">
        <f>SUM(I9:I26)</f>
        <v>120.56500000000007</v>
      </c>
      <c r="J27" s="12">
        <f>SUM(J9:J26)</f>
        <v>91.36599999999996</v>
      </c>
      <c r="K27" s="1"/>
      <c r="L27" t="s" s="5">
        <v>46</v>
      </c>
    </row>
    <row r="28">
      <c r="A28" s="1"/>
      <c r="B28" s="1"/>
      <c r="C28" s="4"/>
      <c r="D28" s="4"/>
      <c r="E28" s="4"/>
      <c r="F28" s="4"/>
      <c r="G28" s="4"/>
      <c r="H28" s="4"/>
      <c r="I28" s="4"/>
      <c r="J28" s="4"/>
      <c r="K28" s="1"/>
      <c r="L28" s="5"/>
    </row>
    <row r="29">
      <c r="A29" s="1"/>
      <c r="B29" t="s" s="6">
        <v>120</v>
      </c>
      <c r="C29" s="7"/>
      <c r="D29" s="7"/>
      <c r="E29" s="7"/>
      <c r="F29" s="7"/>
      <c r="G29" s="7"/>
      <c r="H29" s="7"/>
      <c r="I29" s="7"/>
      <c r="J29" s="7"/>
      <c r="K29" s="1"/>
      <c r="L29" s="5"/>
    </row>
    <row r="30">
      <c r="A30" s="1"/>
      <c r="B30" t="s" s="13">
        <v>121</v>
      </c>
      <c r="C30" s="8">
        <v>-5.025</v>
      </c>
      <c r="D30" s="8">
        <v>-7.758</v>
      </c>
      <c r="E30" s="8">
        <v>-5.6240000000000006</v>
      </c>
      <c r="F30" s="8">
        <v>-5.259</v>
      </c>
      <c r="G30" s="8">
        <v>-11.554</v>
      </c>
      <c r="H30" s="8">
        <v>-4.437</v>
      </c>
      <c r="I30" s="8">
        <v>-8.512</v>
      </c>
      <c r="J30" s="9">
        <f>F30+I30-H30</f>
        <v>-9.334</v>
      </c>
      <c r="K30" s="1"/>
      <c r="L30" t="s" s="5">
        <v>154</v>
      </c>
    </row>
    <row r="31">
      <c r="A31" s="1"/>
      <c r="B31" t="s" s="13">
        <v>122</v>
      </c>
      <c r="C31" s="4"/>
      <c r="D31" s="4"/>
      <c r="E31" s="8">
        <v>0</v>
      </c>
      <c r="F31" s="8">
        <v>0</v>
      </c>
      <c r="G31" s="8">
        <v>-10.239</v>
      </c>
      <c r="H31" s="8">
        <v>0</v>
      </c>
      <c r="I31" s="8">
        <v>-0.23900000000000002</v>
      </c>
      <c r="J31" s="9">
        <f>F31+I31-H31</f>
        <v>-0.23900000000000002</v>
      </c>
      <c r="K31" s="1"/>
      <c r="L31" t="s" s="5">
        <v>156</v>
      </c>
    </row>
    <row r="32">
      <c r="A32" s="1"/>
      <c r="B32" t="s" s="13">
        <v>123</v>
      </c>
      <c r="C32" s="8">
        <v>0</v>
      </c>
      <c r="D32" s="8">
        <v>-3</v>
      </c>
      <c r="E32" s="8">
        <v>-3.004</v>
      </c>
      <c r="F32" s="8">
        <v>-3.009</v>
      </c>
      <c r="G32" s="8">
        <v>-4.686</v>
      </c>
      <c r="H32" s="8">
        <v>-3.009</v>
      </c>
      <c r="I32" s="8">
        <v>-4.686</v>
      </c>
      <c r="J32" s="9">
        <f>F32+I32-H32</f>
        <v>-4.686</v>
      </c>
      <c r="K32" s="1"/>
      <c r="L32" t="s" s="5">
        <v>154</v>
      </c>
    </row>
    <row r="33">
      <c r="A33" s="1"/>
      <c r="B33" t="s" s="13">
        <v>124</v>
      </c>
      <c r="C33" s="8">
        <v>0</v>
      </c>
      <c r="D33" s="8">
        <v>0</v>
      </c>
      <c r="E33" s="8">
        <v>-124.178</v>
      </c>
      <c r="F33" s="8">
        <v>-114.572</v>
      </c>
      <c r="G33" s="8">
        <v>0</v>
      </c>
      <c r="H33" s="8">
        <v>-93.968</v>
      </c>
      <c r="I33" s="8">
        <v>0</v>
      </c>
      <c r="J33" s="9">
        <f>F33+I33-H33</f>
        <v>-20.604</v>
      </c>
      <c r="K33" s="1"/>
      <c r="L33" t="s" s="5">
        <v>154</v>
      </c>
    </row>
    <row r="34">
      <c r="A34" s="1"/>
      <c r="B34" t="s" s="13">
        <v>125</v>
      </c>
      <c r="C34" s="8">
        <v>0</v>
      </c>
      <c r="D34" s="8">
        <v>0</v>
      </c>
      <c r="E34" s="8">
        <v>5.95</v>
      </c>
      <c r="F34" s="8">
        <v>0</v>
      </c>
      <c r="G34" s="8">
        <v>89.479</v>
      </c>
      <c r="H34" s="8">
        <v>0</v>
      </c>
      <c r="I34" s="8">
        <v>89.479</v>
      </c>
      <c r="J34" s="9">
        <f>F34+I34-H34</f>
        <v>89.479</v>
      </c>
      <c r="K34" s="1"/>
      <c r="L34" t="s" s="5">
        <v>154</v>
      </c>
    </row>
    <row r="35">
      <c r="A35" s="1"/>
      <c r="B35" t="s" s="13">
        <v>126</v>
      </c>
      <c r="C35" s="8">
        <v>0</v>
      </c>
      <c r="D35" s="8">
        <v>0</v>
      </c>
      <c r="E35" s="8">
        <v>31.801000000000002</v>
      </c>
      <c r="F35" s="8">
        <v>107.417</v>
      </c>
      <c r="G35" s="8">
        <v>23.716</v>
      </c>
      <c r="H35" s="8">
        <v>86.867</v>
      </c>
      <c r="I35" s="8">
        <v>20.375</v>
      </c>
      <c r="J35" s="9">
        <f>F35+I35-H35</f>
        <v>40.925</v>
      </c>
      <c r="K35" s="1"/>
      <c r="L35" t="s" s="5">
        <v>154</v>
      </c>
    </row>
    <row r="36">
      <c r="A36" s="1"/>
      <c r="B36" t="s" s="13">
        <v>127</v>
      </c>
      <c r="C36" s="8">
        <v>0</v>
      </c>
      <c r="D36" s="8">
        <v>-65.793</v>
      </c>
      <c r="E36" s="8">
        <v>0</v>
      </c>
      <c r="F36" s="8">
        <v>-40.121</v>
      </c>
      <c r="G36" s="8">
        <v>-1074.7540000000001</v>
      </c>
      <c r="H36" s="8">
        <v>-40.121</v>
      </c>
      <c r="I36" s="8">
        <v>-1074.7830000000001</v>
      </c>
      <c r="J36" s="9">
        <f>F36+I36-H36</f>
        <v>-1074.7830000000001</v>
      </c>
      <c r="K36" s="1"/>
      <c r="L36" t="s" s="5">
        <v>154</v>
      </c>
    </row>
    <row r="37">
      <c r="A37" s="1"/>
      <c r="B37" t="s" s="13">
        <v>128</v>
      </c>
      <c r="C37" s="4"/>
      <c r="D37" s="4"/>
      <c r="E37" s="4"/>
      <c r="F37" s="4"/>
      <c r="G37" s="4"/>
      <c r="H37" s="8">
        <v>0</v>
      </c>
      <c r="I37" s="8">
        <v>-10</v>
      </c>
      <c r="J37" s="9">
        <f>F37+I37-H37</f>
        <v>-10</v>
      </c>
      <c r="K37" s="1"/>
      <c r="L37" t="s" s="5">
        <v>157</v>
      </c>
    </row>
    <row r="38">
      <c r="A38" s="1"/>
      <c r="B38" t="s" s="13">
        <v>129</v>
      </c>
      <c r="C38" s="4"/>
      <c r="D38" s="4"/>
      <c r="E38" s="8">
        <v>0</v>
      </c>
      <c r="F38" s="8">
        <v>-0.10400000000000001</v>
      </c>
      <c r="G38" s="8">
        <v>-0.089</v>
      </c>
      <c r="H38" s="8">
        <v>-0.10400000000000001</v>
      </c>
      <c r="I38" s="8">
        <v>-0.089</v>
      </c>
      <c r="J38" s="9">
        <f>F38+I38-H38</f>
        <v>-0.089</v>
      </c>
      <c r="K38" s="1"/>
      <c r="L38" t="s" s="5">
        <v>156</v>
      </c>
    </row>
    <row r="39">
      <c r="A39" s="1"/>
      <c r="B39" t="s" s="10">
        <v>130</v>
      </c>
      <c r="C39" s="12">
        <f>SUM(C30:C38)</f>
        <v>-5.025</v>
      </c>
      <c r="D39" s="12">
        <f>SUM(D30:D38)</f>
        <v>-76.551</v>
      </c>
      <c r="E39" s="12">
        <f>SUM(E30:E38)</f>
        <v>-95.05499999999998</v>
      </c>
      <c r="F39" s="12">
        <f>SUM(F30:F38)</f>
        <v>-55.648</v>
      </c>
      <c r="G39" s="12">
        <f>SUM(G30:G38)</f>
        <v>-988.1270000000002</v>
      </c>
      <c r="H39" s="12">
        <f>SUM(H30:H38)</f>
        <v>-54.772</v>
      </c>
      <c r="I39" s="12">
        <f>SUM(I30:I38)</f>
        <v>-988.4550000000002</v>
      </c>
      <c r="J39" s="12">
        <f>SUM(J30:J38)</f>
        <v>-989.3310000000002</v>
      </c>
      <c r="K39" s="1"/>
      <c r="L39" t="s" s="5">
        <v>46</v>
      </c>
    </row>
    <row r="40">
      <c r="A40" s="1"/>
      <c r="B40" s="1"/>
      <c r="C40" s="4"/>
      <c r="D40" s="4"/>
      <c r="E40" s="4"/>
      <c r="F40" s="4"/>
      <c r="G40" s="4"/>
      <c r="H40" s="4"/>
      <c r="I40" s="4"/>
      <c r="J40" s="4"/>
      <c r="K40" s="1"/>
      <c r="L40" s="5"/>
    </row>
    <row r="41">
      <c r="A41" s="1"/>
      <c r="B41" t="s" s="6">
        <v>131</v>
      </c>
      <c r="C41" s="7"/>
      <c r="D41" s="7"/>
      <c r="E41" s="7"/>
      <c r="F41" s="7"/>
      <c r="G41" s="7"/>
      <c r="H41" s="7"/>
      <c r="I41" s="7"/>
      <c r="J41" s="7"/>
      <c r="K41" s="1"/>
      <c r="L41" s="5"/>
    </row>
    <row r="42">
      <c r="A42" s="1"/>
      <c r="B42" t="s" s="13">
        <v>132</v>
      </c>
      <c r="C42" s="8">
        <v>1.56</v>
      </c>
      <c r="D42" s="8">
        <v>0</v>
      </c>
      <c r="E42" s="4"/>
      <c r="F42" s="4"/>
      <c r="G42" s="4"/>
      <c r="H42" s="4"/>
      <c r="I42" s="4"/>
      <c r="J42" s="9">
        <f>F42+I42-H42</f>
        <v>0</v>
      </c>
      <c r="K42" s="1"/>
      <c r="L42" t="s" s="5">
        <v>158</v>
      </c>
    </row>
    <row r="43">
      <c r="A43" s="1"/>
      <c r="B43" t="s" s="13">
        <v>133</v>
      </c>
      <c r="C43" s="8">
        <v>2.83</v>
      </c>
      <c r="D43" s="8">
        <v>18.284</v>
      </c>
      <c r="E43" s="8">
        <v>4.738</v>
      </c>
      <c r="F43" s="8">
        <v>0.248</v>
      </c>
      <c r="G43" s="8">
        <v>0.168</v>
      </c>
      <c r="H43" s="8">
        <v>0.21</v>
      </c>
      <c r="I43" s="8">
        <v>0.168</v>
      </c>
      <c r="J43" s="9">
        <f>F43+I43-H43</f>
        <v>0.20600000000000004</v>
      </c>
      <c r="K43" s="1"/>
      <c r="L43" t="s" s="5">
        <v>154</v>
      </c>
    </row>
    <row r="44">
      <c r="A44" s="1"/>
      <c r="B44" t="s" s="13">
        <v>134</v>
      </c>
      <c r="C44" s="8">
        <v>-2.185</v>
      </c>
      <c r="D44" s="8">
        <v>-3.189</v>
      </c>
      <c r="E44" s="8">
        <v>-20.784</v>
      </c>
      <c r="F44" s="8">
        <v>-55.301</v>
      </c>
      <c r="G44" s="8">
        <v>-33.749</v>
      </c>
      <c r="H44" s="8">
        <v>-42.663000000000004</v>
      </c>
      <c r="I44" s="8">
        <v>-32.232</v>
      </c>
      <c r="J44" s="9">
        <f>F44+I44-H44</f>
        <v>-44.87</v>
      </c>
      <c r="K44" s="1"/>
      <c r="L44" t="s" s="5">
        <v>154</v>
      </c>
    </row>
    <row r="45">
      <c r="A45" s="1"/>
      <c r="B45" t="s" s="13">
        <v>135</v>
      </c>
      <c r="C45" s="8">
        <v>-0.626</v>
      </c>
      <c r="D45" s="8">
        <v>0</v>
      </c>
      <c r="E45" s="8">
        <v>0</v>
      </c>
      <c r="F45" s="8">
        <v>0</v>
      </c>
      <c r="G45" s="8">
        <v>-18.054000000000002</v>
      </c>
      <c r="H45" s="8">
        <v>0</v>
      </c>
      <c r="I45" s="8">
        <v>-8.503</v>
      </c>
      <c r="J45" s="9">
        <f>F45+I45-H45</f>
        <v>-8.503</v>
      </c>
      <c r="K45" s="1"/>
      <c r="L45" t="s" s="5">
        <v>154</v>
      </c>
    </row>
    <row r="46">
      <c r="A46" s="1"/>
      <c r="B46" t="s" s="13">
        <v>136</v>
      </c>
      <c r="C46" s="8">
        <v>0</v>
      </c>
      <c r="D46" s="8">
        <v>4.215</v>
      </c>
      <c r="E46" s="8">
        <v>4.588</v>
      </c>
      <c r="F46" s="8">
        <v>4.6930000000000005</v>
      </c>
      <c r="G46" s="8">
        <v>6.636</v>
      </c>
      <c r="H46" s="8">
        <v>2.795</v>
      </c>
      <c r="I46" s="8">
        <v>3.3160000000000003</v>
      </c>
      <c r="J46" s="9">
        <f>F46+I46-H46</f>
        <v>5.214</v>
      </c>
      <c r="K46" s="1"/>
      <c r="L46" t="s" s="5">
        <v>154</v>
      </c>
    </row>
    <row r="47">
      <c r="A47" s="1"/>
      <c r="B47" t="s" s="13">
        <v>137</v>
      </c>
      <c r="C47" s="8">
        <v>55</v>
      </c>
      <c r="D47" s="8">
        <v>0</v>
      </c>
      <c r="E47" s="8">
        <v>0</v>
      </c>
      <c r="F47" s="8">
        <v>0</v>
      </c>
      <c r="G47" s="8">
        <v>924.475</v>
      </c>
      <c r="H47" s="8">
        <v>0</v>
      </c>
      <c r="I47" s="8">
        <v>924.475</v>
      </c>
      <c r="J47" s="9">
        <f>F47+I47-H47</f>
        <v>924.475</v>
      </c>
      <c r="K47" s="1"/>
      <c r="L47" t="s" s="5">
        <v>154</v>
      </c>
    </row>
    <row r="48">
      <c r="A48" s="1"/>
      <c r="B48" t="s" s="13">
        <v>138</v>
      </c>
      <c r="C48" s="8">
        <v>-1.4000000000000001</v>
      </c>
      <c r="D48" s="8">
        <v>0</v>
      </c>
      <c r="E48" s="4"/>
      <c r="F48" s="4"/>
      <c r="G48" s="4"/>
      <c r="H48" s="4"/>
      <c r="I48" s="4"/>
      <c r="J48" s="9">
        <f>F48+I48-H48</f>
        <v>0</v>
      </c>
      <c r="K48" s="1"/>
      <c r="L48" t="s" s="5">
        <v>158</v>
      </c>
    </row>
    <row r="49">
      <c r="A49" s="1"/>
      <c r="B49" t="s" s="13">
        <v>139</v>
      </c>
      <c r="C49" s="8">
        <v>-434.919</v>
      </c>
      <c r="D49" s="8">
        <v>-2.75</v>
      </c>
      <c r="E49" s="8">
        <v>-2.749</v>
      </c>
      <c r="F49" s="8">
        <v>-2.75</v>
      </c>
      <c r="G49" s="8">
        <v>-154.06300000000002</v>
      </c>
      <c r="H49" s="8">
        <v>-2.062</v>
      </c>
      <c r="I49" s="8">
        <v>-137.06300000000002</v>
      </c>
      <c r="J49" s="9">
        <f>F49+I49-H49</f>
        <v>-137.751</v>
      </c>
      <c r="K49" s="1"/>
      <c r="L49" t="s" s="5">
        <v>154</v>
      </c>
    </row>
    <row r="50">
      <c r="A50" s="1"/>
      <c r="B50" t="s" s="13">
        <v>140</v>
      </c>
      <c r="C50" s="8">
        <v>-2.029</v>
      </c>
      <c r="D50" s="8">
        <v>0</v>
      </c>
      <c r="E50" s="4"/>
      <c r="F50" s="4"/>
      <c r="G50" s="4"/>
      <c r="H50" s="4"/>
      <c r="I50" s="4"/>
      <c r="J50" s="9">
        <f>F50+I50-H50</f>
        <v>0</v>
      </c>
      <c r="K50" s="1"/>
      <c r="L50" t="s" s="5">
        <v>158</v>
      </c>
    </row>
    <row r="51">
      <c r="A51" s="1"/>
      <c r="B51" t="s" s="13">
        <v>141</v>
      </c>
      <c r="C51" s="8">
        <v>582.188</v>
      </c>
      <c r="D51" s="8">
        <v>0</v>
      </c>
      <c r="E51" s="4"/>
      <c r="F51" s="4"/>
      <c r="G51" s="4"/>
      <c r="H51" s="4"/>
      <c r="I51" s="4"/>
      <c r="J51" s="9">
        <f>F51+I51-H51</f>
        <v>0</v>
      </c>
      <c r="K51" s="1"/>
      <c r="L51" t="s" s="5">
        <v>158</v>
      </c>
    </row>
    <row r="52">
      <c r="A52" s="1"/>
      <c r="B52" t="s" s="13">
        <v>142</v>
      </c>
      <c r="C52" s="8">
        <v>-5.131</v>
      </c>
      <c r="D52" s="8">
        <v>-0.214</v>
      </c>
      <c r="E52" s="4"/>
      <c r="F52" s="4"/>
      <c r="G52" s="4"/>
      <c r="H52" s="4"/>
      <c r="I52" s="4"/>
      <c r="J52" s="9">
        <f>F52+I52-H52</f>
        <v>0</v>
      </c>
      <c r="K52" s="1"/>
      <c r="L52" t="s" s="5">
        <v>158</v>
      </c>
    </row>
    <row r="53">
      <c r="A53" s="1"/>
      <c r="B53" t="s" s="13">
        <v>143</v>
      </c>
      <c r="C53" s="8">
        <v>0</v>
      </c>
      <c r="D53" s="8">
        <v>-0.117</v>
      </c>
      <c r="E53" s="8">
        <v>-2.184</v>
      </c>
      <c r="F53" s="8">
        <v>-3.873</v>
      </c>
      <c r="G53" s="8">
        <v>0</v>
      </c>
      <c r="H53" s="8">
        <v>-0.025</v>
      </c>
      <c r="I53" s="8">
        <v>0</v>
      </c>
      <c r="J53" s="9">
        <f>F53+I53-H53</f>
        <v>-3.8480000000000003</v>
      </c>
      <c r="K53" s="1"/>
      <c r="L53" t="s" s="5">
        <v>154</v>
      </c>
    </row>
    <row r="54">
      <c r="A54" s="1"/>
      <c r="B54" t="s" s="13">
        <v>144</v>
      </c>
      <c r="C54" s="8">
        <v>0</v>
      </c>
      <c r="D54" s="8">
        <v>0</v>
      </c>
      <c r="E54" s="8">
        <v>-2.9</v>
      </c>
      <c r="F54" s="8">
        <v>-4.6850000000000005</v>
      </c>
      <c r="G54" s="8">
        <v>0</v>
      </c>
      <c r="H54" s="8">
        <v>-0.78</v>
      </c>
      <c r="I54" s="8">
        <v>0</v>
      </c>
      <c r="J54" s="9">
        <f>F54+I54-H54</f>
        <v>-3.9050000000000002</v>
      </c>
      <c r="K54" s="1"/>
      <c r="L54" t="s" s="5">
        <v>154</v>
      </c>
    </row>
    <row r="55">
      <c r="A55" s="1"/>
      <c r="B55" t="s" s="10">
        <v>145</v>
      </c>
      <c r="C55" s="12">
        <f>SUM(C42:C54)</f>
        <v>195.28799999999998</v>
      </c>
      <c r="D55" s="12">
        <f>SUM(D42:D54)</f>
        <v>16.229</v>
      </c>
      <c r="E55" s="12">
        <f>SUM(E42:E54)</f>
        <v>-19.290999999999997</v>
      </c>
      <c r="F55" s="12">
        <f>SUM(F42:F54)</f>
        <v>-61.668000000000006</v>
      </c>
      <c r="G55" s="12">
        <f>SUM(G42:G54)</f>
        <v>725.413</v>
      </c>
      <c r="H55" s="12">
        <f>SUM(H42:H54)</f>
        <v>-42.525</v>
      </c>
      <c r="I55" s="12">
        <f>SUM(I42:I54)</f>
        <v>750.1610000000001</v>
      </c>
      <c r="J55" s="12">
        <f>SUM(J42:J54)</f>
        <v>731.0180000000001</v>
      </c>
      <c r="K55" s="1"/>
      <c r="L55" t="s" s="5">
        <v>46</v>
      </c>
    </row>
    <row r="56">
      <c r="A56" s="1"/>
      <c r="B56" s="1"/>
      <c r="C56" s="4"/>
      <c r="D56" s="4"/>
      <c r="E56" s="4"/>
      <c r="F56" s="4"/>
      <c r="G56" s="4"/>
      <c r="H56" s="4"/>
      <c r="I56" s="4"/>
      <c r="J56" s="4"/>
      <c r="K56" s="1"/>
      <c r="L56" s="5"/>
    </row>
    <row r="57">
      <c r="A57" s="1"/>
      <c r="B57" t="s" s="13">
        <v>146</v>
      </c>
      <c r="C57" s="8">
        <v>-0.112</v>
      </c>
      <c r="D57" s="8">
        <v>-1.556</v>
      </c>
      <c r="E57" s="8">
        <v>0.785</v>
      </c>
      <c r="F57" s="8">
        <v>-1.42</v>
      </c>
      <c r="G57" s="8">
        <v>0.713</v>
      </c>
      <c r="H57" s="8">
        <v>0.706</v>
      </c>
      <c r="I57" s="8">
        <v>1.129</v>
      </c>
      <c r="J57" s="9">
        <f>F57+I57-H57</f>
        <v>-0.9969999999999999</v>
      </c>
      <c r="K57" s="1"/>
      <c r="L57" t="s" s="5">
        <v>154</v>
      </c>
    </row>
    <row r="58">
      <c r="A58" s="1"/>
      <c r="B58" t="s" s="10">
        <v>147</v>
      </c>
      <c r="C58" s="12">
        <f>C27+C39+C55+C57</f>
        <v>193.50899999999996</v>
      </c>
      <c r="D58" s="12">
        <f>D27+D39+D55+D57</f>
        <v>-3.8730000000000073</v>
      </c>
      <c r="E58" s="12">
        <f>E27+E39+E55+E57</f>
        <v>-28.959</v>
      </c>
      <c r="F58" s="12">
        <f>F27+F39+F55+F57</f>
        <v>-44.41500000000004</v>
      </c>
      <c r="G58" s="12">
        <f>G27+G39+G55+G57</f>
        <v>-86.10500000000022</v>
      </c>
      <c r="H58" s="12">
        <f>H27+H39+H55+H57</f>
        <v>6.929000000000027</v>
      </c>
      <c r="I58" s="12">
        <f>I27+I39+I55+I57</f>
        <v>-116.60000000000004</v>
      </c>
      <c r="J58" s="12">
        <f>J27+J39+J55+J57</f>
        <v>-167.94400000000013</v>
      </c>
      <c r="K58" s="1"/>
      <c r="L58" t="s" s="5">
        <v>46</v>
      </c>
    </row>
    <row r="59">
      <c r="A59" s="1"/>
      <c r="B59" t="s" s="13">
        <v>148</v>
      </c>
      <c r="C59" s="8">
        <v>61.088</v>
      </c>
      <c r="D59" s="26">
        <f>BS!C9</f>
        <v>254.597</v>
      </c>
      <c r="E59" s="26">
        <f>BS!D9</f>
        <v>250.72400000000002</v>
      </c>
      <c r="F59" s="26">
        <f>BS!E9</f>
        <v>221.76500000000001</v>
      </c>
      <c r="G59" s="26">
        <f>BS!F9</f>
        <v>177.35</v>
      </c>
      <c r="H59" s="26">
        <f>BS!E9</f>
        <v>221.76500000000001</v>
      </c>
      <c r="I59" s="26">
        <f>BS!F9</f>
        <v>177.35</v>
      </c>
      <c r="J59" s="4"/>
      <c r="K59" s="1"/>
      <c r="L59" t="s" s="5">
        <v>159</v>
      </c>
    </row>
    <row r="60">
      <c r="A60" s="1"/>
      <c r="B60" t="s" s="10">
        <v>149</v>
      </c>
      <c r="C60" s="12">
        <f>C58+C59</f>
        <v>254.59699999999995</v>
      </c>
      <c r="D60" s="12">
        <f>D58+D59</f>
        <v>250.724</v>
      </c>
      <c r="E60" s="12">
        <f>E58+E59</f>
        <v>221.76500000000001</v>
      </c>
      <c r="F60" s="12">
        <f>F58+F59</f>
        <v>177.34999999999997</v>
      </c>
      <c r="G60" s="12">
        <f>G58+G59</f>
        <v>91.24499999999978</v>
      </c>
      <c r="H60" s="12">
        <f>H58+H59</f>
        <v>228.69400000000005</v>
      </c>
      <c r="I60" s="12">
        <f>I58+I59</f>
        <v>60.74999999999996</v>
      </c>
      <c r="J60" s="27"/>
      <c r="K60" s="1"/>
      <c r="L60" t="s" s="5">
        <v>46</v>
      </c>
    </row>
    <row r="61">
      <c r="A61" s="1"/>
      <c r="B61" t="s" s="13">
        <v>150</v>
      </c>
      <c r="C61" s="26">
        <f>BS!C9</f>
        <v>254.597</v>
      </c>
      <c r="D61" s="26">
        <f>BS!D9</f>
        <v>250.72400000000002</v>
      </c>
      <c r="E61" s="26">
        <f>BS!E9</f>
        <v>221.76500000000001</v>
      </c>
      <c r="F61" s="26">
        <f>BS!F9</f>
        <v>177.35</v>
      </c>
      <c r="G61" s="26">
        <f>BS!G9</f>
        <v>91.245</v>
      </c>
      <c r="H61" s="8">
        <v>228.69400000000002</v>
      </c>
      <c r="I61" s="26">
        <f>BS!H9</f>
        <v>60.75</v>
      </c>
      <c r="J61" s="4"/>
      <c r="K61" s="1"/>
      <c r="L61" t="s" s="5">
        <v>160</v>
      </c>
    </row>
    <row r="62">
      <c r="A62" s="1"/>
      <c r="B62" t="s" s="16">
        <v>39</v>
      </c>
      <c r="C62" s="18">
        <f>ROUND(C60-C61,3)</f>
        <v>0</v>
      </c>
      <c r="D62" s="18">
        <f>ROUND(D60-D61,3)</f>
        <v>0</v>
      </c>
      <c r="E62" s="18">
        <f>ROUND(E60-E61,3)</f>
        <v>0</v>
      </c>
      <c r="F62" s="18">
        <f>ROUND(F60-F61,3)</f>
        <v>0</v>
      </c>
      <c r="G62" s="18">
        <f>ROUND(G60-G61,3)</f>
        <v>0</v>
      </c>
      <c r="H62" s="18">
        <f>ROUND(H60-H61,3)</f>
        <v>0</v>
      </c>
      <c r="I62" s="18">
        <f>ROUND(I60-I61,3)</f>
        <v>0</v>
      </c>
      <c r="J62" s="28"/>
      <c r="K62" s="1"/>
      <c r="L62" s="5"/>
    </row>
    <row r="63">
      <c r="A63" s="1"/>
      <c r="B63" s="1"/>
      <c r="C63" s="4"/>
      <c r="D63" s="4"/>
      <c r="E63" s="4"/>
      <c r="F63" s="4"/>
      <c r="G63" s="4"/>
      <c r="H63" s="4"/>
      <c r="I63" s="4"/>
      <c r="J63" s="4"/>
      <c r="K63" s="1"/>
      <c r="L63" s="5"/>
    </row>
    <row r="64">
      <c r="A64" s="1"/>
      <c r="B64" t="s" s="6">
        <v>93</v>
      </c>
      <c r="C64" s="7"/>
      <c r="D64" s="7"/>
      <c r="E64" s="7"/>
      <c r="F64" s="7"/>
      <c r="G64" s="7"/>
      <c r="H64" s="7"/>
      <c r="I64" s="7"/>
      <c r="J64" s="7"/>
      <c r="K64" s="1"/>
      <c r="L64" s="5"/>
    </row>
    <row r="65">
      <c r="A65" s="1"/>
      <c r="B65" t="s" s="13">
        <v>151</v>
      </c>
      <c r="C65" s="8">
        <v>26.113</v>
      </c>
      <c r="D65" s="8">
        <v>1.395</v>
      </c>
      <c r="E65" s="8">
        <v>3.454</v>
      </c>
      <c r="F65" s="8">
        <v>3.464</v>
      </c>
      <c r="G65" s="8">
        <v>31.142</v>
      </c>
      <c r="H65" s="8">
        <v>2.6270000000000002</v>
      </c>
      <c r="I65" s="8">
        <v>16.892</v>
      </c>
      <c r="J65" s="9">
        <f>F65+I65-H65</f>
        <v>17.729</v>
      </c>
      <c r="K65" s="1"/>
      <c r="L65" t="s" s="5">
        <v>161</v>
      </c>
    </row>
    <row r="66">
      <c r="A66" s="1"/>
      <c r="B66" t="s" s="13">
        <v>152</v>
      </c>
      <c r="C66" s="8">
        <v>0.802</v>
      </c>
      <c r="D66" s="8">
        <v>2.044</v>
      </c>
      <c r="E66" s="8">
        <v>2.432</v>
      </c>
      <c r="F66" s="8">
        <v>1.979</v>
      </c>
      <c r="G66" s="8">
        <v>3.486</v>
      </c>
      <c r="H66" s="8">
        <v>1.179</v>
      </c>
      <c r="I66" s="8">
        <v>1.166</v>
      </c>
      <c r="J66" s="9">
        <f>F66+I66-H66</f>
        <v>1.966</v>
      </c>
      <c r="K66" s="1"/>
      <c r="L66" t="s" s="5">
        <v>161</v>
      </c>
    </row>
  </sheetData>
  <pageMargins left="0.7" right="0.7" top="0.75" bottom="0.75" header="0.3" footer="0.3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5"/>
  <sheetViews>
    <sheetView showGridLines="0" workbookViewId="0">
      <selection activeCell="A1" sqref="A1"/>
    </sheetView>
  </sheetViews>
  <cols>
    <col min="1" max="1" width="2" customWidth="1"/>
    <col min="2" max="2" width="54" customWidth="1"/>
    <col min="3" max="8" width="11" customWidth="1"/>
    <col min="9" max="9" width="2" customWidth="1"/>
    <col min="10" max="10" width="11" customWidth="1"/>
    <col min="11" max="11" width="2" customWidth="1"/>
    <col min="12" max="12" width="44" customWidth="1"/>
    <col min="13" max="13" width="2" customWidth="1"/>
    <col min="14" max="14" width="26" customWidth="1"/>
    <col min="15" max="19" width="9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t="s" s="2">
        <v>162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t="s" s="3">
        <v>163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t="str" s="3">
        <f>"&lt;&lt; Revenue grew from $"&amp;TEXT(C12,"#,##0")&amp;"m in FY2021 to $"&amp;TEXT(G12,"#,##0")&amp;"m in FY2025 ("&amp;TEXT(J12,"0.0%")&amp;" CAGR); stripping out Enfusion and Beacon, FY2025 organic growth was "&amp;TEXT(G19,"0.0%")&amp;" and organic ARR grew "&amp;TEXT(G27,"0.0%")&amp;"."</f>
        <v>&lt;&lt; Revenue grew from $252m in FY2021 to $731m in FY2025 (30.5% CAGR); stripping out Enfusion and Beacon, FY2025 organic growth was 18.8% and organic ARR grew 17.7%.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t="str" s="3">
        <f>"&lt;&lt; Adjusted EBITDA margin rose from "&amp;TEXT(C39,"0.0%")&amp;" to "&amp;TEXT(G39,"0.0%")&amp;", but SBC and payroll taxes were "&amp;TEXT(G47,"0.0%")&amp;" of FY2025 revenue and FCF was "&amp;TEXT(G59,"0%")&amp;" of Adjusted EBITDA ("&amp;TEXT(G61,"0%")&amp;" after net share settlement taxes)."</f>
        <v>&lt;&lt; Adjusted EBITDA margin rose from 28.8% to 33.9%, but SBC and payroll taxes were 18.4% of FY2025 revenue and FCF was 66% of Adjusted EBITDA (53% after net share settlement taxes).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>
      <c r="A6" s="1"/>
      <c r="B6" t="str" s="3">
        <f>"&lt;&lt; At $"&amp;TEXT(G115,"0.00")&amp;" per share the ~$"&amp;TEXT(G116/1000,"0.0")&amp;"bn transaction value is "&amp;TEXT(G119,"0.0")&amp;"x FY2025 Adjusted EBITDA and a "&amp;TEXT(G121,"0.0%")&amp;" FCF yield; net debt is "&amp;TEXT(G107,"0.0")&amp;"x Adjusted EBITDA after the 2025 acquisitions."</f>
        <v>&lt;&lt; At $24.55 per share the ~$8.4bn transaction value is 33.8x FY2025 Adjusted EBITDA and a 2.0% FCF yield; net debt is 2.9x Adjusted EBITDA after the 2025 acquisitions.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>
      <c r="A8" s="1"/>
      <c r="B8" s="1"/>
      <c r="C8" t="s" s="19">
        <v>40</v>
      </c>
      <c r="D8" s="19"/>
      <c r="E8" s="19"/>
      <c r="F8" s="19"/>
      <c r="G8" s="19"/>
      <c r="H8" t="s" s="19">
        <v>261</v>
      </c>
      <c r="I8" s="1"/>
      <c r="J8" t="s" s="19">
        <v>262</v>
      </c>
      <c r="K8" s="1"/>
      <c r="L8" s="24"/>
    </row>
    <row r="9">
      <c r="A9" s="1"/>
      <c r="B9" s="1"/>
      <c r="C9" s="20">
        <f>DATE(2021,12,31)</f>
        <v>44561</v>
      </c>
      <c r="D9" s="20">
        <f>DATE(2022,12,31)</f>
        <v>44926</v>
      </c>
      <c r="E9" s="20">
        <f>DATE(2023,12,31)</f>
        <v>45291</v>
      </c>
      <c r="F9" s="20">
        <f>DATE(2024,12,31)</f>
        <v>45657</v>
      </c>
      <c r="G9" s="20">
        <f>DATE(2025,12,31)</f>
        <v>46022</v>
      </c>
      <c r="H9" s="25">
        <f>DATE(2025,9,30)</f>
        <v>45930</v>
      </c>
      <c r="I9" s="1"/>
      <c r="J9" t="s" s="45">
        <v>263</v>
      </c>
      <c r="K9" s="1"/>
      <c r="L9" t="s" s="24">
        <v>264</v>
      </c>
    </row>
    <row r="10">
      <c r="A10" s="1"/>
      <c r="B10" s="1"/>
      <c r="C10" s="4"/>
      <c r="D10" s="4"/>
      <c r="E10" s="4"/>
      <c r="F10" s="4"/>
      <c r="G10" s="4"/>
      <c r="H10" s="4"/>
      <c r="I10" s="4"/>
      <c r="J10" s="4"/>
      <c r="K10" s="1"/>
      <c r="L10" s="5"/>
    </row>
    <row r="11">
      <c r="A11" s="1"/>
      <c r="B11" t="s" s="6">
        <v>164</v>
      </c>
      <c r="C11" s="7"/>
      <c r="D11" s="7"/>
      <c r="E11" s="7"/>
      <c r="F11" s="7"/>
      <c r="G11" s="7"/>
      <c r="H11" s="7"/>
      <c r="I11" s="7"/>
      <c r="J11" s="7"/>
      <c r="K11" s="1"/>
      <c r="L11" s="5"/>
      <c r="N11" t="s" s="52">
        <v>366</v>
      </c>
      <c r="O11" s="53">
        <f>C9</f>
        <v>44561</v>
      </c>
      <c r="P11" s="53">
        <f>D9</f>
        <v>44926</v>
      </c>
      <c r="Q11" s="53">
        <f>E9</f>
        <v>45291</v>
      </c>
      <c r="R11" s="53">
        <f>F9</f>
        <v>45657</v>
      </c>
      <c r="S11" s="53">
        <f>G9</f>
        <v>46022</v>
      </c>
    </row>
    <row r="12">
      <c r="A12" s="1"/>
      <c r="B12" t="s" s="10">
        <v>3</v>
      </c>
      <c r="C12" s="29">
        <f>IS!C9</f>
        <v>252.022</v>
      </c>
      <c r="D12" s="29">
        <f>IS!D9</f>
        <v>303.426</v>
      </c>
      <c r="E12" s="29">
        <f>IS!E9</f>
        <v>368.168</v>
      </c>
      <c r="F12" s="29">
        <f>IS!F9</f>
        <v>451.803</v>
      </c>
      <c r="G12" s="29">
        <f>IS!G9</f>
        <v>731.368</v>
      </c>
      <c r="H12" s="29">
        <f>IS!L9</f>
        <v>640.376</v>
      </c>
      <c r="I12" s="27"/>
      <c r="J12" s="30">
        <f>(G12/C12)^(1/(YEAR($G$9)-YEAR($C$9)))-1</f>
        <v>0.30519191588145844</v>
      </c>
      <c r="K12" s="1"/>
      <c r="L12" t="s" s="5">
        <v>265</v>
      </c>
      <c r="N12" t="s" s="1">
        <v>171</v>
      </c>
      <c r="O12" t="s" s="55">
        <v>375</v>
      </c>
      <c r="P12" s="58">
        <f>D19</f>
        <v>0.20039520359333718</v>
      </c>
      <c r="Q12" s="59">
        <f>E19</f>
        <v>0.19161838471324155</v>
      </c>
      <c r="R12" s="58">
        <f>F19</f>
        <v>0.22716531583407562</v>
      </c>
      <c r="S12" s="59">
        <f>G19</f>
        <v>0.1882789622910872</v>
      </c>
    </row>
    <row r="13">
      <c r="A13" s="1"/>
      <c r="B13" t="s" s="16">
        <v>165</v>
      </c>
      <c r="C13" s="31"/>
      <c r="D13" s="17">
        <f>D12/C12-1</f>
        <v>0.20396632040059992</v>
      </c>
      <c r="E13" s="17">
        <f>E12/D12-1</f>
        <v>0.21336998147818576</v>
      </c>
      <c r="F13" s="17">
        <f>F12/E12-1</f>
        <v>0.22716531583407562</v>
      </c>
      <c r="G13" s="17">
        <f>G12/F12-1</f>
        <v>0.6187763250797362</v>
      </c>
      <c r="H13" s="31"/>
      <c r="I13" s="31"/>
      <c r="J13" s="31"/>
      <c r="K13" s="1"/>
      <c r="L13" s="5"/>
      <c r="N13" t="s" s="1">
        <v>367</v>
      </c>
      <c r="O13" s="59">
        <f>C39</f>
        <v>0.2883716500940393</v>
      </c>
      <c r="P13" s="60">
        <f>D39</f>
        <v>0.2673996295637157</v>
      </c>
      <c r="Q13" s="59">
        <f>E39</f>
        <v>0.2876567219312922</v>
      </c>
      <c r="R13" s="58">
        <f>F39</f>
        <v>0.32242813792737085</v>
      </c>
      <c r="S13" s="58">
        <f>G39</f>
        <v>0.33935036807735636</v>
      </c>
    </row>
    <row r="14">
      <c r="A14" s="1"/>
      <c r="B14" t="s" s="13">
        <v>166</v>
      </c>
      <c r="C14" s="4"/>
      <c r="D14" s="4"/>
      <c r="E14" s="4"/>
      <c r="F14" s="4"/>
      <c r="G14" s="26">
        <f>Acquisitions!C37</f>
        <v>158.9</v>
      </c>
      <c r="H14" s="4"/>
      <c r="I14" s="4"/>
      <c r="J14" s="4"/>
      <c r="K14" s="1"/>
      <c r="L14" t="s" s="5">
        <v>266</v>
      </c>
      <c r="N14" t="s" s="1">
        <v>368</v>
      </c>
      <c r="O14" s="58">
        <f>C45</f>
        <v>0.14560236804723398</v>
      </c>
      <c r="P14" s="59">
        <f>D45</f>
        <v>0.21649759743726643</v>
      </c>
      <c r="Q14" s="60">
        <f>E45</f>
        <v>0.28369385715216966</v>
      </c>
      <c r="R14" s="59">
        <f>F45</f>
        <v>0.22842035134782196</v>
      </c>
      <c r="S14" s="58">
        <f>G45</f>
        <v>0.17487229411185612</v>
      </c>
    </row>
    <row r="15">
      <c r="A15" s="1"/>
      <c r="B15" t="s" s="13">
        <v>167</v>
      </c>
      <c r="C15" s="4"/>
      <c r="D15" s="4"/>
      <c r="E15" s="4"/>
      <c r="F15" s="4"/>
      <c r="G15" s="26">
        <f>Acquisitions!D37</f>
        <v>35.6</v>
      </c>
      <c r="H15" s="4"/>
      <c r="I15" s="4"/>
      <c r="J15" s="4"/>
      <c r="K15" s="1"/>
      <c r="L15" t="s" s="5">
        <v>267</v>
      </c>
      <c r="N15" t="s" s="1">
        <v>369</v>
      </c>
      <c r="O15" s="60">
        <f>C59</f>
        <v>-0.022937420881721866</v>
      </c>
      <c r="P15" s="59">
        <f>D59</f>
        <v>0.6192935318477617</v>
      </c>
      <c r="Q15" s="58">
        <f>E59</f>
        <v>0.7457367854512491</v>
      </c>
      <c r="R15" s="60">
        <f>F59</f>
        <v>0.4740859727885553</v>
      </c>
      <c r="S15" s="59">
        <f>G59</f>
        <v>0.6621620532656431</v>
      </c>
    </row>
    <row r="16">
      <c r="A16" s="1"/>
      <c r="B16" t="s" s="13">
        <v>168</v>
      </c>
      <c r="C16" s="4"/>
      <c r="D16" s="8">
        <v>0.9</v>
      </c>
      <c r="E16" s="8">
        <v>6.6</v>
      </c>
      <c r="F16" s="4"/>
      <c r="G16" s="4"/>
      <c r="H16" s="4"/>
      <c r="I16" s="4"/>
      <c r="J16" s="4"/>
      <c r="K16" s="1"/>
      <c r="L16" t="s" s="5">
        <v>268</v>
      </c>
      <c r="N16" t="s" s="1">
        <v>370</v>
      </c>
      <c r="O16" s="61">
        <f>C107</f>
        <v>-2.7614343111893893</v>
      </c>
      <c r="P16" s="61">
        <f>D107</f>
        <v>-2.5188818773417476</v>
      </c>
      <c r="Q16" s="61">
        <f>E107</f>
        <v>-2.541300776159991</v>
      </c>
      <c r="R16" s="61">
        <f>F107</f>
        <v>-1.646663097052323</v>
      </c>
      <c r="S16" s="62">
        <f>G107</f>
        <v>2.9469277569603936</v>
      </c>
    </row>
    <row r="17">
      <c r="A17" s="1"/>
      <c r="B17" t="s" s="10">
        <v>169</v>
      </c>
      <c r="C17" s="12">
        <f>SUM(C14:C16)</f>
        <v>0</v>
      </c>
      <c r="D17" s="12">
        <f>SUM(D14:D16)</f>
        <v>0.9</v>
      </c>
      <c r="E17" s="12">
        <f>SUM(E14:E16)</f>
        <v>6.6</v>
      </c>
      <c r="F17" s="12">
        <f>SUM(F14:F16)</f>
        <v>0</v>
      </c>
      <c r="G17" s="12">
        <f>SUM(G14:G16)</f>
        <v>194.5</v>
      </c>
      <c r="H17" s="27"/>
      <c r="I17" s="27"/>
      <c r="J17" s="27"/>
      <c r="K17" s="1"/>
      <c r="L17" t="s" s="5">
        <v>269</v>
      </c>
      <c r="N17" t="s" s="1">
        <v>371</v>
      </c>
      <c r="O17" t="s" s="55">
        <v>375</v>
      </c>
      <c r="P17" s="58">
        <f>D99</f>
        <v>0.6151648633140704</v>
      </c>
      <c r="Q17" s="58">
        <f>E99</f>
        <v>0.5523715268165461</v>
      </c>
      <c r="R17" s="58">
        <f>F99</f>
        <v>0.6423151111693102</v>
      </c>
      <c r="S17" s="59">
        <f>G99</f>
        <v>0.11399550291059897</v>
      </c>
    </row>
    <row r="18">
      <c r="A18" s="1"/>
      <c r="B18" t="s" s="10">
        <v>170</v>
      </c>
      <c r="C18" s="12">
        <f>C12-C17</f>
        <v>252.022</v>
      </c>
      <c r="D18" s="12">
        <f>D12-D17</f>
        <v>302.526</v>
      </c>
      <c r="E18" s="12">
        <f>E12-E17</f>
        <v>361.568</v>
      </c>
      <c r="F18" s="12">
        <f>F12-F17</f>
        <v>451.803</v>
      </c>
      <c r="G18" s="12">
        <f>G12-G17</f>
        <v>536.868</v>
      </c>
      <c r="H18" s="27"/>
      <c r="I18" s="27"/>
      <c r="J18" s="27"/>
      <c r="K18" s="1"/>
      <c r="L18" t="s" s="5">
        <v>270</v>
      </c>
      <c r="N18" t="s" s="57">
        <v>372</v>
      </c>
    </row>
    <row r="19">
      <c r="A19" s="1"/>
      <c r="B19" t="s" s="16">
        <v>171</v>
      </c>
      <c r="C19" s="31"/>
      <c r="D19" s="17">
        <f>D18/C12-1</f>
        <v>0.20039520359333718</v>
      </c>
      <c r="E19" s="17">
        <f>E18/D12-1</f>
        <v>0.19161838471324155</v>
      </c>
      <c r="F19" s="17">
        <f>F18/E12-1</f>
        <v>0.22716531583407562</v>
      </c>
      <c r="G19" s="17">
        <f>G18/F12-1</f>
        <v>0.1882789622910872</v>
      </c>
      <c r="H19" s="31"/>
      <c r="I19" s="31"/>
      <c r="J19" s="31"/>
      <c r="K19" s="1"/>
      <c r="L19" t="s" s="5">
        <v>271</v>
      </c>
    </row>
    <row r="20">
      <c r="A20" s="1"/>
      <c r="B20" t="s" s="16">
        <v>172</v>
      </c>
      <c r="C20" s="31"/>
      <c r="D20" s="17">
        <f>D17/C12</f>
        <v>0.003571116807262858</v>
      </c>
      <c r="E20" s="17">
        <f>E17/D12</f>
        <v>0.021751596764944335</v>
      </c>
      <c r="F20" s="17">
        <f>F17/E12</f>
        <v>0</v>
      </c>
      <c r="G20" s="17">
        <f>G17/F12</f>
        <v>0.43049736278864903</v>
      </c>
      <c r="H20" s="31"/>
      <c r="I20" s="31"/>
      <c r="J20" s="31"/>
      <c r="K20" s="1"/>
      <c r="L20" s="5"/>
    </row>
    <row r="21">
      <c r="A21" s="1"/>
      <c r="B21" t="s" s="13">
        <v>173</v>
      </c>
      <c r="C21" s="4"/>
      <c r="D21" s="4"/>
      <c r="E21" s="4"/>
      <c r="F21" s="8">
        <v>708.264</v>
      </c>
      <c r="G21" s="8">
        <v>817.005</v>
      </c>
      <c r="H21" s="4"/>
      <c r="I21" s="4"/>
      <c r="J21" s="4"/>
      <c r="K21" s="1"/>
      <c r="L21" t="s" s="5">
        <v>272</v>
      </c>
      <c r="O21" s="54">
        <f>C9</f>
        <v>44561</v>
      </c>
      <c r="P21" s="54">
        <f>D9</f>
        <v>44926</v>
      </c>
      <c r="Q21" s="54">
        <f>E9</f>
        <v>45291</v>
      </c>
      <c r="R21" s="54">
        <f>F9</f>
        <v>45657</v>
      </c>
      <c r="S21" s="54">
        <f>G9</f>
        <v>46022</v>
      </c>
    </row>
    <row r="22">
      <c r="A22" s="1"/>
      <c r="B22" t="s" s="16">
        <v>174</v>
      </c>
      <c r="C22" s="31"/>
      <c r="D22" s="31"/>
      <c r="E22" s="31"/>
      <c r="F22" s="31"/>
      <c r="G22" s="17">
        <f>G21/F21-1</f>
        <v>0.15353173392972108</v>
      </c>
      <c r="H22" s="31"/>
      <c r="I22" s="31"/>
      <c r="J22" s="31"/>
      <c r="K22" s="1"/>
      <c r="L22" s="5"/>
      <c r="N22" t="s">
        <v>376</v>
      </c>
      <c r="O22" s="56">
        <f>C12-C14-C15</f>
        <v>252.022</v>
      </c>
      <c r="P22" s="56">
        <f>D12-D14-D15</f>
        <v>303.426</v>
      </c>
      <c r="Q22" s="56">
        <f>E12-E14-E15</f>
        <v>368.168</v>
      </c>
      <c r="R22" s="56">
        <f>F12-F14-F15</f>
        <v>451.803</v>
      </c>
      <c r="S22" s="56">
        <f>G12-G14-G15</f>
        <v>536.868</v>
      </c>
    </row>
    <row r="23">
      <c r="A23" s="1"/>
      <c r="B23" t="s" s="10">
        <v>175</v>
      </c>
      <c r="C23" s="11">
        <v>277.78</v>
      </c>
      <c r="D23" s="11">
        <v>323.461</v>
      </c>
      <c r="E23" s="11">
        <v>379.096</v>
      </c>
      <c r="F23" s="11">
        <v>474.924</v>
      </c>
      <c r="G23" s="11">
        <v>840.962</v>
      </c>
      <c r="H23" s="11">
        <v>807.479</v>
      </c>
      <c r="I23" s="27"/>
      <c r="J23" s="30">
        <f>(G23/C23)^(1/(YEAR($G$9)-YEAR($C$9)))-1</f>
        <v>0.31907305688885623</v>
      </c>
      <c r="K23" s="1"/>
      <c r="L23" t="s" s="5">
        <v>273</v>
      </c>
      <c r="N23" t="s">
        <v>377</v>
      </c>
      <c r="O23" s="56"/>
      <c r="P23" s="56"/>
      <c r="Q23" s="56"/>
      <c r="R23" s="56"/>
      <c r="S23" s="56">
        <f>G14+G15</f>
        <v>194.5</v>
      </c>
    </row>
    <row r="24">
      <c r="A24" s="1"/>
      <c r="B24" t="s" s="16">
        <v>165</v>
      </c>
      <c r="C24" s="31"/>
      <c r="D24" s="17">
        <f>D23/C23-1</f>
        <v>0.1644502843977249</v>
      </c>
      <c r="E24" s="17">
        <f>E23/D23-1</f>
        <v>0.1719990972636578</v>
      </c>
      <c r="F24" s="17">
        <f>F23/E23-1</f>
        <v>0.25278029839407434</v>
      </c>
      <c r="G24" s="17">
        <f>G23/F23-1</f>
        <v>0.7707296325306787</v>
      </c>
      <c r="H24" s="31"/>
      <c r="I24" s="31"/>
      <c r="J24" s="31"/>
      <c r="K24" s="1"/>
      <c r="L24" s="5"/>
    </row>
    <row r="25">
      <c r="A25" s="1"/>
      <c r="B25" t="s" s="13">
        <v>176</v>
      </c>
      <c r="C25" s="4"/>
      <c r="D25" s="4"/>
      <c r="E25" s="4"/>
      <c r="F25" s="4"/>
      <c r="G25" s="8">
        <v>282</v>
      </c>
      <c r="H25" s="8">
        <v>273.1</v>
      </c>
      <c r="I25" s="4"/>
      <c r="J25" s="4"/>
      <c r="K25" s="1"/>
      <c r="L25" t="s" s="5">
        <v>274</v>
      </c>
    </row>
    <row r="26">
      <c r="A26" s="1"/>
      <c r="B26" t="s" s="10">
        <v>177</v>
      </c>
      <c r="C26" s="27"/>
      <c r="D26" s="27"/>
      <c r="E26" s="27"/>
      <c r="F26" s="27"/>
      <c r="G26" s="12">
        <f>G23-G25</f>
        <v>558.962</v>
      </c>
      <c r="H26" s="12">
        <f>H23-H25</f>
        <v>534.379</v>
      </c>
      <c r="I26" s="27"/>
      <c r="J26" s="27"/>
      <c r="K26" s="1"/>
      <c r="L26" t="s" s="5">
        <v>275</v>
      </c>
    </row>
    <row r="27">
      <c r="A27" s="1"/>
      <c r="B27" t="s" s="16">
        <v>178</v>
      </c>
      <c r="C27" s="31"/>
      <c r="D27" s="31"/>
      <c r="E27" s="31"/>
      <c r="F27" s="31"/>
      <c r="G27" s="17">
        <f>G26/F23-1</f>
        <v>0.17695041732993078</v>
      </c>
      <c r="H27" s="31"/>
      <c r="I27" s="31"/>
      <c r="J27" s="31"/>
      <c r="K27" s="1"/>
      <c r="L27" s="5"/>
    </row>
    <row r="28">
      <c r="A28" s="1"/>
      <c r="B28" t="s" s="16">
        <v>179</v>
      </c>
      <c r="C28" s="32">
        <v>1.11</v>
      </c>
      <c r="D28" s="32">
        <v>1.06</v>
      </c>
      <c r="E28" s="32">
        <v>1.07</v>
      </c>
      <c r="F28" s="32">
        <v>1.16</v>
      </c>
      <c r="G28" s="32">
        <v>1.09</v>
      </c>
      <c r="H28" s="32">
        <v>1.08</v>
      </c>
      <c r="I28" s="31"/>
      <c r="J28" s="31"/>
      <c r="K28" s="1"/>
      <c r="L28" t="s" s="5">
        <v>276</v>
      </c>
    </row>
    <row r="29">
      <c r="A29" s="1"/>
      <c r="B29" t="s" s="16">
        <v>180</v>
      </c>
      <c r="C29" s="31"/>
      <c r="D29" s="31"/>
      <c r="E29" s="31"/>
      <c r="F29" s="31"/>
      <c r="G29" s="32">
        <v>1.13</v>
      </c>
      <c r="H29" s="32">
        <v>1.12</v>
      </c>
      <c r="I29" s="31"/>
      <c r="J29" s="31"/>
      <c r="K29" s="1"/>
      <c r="L29" t="s" s="5">
        <v>277</v>
      </c>
    </row>
    <row r="30">
      <c r="A30" s="1"/>
      <c r="B30" t="s" s="16">
        <v>181</v>
      </c>
      <c r="C30" s="32">
        <v>0.98</v>
      </c>
      <c r="D30" s="32">
        <v>0.98</v>
      </c>
      <c r="E30" s="32">
        <v>0.98</v>
      </c>
      <c r="F30" s="32">
        <v>0.98</v>
      </c>
      <c r="G30" s="32">
        <v>0.98</v>
      </c>
      <c r="H30" s="32">
        <v>0.98</v>
      </c>
      <c r="I30" s="31"/>
      <c r="J30" s="31"/>
      <c r="K30" s="1"/>
      <c r="L30" t="s" s="5">
        <v>276</v>
      </c>
    </row>
    <row r="31">
      <c r="A31" s="1"/>
      <c r="B31" s="1"/>
      <c r="C31" s="4"/>
      <c r="D31" s="4"/>
      <c r="E31" s="4"/>
      <c r="F31" s="4"/>
      <c r="G31" s="4"/>
      <c r="H31" s="4"/>
      <c r="I31" s="4"/>
      <c r="J31" s="4"/>
      <c r="K31" s="1"/>
      <c r="L31" s="5"/>
    </row>
    <row r="32">
      <c r="A32" s="1"/>
      <c r="B32" t="s" s="6">
        <v>182</v>
      </c>
      <c r="C32" s="7"/>
      <c r="D32" s="7"/>
      <c r="E32" s="7"/>
      <c r="F32" s="7"/>
      <c r="G32" s="7"/>
      <c r="H32" s="7"/>
      <c r="I32" s="7"/>
      <c r="J32" s="7"/>
      <c r="K32" s="1"/>
      <c r="L32" s="5"/>
    </row>
    <row r="33">
      <c r="A33" s="1"/>
      <c r="B33" t="s" s="16">
        <v>183</v>
      </c>
      <c r="C33" s="42">
        <f>IS!C11/IS!C9</f>
        <v>0.730721921102126</v>
      </c>
      <c r="D33" s="42">
        <f>IS!D11/IS!D9</f>
        <v>0.7106905802403222</v>
      </c>
      <c r="E33" s="42">
        <f>IS!E11/IS!E9</f>
        <v>0.7090268573042741</v>
      </c>
      <c r="F33" s="42">
        <f>IS!F11/IS!F9</f>
        <v>0.7277862254124031</v>
      </c>
      <c r="G33" s="42">
        <f>IS!G11/IS!G9</f>
        <v>0.6729143194670808</v>
      </c>
      <c r="H33" s="42">
        <f>IS!L11/IS!L9</f>
        <v>0.6852708408809823</v>
      </c>
      <c r="I33" s="31"/>
      <c r="J33" s="31"/>
      <c r="K33" s="1"/>
      <c r="L33" t="s" s="5">
        <v>265</v>
      </c>
    </row>
    <row r="34">
      <c r="A34" s="1"/>
      <c r="B34" t="s" s="16">
        <v>184</v>
      </c>
      <c r="C34" s="42">
        <f>-IS!C12/IS!C9</f>
        <v>0.2884272007999302</v>
      </c>
      <c r="D34" s="42">
        <f>-IS!D12/IS!D9</f>
        <v>0.3101909526540244</v>
      </c>
      <c r="E34" s="42">
        <f>-IS!E12/IS!E9</f>
        <v>0.3365990526064188</v>
      </c>
      <c r="F34" s="42">
        <f>-IS!F12/IS!F9</f>
        <v>0.33323815910916926</v>
      </c>
      <c r="G34" s="42">
        <f>-IS!G12/IS!G9</f>
        <v>0.2683026875663141</v>
      </c>
      <c r="H34" s="42">
        <f>-IS!L12/IS!L9</f>
        <v>0.2812769372993366</v>
      </c>
      <c r="I34" s="31"/>
      <c r="J34" s="31"/>
      <c r="K34" s="1"/>
      <c r="L34" s="5"/>
    </row>
    <row r="35">
      <c r="A35" s="1"/>
      <c r="B35" t="s" s="16">
        <v>185</v>
      </c>
      <c r="C35" s="42">
        <f>-IS!C13/IS!C9</f>
        <v>0.15500630897302617</v>
      </c>
      <c r="D35" s="42">
        <f>-IS!D13/IS!D9</f>
        <v>0.1734788712898697</v>
      </c>
      <c r="E35" s="42">
        <f>-IS!E13/IS!E9</f>
        <v>0.16396047456595902</v>
      </c>
      <c r="F35" s="42">
        <f>-IS!F13/IS!F9</f>
        <v>0.1488569133007085</v>
      </c>
      <c r="G35" s="42">
        <f>-IS!G13/IS!G9</f>
        <v>0.2039739228404852</v>
      </c>
      <c r="H35" s="42">
        <f>-IS!L13/IS!L9</f>
        <v>0.189276300173648</v>
      </c>
      <c r="I35" s="31"/>
      <c r="J35" s="31"/>
      <c r="K35" s="1"/>
      <c r="L35" s="5"/>
    </row>
    <row r="36">
      <c r="A36" s="1"/>
      <c r="B36" t="s" s="16">
        <v>186</v>
      </c>
      <c r="C36" s="42">
        <f>-IS!C14/IS!C9</f>
        <v>0.17435779416082722</v>
      </c>
      <c r="D36" s="42">
        <f>-IS!D14/IS!D9</f>
        <v>0.2101566774106372</v>
      </c>
      <c r="E36" s="42">
        <f>-IS!E14/IS!E9</f>
        <v>0.25394928402251143</v>
      </c>
      <c r="F36" s="42">
        <f>-IS!F14/IS!F9</f>
        <v>0.21861297955082193</v>
      </c>
      <c r="G36" s="42">
        <f>-IS!G14/IS!G9</f>
        <v>0.21114678246792312</v>
      </c>
      <c r="H36" s="42">
        <f>-IS!L14/IS!L9</f>
        <v>0.21428816820118185</v>
      </c>
      <c r="I36" s="31"/>
      <c r="J36" s="31"/>
      <c r="K36" s="1"/>
      <c r="L36" s="5"/>
    </row>
    <row r="37">
      <c r="A37" s="1"/>
      <c r="B37" t="s" s="16">
        <v>187</v>
      </c>
      <c r="C37" s="42">
        <f>IS!C16/IS!C9</f>
        <v>0.11293061716834239</v>
      </c>
      <c r="D37" s="42">
        <f>IS!D16/IS!D9</f>
        <v>0.016864078885790904</v>
      </c>
      <c r="E37" s="42">
        <f>IS!E16/IS!E9</f>
        <v>-0.045481953890615164</v>
      </c>
      <c r="F37" s="42">
        <f>IS!F16/IS!F9</f>
        <v>0.027078173451703463</v>
      </c>
      <c r="G37" s="42">
        <f>IS!G16/IS!G9</f>
        <v>-0.010509073407641617</v>
      </c>
      <c r="H37" s="42">
        <f>IS!L16/IS!L9</f>
        <v>0.0004294352068158713</v>
      </c>
      <c r="I37" s="31"/>
      <c r="J37" s="31"/>
      <c r="K37" s="1"/>
      <c r="L37" s="5"/>
    </row>
    <row r="38">
      <c r="A38" s="1"/>
      <c r="B38" t="s" s="10">
        <v>36</v>
      </c>
      <c r="C38" s="29">
        <f>IS!C49</f>
        <v>72.67599999999997</v>
      </c>
      <c r="D38" s="29">
        <f>IS!D49</f>
        <v>81.136</v>
      </c>
      <c r="E38" s="29">
        <f>IS!E49</f>
        <v>105.90599999999999</v>
      </c>
      <c r="F38" s="29">
        <f>IS!F49</f>
        <v>145.67399999999992</v>
      </c>
      <c r="G38" s="29">
        <f>IS!G49</f>
        <v>248.19</v>
      </c>
      <c r="H38" s="29">
        <f>IS!L49</f>
        <v>215.7989999999999</v>
      </c>
      <c r="I38" s="27"/>
      <c r="J38" s="30">
        <f>(G38/C38)^(1/(YEAR($G$9)-YEAR($C$9)))-1</f>
        <v>0.35940328700204516</v>
      </c>
      <c r="K38" s="1"/>
      <c r="L38" t="s" s="5">
        <v>278</v>
      </c>
    </row>
    <row r="39">
      <c r="A39" s="1"/>
      <c r="B39" t="s" s="16">
        <v>188</v>
      </c>
      <c r="C39" s="17">
        <f>C38/C12</f>
        <v>0.2883716500940393</v>
      </c>
      <c r="D39" s="17">
        <f>D38/D12</f>
        <v>0.2673996295637157</v>
      </c>
      <c r="E39" s="17">
        <f>E38/E12</f>
        <v>0.2876567219312922</v>
      </c>
      <c r="F39" s="17">
        <f>F38/F12</f>
        <v>0.32242813792737085</v>
      </c>
      <c r="G39" s="17">
        <f>G38/G12</f>
        <v>0.33935036807735636</v>
      </c>
      <c r="H39" s="17">
        <f>H38/H12</f>
        <v>0.33698795707521817</v>
      </c>
      <c r="I39" s="31"/>
      <c r="J39" s="31"/>
      <c r="K39" s="1"/>
      <c r="L39" s="5"/>
    </row>
    <row r="40">
      <c r="A40" s="1"/>
      <c r="B40" t="s" s="16">
        <v>189</v>
      </c>
      <c r="C40" s="42">
        <f>IS!C23/IS!C9</f>
        <v>-0.03211624381998403</v>
      </c>
      <c r="D40" s="42">
        <f>IS!D23/IS!D9</f>
        <v>-0.022064687930500388</v>
      </c>
      <c r="E40" s="42">
        <f>IS!E23/IS!E9</f>
        <v>-0.06269692097086114</v>
      </c>
      <c r="F40" s="42">
        <f>IS!F23/IS!F9</f>
        <v>0.9463969916091748</v>
      </c>
      <c r="G40" s="42">
        <f>IS!G23/IS!G9</f>
        <v>-0.055039323568983105</v>
      </c>
      <c r="H40" s="42">
        <f>IS!L23/IS!L9</f>
        <v>0.6130398390945319</v>
      </c>
      <c r="I40" s="31"/>
      <c r="J40" s="31"/>
      <c r="K40" s="1"/>
      <c r="L40" s="5"/>
    </row>
    <row r="41">
      <c r="A41" s="1"/>
      <c r="B41" t="s" s="16">
        <v>190</v>
      </c>
      <c r="C41" s="31"/>
      <c r="D41" s="17">
        <f>(D38-C38)/(D12-C12)</f>
        <v>0.16457863201307335</v>
      </c>
      <c r="E41" s="17">
        <f>(E38-D38)/(E12-D12)</f>
        <v>0.38259553303883087</v>
      </c>
      <c r="F41" s="17">
        <f>(F38-E38)/(F12-E12)</f>
        <v>0.47549470915286585</v>
      </c>
      <c r="G41" s="17">
        <f>(G38-F38)/(G12-F12)</f>
        <v>0.3666982633734554</v>
      </c>
      <c r="H41" s="31"/>
      <c r="I41" s="31"/>
      <c r="J41" s="31"/>
      <c r="K41" s="1"/>
      <c r="L41" s="5"/>
    </row>
    <row r="42">
      <c r="A42" s="1"/>
      <c r="B42" s="1"/>
      <c r="C42" s="4"/>
      <c r="D42" s="4"/>
      <c r="E42" s="4"/>
      <c r="F42" s="4"/>
      <c r="G42" s="4"/>
      <c r="H42" s="4"/>
      <c r="I42" s="4"/>
      <c r="J42" s="4"/>
      <c r="K42" s="1"/>
      <c r="L42" s="5"/>
    </row>
    <row r="43">
      <c r="A43" s="1"/>
      <c r="B43" t="s" s="6">
        <v>191</v>
      </c>
      <c r="C43" s="7"/>
      <c r="D43" s="7"/>
      <c r="E43" s="7"/>
      <c r="F43" s="7"/>
      <c r="G43" s="7"/>
      <c r="H43" s="7"/>
      <c r="I43" s="7"/>
      <c r="J43" s="7"/>
      <c r="K43" s="1"/>
      <c r="L43" s="5"/>
    </row>
    <row r="44">
      <c r="A44" s="1"/>
      <c r="B44" t="s" s="10">
        <v>192</v>
      </c>
      <c r="C44" s="29">
        <f>IS!C34</f>
        <v>36.695</v>
      </c>
      <c r="D44" s="29">
        <f>IS!D34</f>
        <v>65.691</v>
      </c>
      <c r="E44" s="29">
        <f>IS!E34</f>
        <v>104.447</v>
      </c>
      <c r="F44" s="29">
        <f>IS!F34</f>
        <v>103.20100000000001</v>
      </c>
      <c r="G44" s="29">
        <f>IS!G34</f>
        <v>127.896</v>
      </c>
      <c r="H44" s="29">
        <f>IS!L34</f>
        <v>122.872</v>
      </c>
      <c r="I44" s="27"/>
      <c r="J44" s="30">
        <f>(G44/C44)^(1/(YEAR($G$9)-YEAR($C$9)))-1</f>
        <v>0.3663517503495781</v>
      </c>
      <c r="K44" s="1"/>
      <c r="L44" t="s" s="5">
        <v>279</v>
      </c>
    </row>
    <row r="45">
      <c r="A45" s="1"/>
      <c r="B45" t="s" s="16">
        <v>193</v>
      </c>
      <c r="C45" s="17">
        <f>C44/C12</f>
        <v>0.14560236804723398</v>
      </c>
      <c r="D45" s="17">
        <f>D44/D12</f>
        <v>0.21649759743726643</v>
      </c>
      <c r="E45" s="17">
        <f>E44/E12</f>
        <v>0.28369385715216966</v>
      </c>
      <c r="F45" s="17">
        <f>F44/F12</f>
        <v>0.22842035134782196</v>
      </c>
      <c r="G45" s="17">
        <f>G44/G12</f>
        <v>0.17487229411185612</v>
      </c>
      <c r="H45" s="17">
        <f>H44/H12</f>
        <v>0.19187477357052732</v>
      </c>
      <c r="I45" s="31"/>
      <c r="J45" s="31"/>
      <c r="K45" s="1"/>
      <c r="L45" s="5"/>
    </row>
    <row r="46">
      <c r="A46" s="1"/>
      <c r="B46" t="s" s="10">
        <v>194</v>
      </c>
      <c r="C46" s="29">
        <f>IS!C41+IS!C42</f>
        <v>36.695</v>
      </c>
      <c r="D46" s="29">
        <f>IS!D41+IS!D42</f>
        <v>66.525</v>
      </c>
      <c r="E46" s="29">
        <f>IS!E41+IS!E42</f>
        <v>108.078</v>
      </c>
      <c r="F46" s="29">
        <f>IS!F41+IS!F42</f>
        <v>110.961</v>
      </c>
      <c r="G46" s="29">
        <f>IS!G41+IS!G42</f>
        <v>134.53300000000002</v>
      </c>
      <c r="H46" s="29">
        <f>IS!L41+IS!L42</f>
        <v>131.156</v>
      </c>
      <c r="I46" s="27"/>
      <c r="J46" s="27"/>
      <c r="K46" s="1"/>
      <c r="L46" t="s" s="5">
        <v>278</v>
      </c>
    </row>
    <row r="47">
      <c r="A47" s="1"/>
      <c r="B47" t="s" s="16">
        <v>193</v>
      </c>
      <c r="C47" s="17">
        <f>C46/C12</f>
        <v>0.14560236804723398</v>
      </c>
      <c r="D47" s="17">
        <f>D46/D12</f>
        <v>0.2192462083012003</v>
      </c>
      <c r="E47" s="17">
        <f>E46/E12</f>
        <v>0.29355620260315946</v>
      </c>
      <c r="F47" s="17">
        <f>F46/F12</f>
        <v>0.24559597877836137</v>
      </c>
      <c r="G47" s="17">
        <f>G46/G12</f>
        <v>0.18394706905415606</v>
      </c>
      <c r="H47" s="17">
        <f>H46/H12</f>
        <v>0.20481092358239536</v>
      </c>
      <c r="I47" s="31"/>
      <c r="J47" s="31"/>
      <c r="K47" s="1"/>
      <c r="L47" s="5"/>
    </row>
    <row r="48">
      <c r="A48" s="1"/>
      <c r="B48" t="s" s="10">
        <v>195</v>
      </c>
      <c r="C48" s="12">
        <f>C38-C46</f>
        <v>35.98099999999997</v>
      </c>
      <c r="D48" s="12">
        <f>D38-D46</f>
        <v>14.61099999999999</v>
      </c>
      <c r="E48" s="12">
        <f>E38-E46</f>
        <v>-2.1720000000000113</v>
      </c>
      <c r="F48" s="12">
        <f>F38-F46</f>
        <v>34.71299999999992</v>
      </c>
      <c r="G48" s="12">
        <f>G38-G46</f>
        <v>113.65699999999998</v>
      </c>
      <c r="H48" s="12">
        <f>H38-H46</f>
        <v>84.64299999999989</v>
      </c>
      <c r="I48" s="27"/>
      <c r="J48" s="27"/>
      <c r="K48" s="1"/>
      <c r="L48" s="5"/>
    </row>
    <row r="49">
      <c r="A49" s="1"/>
      <c r="B49" t="s" s="16">
        <v>37</v>
      </c>
      <c r="C49" s="17">
        <f>C48/C12</f>
        <v>0.14276928204680533</v>
      </c>
      <c r="D49" s="17">
        <f>D48/D12</f>
        <v>0.04815342126251538</v>
      </c>
      <c r="E49" s="17">
        <f>E48/E12</f>
        <v>-0.005899480671867222</v>
      </c>
      <c r="F49" s="17">
        <f>F48/F12</f>
        <v>0.07683215914900947</v>
      </c>
      <c r="G49" s="17">
        <f>G48/G12</f>
        <v>0.15540329902320033</v>
      </c>
      <c r="H49" s="17">
        <f>H48/H12</f>
        <v>0.13217703349282278</v>
      </c>
      <c r="I49" s="31"/>
      <c r="J49" s="31"/>
      <c r="K49" s="1"/>
      <c r="L49" s="5"/>
    </row>
    <row r="50">
      <c r="A50" s="1"/>
      <c r="B50" t="s" s="13">
        <v>196</v>
      </c>
      <c r="C50" s="26">
        <f>-CFS!C44</f>
        <v>2.185</v>
      </c>
      <c r="D50" s="26">
        <f>-CFS!D44</f>
        <v>3.189</v>
      </c>
      <c r="E50" s="26">
        <f>-CFS!E44</f>
        <v>20.784</v>
      </c>
      <c r="F50" s="26">
        <f>-CFS!F44</f>
        <v>55.301</v>
      </c>
      <c r="G50" s="26">
        <f>-CFS!G44</f>
        <v>33.749</v>
      </c>
      <c r="H50" s="26">
        <f>-CFS!J44</f>
        <v>44.87</v>
      </c>
      <c r="I50" s="4"/>
      <c r="J50" s="4"/>
      <c r="K50" s="1"/>
      <c r="L50" t="s" s="5">
        <v>280</v>
      </c>
    </row>
    <row r="51">
      <c r="A51" s="1"/>
      <c r="B51" t="s" s="16">
        <v>193</v>
      </c>
      <c r="C51" s="17">
        <f>C50/C12</f>
        <v>0.008669878026521494</v>
      </c>
      <c r="D51" s="17">
        <f>D50/D12</f>
        <v>0.01050997607324356</v>
      </c>
      <c r="E51" s="17">
        <f>E50/E12</f>
        <v>0.05645248908107168</v>
      </c>
      <c r="F51" s="17">
        <f>F50/F12</f>
        <v>0.12240069233714694</v>
      </c>
      <c r="G51" s="17">
        <f>G50/G12</f>
        <v>0.04614503232298925</v>
      </c>
      <c r="H51" s="17">
        <f>H50/H12</f>
        <v>0.07006820992666808</v>
      </c>
      <c r="I51" s="31"/>
      <c r="J51" s="31"/>
      <c r="K51" s="1"/>
      <c r="L51" s="5"/>
    </row>
    <row r="52">
      <c r="A52" s="1"/>
      <c r="B52" s="1"/>
      <c r="C52" s="4"/>
      <c r="D52" s="4"/>
      <c r="E52" s="4"/>
      <c r="F52" s="4"/>
      <c r="G52" s="4"/>
      <c r="H52" s="4"/>
      <c r="I52" s="4"/>
      <c r="J52" s="4"/>
      <c r="K52" s="1"/>
      <c r="L52" s="5"/>
    </row>
    <row r="53">
      <c r="A53" s="1"/>
      <c r="B53" t="s" s="6">
        <v>197</v>
      </c>
      <c r="C53" s="7"/>
      <c r="D53" s="7"/>
      <c r="E53" s="7"/>
      <c r="F53" s="7"/>
      <c r="G53" s="7"/>
      <c r="H53" s="7"/>
      <c r="I53" s="7"/>
      <c r="J53" s="7"/>
      <c r="K53" s="1"/>
      <c r="L53" s="5"/>
    </row>
    <row r="54">
      <c r="A54" s="1"/>
      <c r="B54" t="s" s="10">
        <v>198</v>
      </c>
      <c r="C54" s="29">
        <f>CFS!C27</f>
        <v>3.3579999999999828</v>
      </c>
      <c r="D54" s="29">
        <f>CFS!D27</f>
        <v>58.004999999999995</v>
      </c>
      <c r="E54" s="29">
        <f>CFS!E27</f>
        <v>84.60199999999998</v>
      </c>
      <c r="F54" s="29">
        <f>CFS!F27</f>
        <v>74.32099999999997</v>
      </c>
      <c r="G54" s="29">
        <f>CFS!G27</f>
        <v>175.896</v>
      </c>
      <c r="H54" s="29">
        <f>CFS!J27</f>
        <v>91.36599999999996</v>
      </c>
      <c r="I54" s="27"/>
      <c r="J54" s="27"/>
      <c r="K54" s="1"/>
      <c r="L54" t="s" s="5">
        <v>280</v>
      </c>
    </row>
    <row r="55">
      <c r="A55" s="1"/>
      <c r="B55" t="s" s="13">
        <v>121</v>
      </c>
      <c r="C55" s="26">
        <f>CFS!C30</f>
        <v>-5.025</v>
      </c>
      <c r="D55" s="26">
        <f>CFS!D30</f>
        <v>-7.758</v>
      </c>
      <c r="E55" s="26">
        <f>CFS!E30</f>
        <v>-5.6240000000000006</v>
      </c>
      <c r="F55" s="26">
        <f>CFS!F30</f>
        <v>-5.259</v>
      </c>
      <c r="G55" s="26">
        <f>CFS!G30</f>
        <v>-11.554</v>
      </c>
      <c r="H55" s="26">
        <f>CFS!J30</f>
        <v>-9.334</v>
      </c>
      <c r="I55" s="4"/>
      <c r="J55" s="4"/>
      <c r="K55" s="1"/>
      <c r="L55" s="5"/>
    </row>
    <row r="56">
      <c r="A56" s="1"/>
      <c r="B56" t="s" s="10">
        <v>199</v>
      </c>
      <c r="C56" s="12">
        <f>C54+C55</f>
        <v>-1.6670000000000176</v>
      </c>
      <c r="D56" s="12">
        <f>D54+D55</f>
        <v>50.24699999999999</v>
      </c>
      <c r="E56" s="12">
        <f>E54+E55</f>
        <v>78.97799999999998</v>
      </c>
      <c r="F56" s="12">
        <f>F54+F55</f>
        <v>69.06199999999997</v>
      </c>
      <c r="G56" s="12">
        <f>G54+G55</f>
        <v>164.34199999999998</v>
      </c>
      <c r="H56" s="12">
        <f>H54+H55</f>
        <v>82.03199999999995</v>
      </c>
      <c r="I56" s="27"/>
      <c r="J56" s="27"/>
      <c r="K56" s="1"/>
      <c r="L56" t="s" s="5">
        <v>281</v>
      </c>
    </row>
    <row r="57">
      <c r="A57" s="1"/>
      <c r="B57" t="s" s="16">
        <v>200</v>
      </c>
      <c r="C57" s="17">
        <f>C56/C12</f>
        <v>-0.006614501908563608</v>
      </c>
      <c r="D57" s="17">
        <f>D56/D12</f>
        <v>0.16559886100729665</v>
      </c>
      <c r="E57" s="17">
        <f>E56/E12</f>
        <v>0.21451619912648567</v>
      </c>
      <c r="F57" s="17">
        <f>F56/F12</f>
        <v>0.15285865742370008</v>
      </c>
      <c r="G57" s="17">
        <f>G56/G12</f>
        <v>0.22470493650255408</v>
      </c>
      <c r="H57" s="17">
        <f>H56/H12</f>
        <v>0.12809974140192631</v>
      </c>
      <c r="I57" s="31"/>
      <c r="J57" s="31"/>
      <c r="K57" s="1"/>
      <c r="L57" s="5"/>
    </row>
    <row r="58">
      <c r="A58" s="1"/>
      <c r="B58" t="s" s="16">
        <v>201</v>
      </c>
      <c r="C58" s="17">
        <f>C54/C38</f>
        <v>0.04620507457757697</v>
      </c>
      <c r="D58" s="17">
        <f>D54/D38</f>
        <v>0.7149107671070795</v>
      </c>
      <c r="E58" s="17">
        <f>E54/E38</f>
        <v>0.7988404811814249</v>
      </c>
      <c r="F58" s="17">
        <f>F54/F38</f>
        <v>0.5101871301673601</v>
      </c>
      <c r="G58" s="17">
        <f>G54/G38</f>
        <v>0.7087150973044845</v>
      </c>
      <c r="H58" s="17">
        <f>H54/H38</f>
        <v>0.4233847237475614</v>
      </c>
      <c r="I58" s="31"/>
      <c r="J58" s="31"/>
      <c r="K58" s="1"/>
      <c r="L58" s="5"/>
    </row>
    <row r="59">
      <c r="A59" s="1"/>
      <c r="B59" t="s" s="16">
        <v>202</v>
      </c>
      <c r="C59" s="17">
        <f>C56/C38</f>
        <v>-0.022937420881721866</v>
      </c>
      <c r="D59" s="17">
        <f>D56/D38</f>
        <v>0.6192935318477617</v>
      </c>
      <c r="E59" s="17">
        <f>E56/E38</f>
        <v>0.7457367854512491</v>
      </c>
      <c r="F59" s="17">
        <f>F56/F38</f>
        <v>0.4740859727885553</v>
      </c>
      <c r="G59" s="17">
        <f>G56/G38</f>
        <v>0.6621620532656431</v>
      </c>
      <c r="H59" s="17">
        <f>H56/H38</f>
        <v>0.3801315112674294</v>
      </c>
      <c r="I59" s="31"/>
      <c r="J59" s="31"/>
      <c r="K59" s="1"/>
      <c r="L59" s="5"/>
    </row>
    <row r="60">
      <c r="A60" s="1"/>
      <c r="B60" t="s" s="10">
        <v>203</v>
      </c>
      <c r="C60" s="12">
        <f>C56-C50</f>
        <v>-3.8520000000000176</v>
      </c>
      <c r="D60" s="12">
        <f>D56-D50</f>
        <v>47.05799999999999</v>
      </c>
      <c r="E60" s="12">
        <f>E56-E50</f>
        <v>58.19399999999998</v>
      </c>
      <c r="F60" s="12">
        <f>F56-F50</f>
        <v>13.760999999999967</v>
      </c>
      <c r="G60" s="12">
        <f>G56-G50</f>
        <v>130.593</v>
      </c>
      <c r="H60" s="12">
        <f>H56-H50</f>
        <v>37.161999999999956</v>
      </c>
      <c r="I60" s="27"/>
      <c r="J60" s="27"/>
      <c r="K60" s="1"/>
      <c r="L60" s="5"/>
    </row>
    <row r="61">
      <c r="A61" s="1"/>
      <c r="B61" t="s" s="16">
        <v>204</v>
      </c>
      <c r="C61" s="17">
        <f>C60/C38</f>
        <v>-0.053002366668501555</v>
      </c>
      <c r="D61" s="17">
        <f>D60/D38</f>
        <v>0.5799891540130151</v>
      </c>
      <c r="E61" s="17">
        <f>E60/E38</f>
        <v>0.549487281173871</v>
      </c>
      <c r="F61" s="17">
        <f>F60/F38</f>
        <v>0.09446435190905704</v>
      </c>
      <c r="G61" s="17">
        <f>G60/G38</f>
        <v>0.5261815544542487</v>
      </c>
      <c r="H61" s="17">
        <f>H60/H38</f>
        <v>0.17220654405256733</v>
      </c>
      <c r="I61" s="31"/>
      <c r="J61" s="31"/>
      <c r="K61" s="1"/>
      <c r="L61" s="5"/>
    </row>
    <row r="62">
      <c r="A62" s="1"/>
      <c r="B62" t="s" s="13">
        <v>205</v>
      </c>
      <c r="C62" s="26">
        <f>CFS!C65</f>
        <v>26.113</v>
      </c>
      <c r="D62" s="26">
        <f>CFS!D65</f>
        <v>1.395</v>
      </c>
      <c r="E62" s="26">
        <f>CFS!E65</f>
        <v>3.454</v>
      </c>
      <c r="F62" s="26">
        <f>CFS!F65</f>
        <v>3.464</v>
      </c>
      <c r="G62" s="26">
        <f>CFS!G65</f>
        <v>31.142</v>
      </c>
      <c r="H62" s="26">
        <f>CFS!J65</f>
        <v>17.729</v>
      </c>
      <c r="I62" s="4"/>
      <c r="J62" s="4"/>
      <c r="K62" s="1"/>
      <c r="L62" s="5"/>
    </row>
    <row r="63">
      <c r="A63" s="1"/>
      <c r="B63" t="s" s="13">
        <v>206</v>
      </c>
      <c r="C63" s="26">
        <f>-IS!C18-CFS!C25</f>
        <v>0</v>
      </c>
      <c r="D63" s="26">
        <f>-IS!D18-CFS!D25</f>
        <v>-0.5609999999999999</v>
      </c>
      <c r="E63" s="26">
        <f>-IS!E18-CFS!E25</f>
        <v>8.396</v>
      </c>
      <c r="F63" s="26">
        <f>-IS!F18-CFS!F25</f>
        <v>72.04</v>
      </c>
      <c r="G63" s="26">
        <f>-IS!G18-CFS!G25</f>
        <v>0.035</v>
      </c>
      <c r="H63" s="26">
        <f>-IS!L18-CFS!J25</f>
        <v>70.464</v>
      </c>
      <c r="I63" s="4"/>
      <c r="J63" s="4"/>
      <c r="K63" s="1"/>
      <c r="L63" t="s" s="5">
        <v>282</v>
      </c>
    </row>
    <row r="64">
      <c r="A64" s="1"/>
      <c r="B64" t="s" s="16">
        <v>207</v>
      </c>
      <c r="C64" s="17">
        <f>(C54+C63)/C38</f>
        <v>0.04620507457757697</v>
      </c>
      <c r="D64" s="17">
        <f>(D54+D63)/D38</f>
        <v>0.7079964504042595</v>
      </c>
      <c r="E64" s="17">
        <f>(E54+E63)/E38</f>
        <v>0.8781183313504427</v>
      </c>
      <c r="F64" s="17">
        <f>(F54+F63)/F38</f>
        <v>1.004716009720335</v>
      </c>
      <c r="G64" s="17">
        <f>(G54+G63)/G38</f>
        <v>0.7088561182964663</v>
      </c>
      <c r="H64" s="17">
        <f>(H54+H63)/H38</f>
        <v>0.7499107966209299</v>
      </c>
      <c r="I64" s="31"/>
      <c r="J64" s="31"/>
      <c r="K64" s="1"/>
      <c r="L64" s="5"/>
    </row>
    <row r="65">
      <c r="A65" s="1"/>
      <c r="B65" s="1"/>
      <c r="C65" s="4"/>
      <c r="D65" s="4"/>
      <c r="E65" s="4"/>
      <c r="F65" s="4"/>
      <c r="G65" s="4"/>
      <c r="H65" s="4"/>
      <c r="I65" s="4"/>
      <c r="J65" s="4"/>
      <c r="K65" s="1"/>
      <c r="L65" s="5"/>
    </row>
    <row r="66">
      <c r="A66" s="1"/>
      <c r="B66" t="s" s="6">
        <v>208</v>
      </c>
      <c r="C66" s="7"/>
      <c r="D66" s="7"/>
      <c r="E66" s="7"/>
      <c r="F66" s="7"/>
      <c r="G66" s="7"/>
      <c r="H66" s="7"/>
      <c r="I66" s="7"/>
      <c r="J66" s="7"/>
      <c r="K66" s="1"/>
      <c r="L66" s="5"/>
    </row>
    <row r="67">
      <c r="A67" s="1"/>
      <c r="B67" t="s" s="13">
        <v>209</v>
      </c>
      <c r="C67" s="34">
        <v>365</v>
      </c>
      <c r="D67" s="34">
        <v>365</v>
      </c>
      <c r="E67" s="34">
        <v>365</v>
      </c>
      <c r="F67" s="34">
        <v>365</v>
      </c>
      <c r="G67" s="34">
        <v>365</v>
      </c>
      <c r="H67" s="34">
        <v>365</v>
      </c>
      <c r="I67" s="33"/>
      <c r="J67" s="33"/>
      <c r="K67" s="1"/>
      <c r="L67" t="s" s="5">
        <v>283</v>
      </c>
    </row>
    <row r="68">
      <c r="A68" s="1"/>
      <c r="B68" t="s" s="13">
        <v>210</v>
      </c>
      <c r="C68" s="46">
        <f>BS!C11/C12*C67</f>
        <v>72.68948742570093</v>
      </c>
      <c r="D68" s="46">
        <f>BS!D11/D12*D67</f>
        <v>87.30258778087574</v>
      </c>
      <c r="E68" s="46">
        <f>BS!E11/E12*E67</f>
        <v>91.29857836639795</v>
      </c>
      <c r="F68" s="46">
        <f>BS!F11/F12*F67</f>
        <v>85.75665721564486</v>
      </c>
      <c r="G68" s="46">
        <f>BS!G11/G12*G67</f>
        <v>83.51749051093293</v>
      </c>
      <c r="H68" s="46">
        <f>BS!H11/H12*H67</f>
        <v>87.08745330868115</v>
      </c>
      <c r="I68" s="33"/>
      <c r="J68" s="33"/>
      <c r="K68" s="1"/>
      <c r="L68" t="s" s="5">
        <v>284</v>
      </c>
    </row>
    <row r="69">
      <c r="A69" s="1"/>
      <c r="B69" t="s" s="13">
        <v>211</v>
      </c>
      <c r="C69" s="33"/>
      <c r="D69" s="33"/>
      <c r="E69" s="33"/>
      <c r="F69" s="33"/>
      <c r="G69" s="46">
        <f>BS!G11/G21*G67</f>
        <v>74.76333682168408</v>
      </c>
      <c r="H69" s="33"/>
      <c r="I69" s="33"/>
      <c r="J69" s="33"/>
      <c r="K69" s="1"/>
      <c r="L69" s="5"/>
    </row>
    <row r="70">
      <c r="A70" s="1"/>
      <c r="B70" t="s" s="13">
        <v>212</v>
      </c>
      <c r="C70" s="46">
        <f>BS!C26/-IS!C10*C67</f>
        <v>7.615819875044205</v>
      </c>
      <c r="D70" s="46">
        <f>BS!D26/-IS!D10*D67</f>
        <v>12.856329171603026</v>
      </c>
      <c r="E70" s="46">
        <f>BS!E26/-IS!E10*E67</f>
        <v>10.432757381425786</v>
      </c>
      <c r="F70" s="46">
        <f>BS!F26/-IS!F10*F67</f>
        <v>8.707505671331116</v>
      </c>
      <c r="G70" s="46">
        <f>BS!G26/-IS!G10*G67</f>
        <v>6.249644678538584</v>
      </c>
      <c r="H70" s="46">
        <f>BS!H26/-IS!L10*H67</f>
        <v>6.005308988067181</v>
      </c>
      <c r="I70" s="33"/>
      <c r="J70" s="33"/>
      <c r="K70" s="1"/>
      <c r="L70" s="5"/>
    </row>
    <row r="71">
      <c r="A71" s="1"/>
      <c r="B71" t="s" s="13">
        <v>213</v>
      </c>
      <c r="C71" s="46">
        <f>BS!C27/-(IS!C10+IS!C15)*C67</f>
        <v>44.13417367072074</v>
      </c>
      <c r="D71" s="46">
        <f>BS!D27/-(IS!D10+IS!D15)*D67</f>
        <v>51.535270474575015</v>
      </c>
      <c r="E71" s="46">
        <f>BS!E27/-(IS!E10+IS!E15)*E67</f>
        <v>46.97236778181043</v>
      </c>
      <c r="F71" s="46">
        <f>BS!F27/-(IS!F10+IS!F15)*F67</f>
        <v>46.21279025590977</v>
      </c>
      <c r="G71" s="46">
        <f>BS!G27/-(IS!G10+IS!G15)*G67</f>
        <v>55.43693018372135</v>
      </c>
      <c r="H71" s="46">
        <f>BS!H27/-(IS!L10+IS!L15)*H67</f>
        <v>47.67630420824212</v>
      </c>
      <c r="I71" s="33"/>
      <c r="J71" s="33"/>
      <c r="K71" s="1"/>
      <c r="L71" s="5"/>
    </row>
    <row r="72">
      <c r="A72" s="1"/>
      <c r="B72" t="s" s="13">
        <v>214</v>
      </c>
      <c r="C72" s="46">
        <f>BS!C28/C12*C67</f>
        <v>0</v>
      </c>
      <c r="D72" s="46">
        <f>BS!D28/D12*D67</f>
        <v>0</v>
      </c>
      <c r="E72" s="46">
        <f>BS!E28/E12*E67</f>
        <v>0</v>
      </c>
      <c r="F72" s="46">
        <f>BS!F28/F12*F67</f>
        <v>5.920910219719657</v>
      </c>
      <c r="G72" s="46">
        <f>BS!G28/G12*G67</f>
        <v>10.909555791338969</v>
      </c>
      <c r="H72" s="46">
        <f>BS!H28/H12*H67</f>
        <v>9.776256449336016</v>
      </c>
      <c r="I72" s="33"/>
      <c r="J72" s="33"/>
      <c r="K72" s="1"/>
      <c r="L72" s="5"/>
    </row>
    <row r="73">
      <c r="A73" s="1"/>
      <c r="B73" t="s" s="10">
        <v>215</v>
      </c>
      <c r="C73" s="29">
        <f>BS!C11+BS!C12-BS!C26-BS!C27-BS!C28</f>
        <v>38.293000000000006</v>
      </c>
      <c r="D73" s="29">
        <f>BS!D11+BS!D12-BS!D26-BS!D27-BS!D28</f>
        <v>55.521</v>
      </c>
      <c r="E73" s="29">
        <f>BS!E11+BS!E12-BS!E26-BS!E27-BS!E28</f>
        <v>67.17699999999999</v>
      </c>
      <c r="F73" s="29">
        <f>BS!F11+BS!F12-BS!F26-BS!F27-BS!F28</f>
        <v>63.23999999999999</v>
      </c>
      <c r="G73" s="29">
        <f>BS!G11+BS!G12-BS!G26-BS!G27-BS!G28</f>
        <v>66.12</v>
      </c>
      <c r="H73" s="29">
        <f>BS!H11+BS!H12-BS!H26-BS!H27-BS!H28</f>
        <v>82.584</v>
      </c>
      <c r="I73" s="27"/>
      <c r="J73" s="27"/>
      <c r="K73" s="1"/>
      <c r="L73" t="s" s="5">
        <v>285</v>
      </c>
    </row>
    <row r="74">
      <c r="A74" s="1"/>
      <c r="B74" t="s" s="16">
        <v>216</v>
      </c>
      <c r="C74" s="17">
        <f>C73/C12</f>
        <v>0.15194308433390738</v>
      </c>
      <c r="D74" s="17">
        <f>D73/D12</f>
        <v>0.18298036424037492</v>
      </c>
      <c r="E74" s="17">
        <f>E73/E12</f>
        <v>0.18246289737293842</v>
      </c>
      <c r="F74" s="17">
        <f>F73/F12</f>
        <v>0.1399725101426949</v>
      </c>
      <c r="G74" s="17">
        <f>G73/G12</f>
        <v>0.09040592424060118</v>
      </c>
      <c r="H74" s="17">
        <f>H73/H12</f>
        <v>0.12896173498069885</v>
      </c>
      <c r="I74" s="31"/>
      <c r="J74" s="31"/>
      <c r="K74" s="1"/>
      <c r="L74" s="5"/>
    </row>
    <row r="75">
      <c r="A75" s="1"/>
      <c r="B75" t="s" s="13">
        <v>217</v>
      </c>
      <c r="C75" s="26">
        <f>SUM(CFS!C20:C26)</f>
        <v>-43.29400000000001</v>
      </c>
      <c r="D75" s="26">
        <f>SUM(CFS!D20:D26)</f>
        <v>-15.882999999999997</v>
      </c>
      <c r="E75" s="26">
        <f>SUM(CFS!E20:E26)</f>
        <v>-16.125</v>
      </c>
      <c r="F75" s="26">
        <f>SUM(CFS!F20:F26)</f>
        <v>-21.160000000000004</v>
      </c>
      <c r="G75" s="26">
        <f>SUM(CFS!G20:G26)</f>
        <v>-17.807000000000002</v>
      </c>
      <c r="H75" s="26">
        <f>SUM(CFS!J20:J26)</f>
        <v>-48.711000000000006</v>
      </c>
      <c r="I75" s="4"/>
      <c r="J75" s="4"/>
      <c r="K75" s="1"/>
      <c r="L75" s="5"/>
    </row>
    <row r="76">
      <c r="A76" s="1"/>
      <c r="B76" s="1"/>
      <c r="C76" s="4"/>
      <c r="D76" s="4"/>
      <c r="E76" s="4"/>
      <c r="F76" s="4"/>
      <c r="G76" s="4"/>
      <c r="H76" s="4"/>
      <c r="I76" s="4"/>
      <c r="J76" s="4"/>
      <c r="K76" s="1"/>
      <c r="L76" s="5"/>
    </row>
    <row r="77">
      <c r="A77" s="1"/>
      <c r="B77" t="s" s="6">
        <v>218</v>
      </c>
      <c r="C77" s="7"/>
      <c r="D77" s="7"/>
      <c r="E77" s="7"/>
      <c r="F77" s="7"/>
      <c r="G77" s="7"/>
      <c r="H77" s="7"/>
      <c r="I77" s="7"/>
      <c r="J77" s="7"/>
      <c r="K77" s="1"/>
      <c r="L77" s="5"/>
    </row>
    <row r="78">
      <c r="A78" s="1"/>
      <c r="B78" t="s" s="10">
        <v>219</v>
      </c>
      <c r="C78" s="29">
        <f>-CFS!C30</f>
        <v>5.025</v>
      </c>
      <c r="D78" s="29">
        <f>-CFS!D30</f>
        <v>7.758</v>
      </c>
      <c r="E78" s="29">
        <f>-CFS!E30</f>
        <v>5.6240000000000006</v>
      </c>
      <c r="F78" s="29">
        <f>-CFS!F30</f>
        <v>5.259</v>
      </c>
      <c r="G78" s="29">
        <f>-CFS!G30</f>
        <v>11.554</v>
      </c>
      <c r="H78" s="29">
        <f>-CFS!J30</f>
        <v>9.334</v>
      </c>
      <c r="I78" s="27"/>
      <c r="J78" s="27"/>
      <c r="K78" s="1"/>
      <c r="L78" s="5"/>
    </row>
    <row r="79">
      <c r="A79" s="1"/>
      <c r="B79" t="s" s="16">
        <v>220</v>
      </c>
      <c r="C79" s="17">
        <f>C78/C12</f>
        <v>0.019938735507217625</v>
      </c>
      <c r="D79" s="17">
        <f>D78/D12</f>
        <v>0.025568013288248207</v>
      </c>
      <c r="E79" s="17">
        <f>E78/E12</f>
        <v>0.015275635036179137</v>
      </c>
      <c r="F79" s="17">
        <f>F78/F12</f>
        <v>0.01164002895067098</v>
      </c>
      <c r="G79" s="17">
        <f>G78/G12</f>
        <v>0.015797792629702146</v>
      </c>
      <c r="H79" s="17">
        <f>H78/H12</f>
        <v>0.01457581171062001</v>
      </c>
      <c r="I79" s="31"/>
      <c r="J79" s="31"/>
      <c r="K79" s="1"/>
      <c r="L79" s="5"/>
    </row>
    <row r="80">
      <c r="A80" s="1"/>
      <c r="B80" t="s" s="13">
        <v>221</v>
      </c>
      <c r="C80" s="26">
        <f>BS!C52</f>
        <v>4.925</v>
      </c>
      <c r="D80" s="26">
        <f>BS!D52</f>
        <v>11.561</v>
      </c>
      <c r="E80" s="26">
        <f>BS!E52</f>
        <v>15.954</v>
      </c>
      <c r="F80" s="26">
        <f>BS!F52</f>
        <v>18.053</v>
      </c>
      <c r="G80" s="26">
        <f>BS!G52</f>
        <v>24.475</v>
      </c>
      <c r="H80" s="4"/>
      <c r="I80" s="4"/>
      <c r="J80" s="4"/>
      <c r="K80" s="1"/>
      <c r="L80" t="s" s="5">
        <v>286</v>
      </c>
    </row>
    <row r="81">
      <c r="A81" s="1"/>
      <c r="B81" t="s" s="13">
        <v>222</v>
      </c>
      <c r="C81" s="4"/>
      <c r="D81" s="4"/>
      <c r="E81" s="8">
        <v>5.7</v>
      </c>
      <c r="F81" s="8">
        <v>6.5</v>
      </c>
      <c r="G81" s="8">
        <v>9.9</v>
      </c>
      <c r="H81" s="4"/>
      <c r="I81" s="4"/>
      <c r="J81" s="4"/>
      <c r="K81" s="1"/>
      <c r="L81" t="s" s="5">
        <v>287</v>
      </c>
    </row>
    <row r="82">
      <c r="A82" s="1"/>
      <c r="B82" t="s" s="13">
        <v>223</v>
      </c>
      <c r="C82" s="4"/>
      <c r="D82" s="4"/>
      <c r="E82" s="4"/>
      <c r="F82" s="8">
        <v>5.6</v>
      </c>
      <c r="G82" s="8">
        <v>75.7</v>
      </c>
      <c r="H82" s="4"/>
      <c r="I82" s="4"/>
      <c r="J82" s="4"/>
      <c r="K82" s="1"/>
      <c r="L82" t="s" s="5">
        <v>288</v>
      </c>
    </row>
    <row r="83">
      <c r="A83" s="1"/>
      <c r="B83" t="s" s="10">
        <v>224</v>
      </c>
      <c r="C83" s="29">
        <f>IS!C40</f>
        <v>3.493</v>
      </c>
      <c r="D83" s="29">
        <f>IS!D40</f>
        <v>5.139</v>
      </c>
      <c r="E83" s="29">
        <f>IS!E40</f>
        <v>9.929</v>
      </c>
      <c r="F83" s="29">
        <f>IS!F40</f>
        <v>12.181000000000001</v>
      </c>
      <c r="G83" s="29">
        <f>IS!G40</f>
        <v>85.541</v>
      </c>
      <c r="H83" s="29">
        <f>IS!L40</f>
        <v>59.503</v>
      </c>
      <c r="I83" s="27"/>
      <c r="J83" s="27"/>
      <c r="K83" s="1"/>
      <c r="L83" s="5"/>
    </row>
    <row r="84">
      <c r="A84" s="1"/>
      <c r="B84" t="s" s="13">
        <v>225</v>
      </c>
      <c r="C84" s="4"/>
      <c r="D84" s="9">
        <f>D80-C80</f>
        <v>6.636</v>
      </c>
      <c r="E84" s="9">
        <f>E80-D80</f>
        <v>4.393000000000001</v>
      </c>
      <c r="F84" s="9">
        <f>F80-E80</f>
        <v>2.099</v>
      </c>
      <c r="G84" s="9">
        <f>G80-F80</f>
        <v>6.422000000000001</v>
      </c>
      <c r="H84" s="4"/>
      <c r="I84" s="4"/>
      <c r="J84" s="4"/>
      <c r="K84" s="1"/>
      <c r="L84" t="s" s="5">
        <v>289</v>
      </c>
    </row>
    <row r="85">
      <c r="A85" s="1"/>
      <c r="B85" t="s" s="16">
        <v>193</v>
      </c>
      <c r="C85" s="31"/>
      <c r="D85" s="17">
        <f>D84/D12</f>
        <v>0.02187024183820767</v>
      </c>
      <c r="E85" s="17">
        <f>E84/E12</f>
        <v>0.011932052758523284</v>
      </c>
      <c r="F85" s="17">
        <f>F84/F12</f>
        <v>0.004645830151636886</v>
      </c>
      <c r="G85" s="17">
        <f>G84/G12</f>
        <v>0.0087808052854377</v>
      </c>
      <c r="H85" s="31"/>
      <c r="I85" s="31"/>
      <c r="J85" s="31"/>
      <c r="K85" s="1"/>
      <c r="L85" s="5"/>
    </row>
    <row r="86">
      <c r="A86" s="1"/>
      <c r="B86" t="s" s="13">
        <v>226</v>
      </c>
      <c r="C86" s="35"/>
      <c r="D86" s="35"/>
      <c r="E86" s="36">
        <f>E78/E81</f>
        <v>0.9866666666666667</v>
      </c>
      <c r="F86" s="36">
        <f>F78/F81</f>
        <v>0.8090769230769231</v>
      </c>
      <c r="G86" s="36">
        <f>G78/G81</f>
        <v>1.1670707070707071</v>
      </c>
      <c r="H86" s="35"/>
      <c r="I86" s="35"/>
      <c r="J86" s="35"/>
      <c r="K86" s="1"/>
      <c r="L86" s="5"/>
    </row>
    <row r="87">
      <c r="A87" s="1"/>
      <c r="B87" s="1"/>
      <c r="C87" s="4"/>
      <c r="D87" s="4"/>
      <c r="E87" s="4"/>
      <c r="F87" s="4"/>
      <c r="G87" s="4"/>
      <c r="H87" s="4"/>
      <c r="I87" s="4"/>
      <c r="J87" s="4"/>
      <c r="K87" s="1"/>
      <c r="L87" s="5"/>
    </row>
    <row r="88">
      <c r="A88" s="1"/>
      <c r="B88" t="s" s="6">
        <v>227</v>
      </c>
      <c r="C88" s="7"/>
      <c r="D88" s="7"/>
      <c r="E88" s="7"/>
      <c r="F88" s="7"/>
      <c r="G88" s="7"/>
      <c r="H88" s="7"/>
      <c r="I88" s="7"/>
      <c r="J88" s="7"/>
      <c r="K88" s="1"/>
      <c r="L88" s="5"/>
    </row>
    <row r="89">
      <c r="A89" s="1"/>
      <c r="B89" t="s" s="16">
        <v>228</v>
      </c>
      <c r="C89" s="32">
        <v>0.21</v>
      </c>
      <c r="D89" s="32">
        <v>0.21</v>
      </c>
      <c r="E89" s="32">
        <v>0.21</v>
      </c>
      <c r="F89" s="32">
        <v>0.21</v>
      </c>
      <c r="G89" s="32">
        <v>0.21</v>
      </c>
      <c r="H89" s="31"/>
      <c r="I89" s="31"/>
      <c r="J89" s="31"/>
      <c r="K89" s="1"/>
      <c r="L89" t="s" s="5">
        <v>290</v>
      </c>
    </row>
    <row r="90">
      <c r="A90" s="1"/>
      <c r="B90" t="s" s="13">
        <v>229</v>
      </c>
      <c r="C90" s="26">
        <f>IS!C16*(1-C89)</f>
        <v>22.484189999999987</v>
      </c>
      <c r="D90" s="26">
        <f>IS!D16*(1-D89)</f>
        <v>4.042429999999992</v>
      </c>
      <c r="E90" s="26">
        <f>IS!E16*(1-E89)</f>
        <v>-13.228550000000004</v>
      </c>
      <c r="F90" s="26">
        <f>IS!F16*(1-F89)</f>
        <v>9.664859999999985</v>
      </c>
      <c r="G90" s="26">
        <f>IS!G16*(1-G89)</f>
        <v>-6.071940000000028</v>
      </c>
      <c r="H90" s="4"/>
      <c r="I90" s="4"/>
      <c r="J90" s="4"/>
      <c r="K90" s="1"/>
      <c r="L90" s="5"/>
    </row>
    <row r="91">
      <c r="A91" s="1"/>
      <c r="B91" t="s" s="13">
        <v>230</v>
      </c>
      <c r="C91" s="9">
        <f>(C38-C83)*(1-C89)</f>
        <v>54.654569999999985</v>
      </c>
      <c r="D91" s="9">
        <f>(D38-D83)*(1-D89)</f>
        <v>60.03763</v>
      </c>
      <c r="E91" s="9">
        <f>(E38-E83)*(1-E89)</f>
        <v>75.82182999999999</v>
      </c>
      <c r="F91" s="9">
        <f>(F38-F83)*(1-F89)</f>
        <v>105.45946999999994</v>
      </c>
      <c r="G91" s="9">
        <f>(G38-G83)*(1-G89)</f>
        <v>128.49271000000002</v>
      </c>
      <c r="H91" s="4"/>
      <c r="I91" s="4"/>
      <c r="J91" s="4"/>
      <c r="K91" s="1"/>
      <c r="L91" s="5"/>
    </row>
    <row r="92">
      <c r="A92" s="1"/>
      <c r="B92" t="s" s="13">
        <v>231</v>
      </c>
      <c r="C92" s="26">
        <f>BS!C51</f>
        <v>53.907000000000004</v>
      </c>
      <c r="D92" s="26">
        <f>BS!D51</f>
        <v>51.242000000000004</v>
      </c>
      <c r="E92" s="26">
        <f>BS!E51</f>
        <v>48.578</v>
      </c>
      <c r="F92" s="26">
        <f>BS!F51</f>
        <v>45.914</v>
      </c>
      <c r="G92" s="26">
        <f>BS!G51</f>
        <v>822.643</v>
      </c>
      <c r="H92" s="26">
        <f>BS!H51</f>
        <v>838.869</v>
      </c>
      <c r="I92" s="4"/>
      <c r="J92" s="4"/>
      <c r="K92" s="1"/>
      <c r="L92" s="5"/>
    </row>
    <row r="93">
      <c r="A93" s="1"/>
      <c r="B93" t="s" s="13">
        <v>232</v>
      </c>
      <c r="C93" s="26">
        <f>BS!C46</f>
        <v>261.868</v>
      </c>
      <c r="D93" s="26">
        <f>BS!D46</f>
        <v>338.38599999999997</v>
      </c>
      <c r="E93" s="26">
        <f>BS!E46</f>
        <v>409.65700000000004</v>
      </c>
      <c r="F93" s="26">
        <f>BS!F46</f>
        <v>1030.231</v>
      </c>
      <c r="G93" s="26">
        <f>BS!G46</f>
        <v>2031.0919999999996</v>
      </c>
      <c r="H93" s="26">
        <f>BS!H46</f>
        <v>2001.551</v>
      </c>
      <c r="I93" s="4"/>
      <c r="J93" s="4"/>
      <c r="K93" s="1"/>
      <c r="L93" s="5"/>
    </row>
    <row r="94">
      <c r="A94" s="1"/>
      <c r="B94" t="s" s="13">
        <v>233</v>
      </c>
      <c r="C94" s="26">
        <f>BS!C9+BS!C10+BS!C22</f>
        <v>254.597</v>
      </c>
      <c r="D94" s="26">
        <f>BS!D9+BS!D10+BS!D22</f>
        <v>255.614</v>
      </c>
      <c r="E94" s="26">
        <f>BS!E9+BS!E10+BS!E22</f>
        <v>317.71700000000004</v>
      </c>
      <c r="F94" s="26">
        <f>BS!F9+BS!F10+BS!F22</f>
        <v>285.78999999999996</v>
      </c>
      <c r="G94" s="26">
        <f>BS!G9+BS!G10+BS!G22</f>
        <v>91.245</v>
      </c>
      <c r="H94" s="26">
        <f>BS!H9+BS!H10+BS!H22</f>
        <v>64.148</v>
      </c>
      <c r="I94" s="4"/>
      <c r="J94" s="4"/>
      <c r="K94" s="1"/>
      <c r="L94" s="5"/>
    </row>
    <row r="95">
      <c r="A95" s="1"/>
      <c r="B95" t="s" s="13">
        <v>234</v>
      </c>
      <c r="C95" s="26">
        <f>BS!C18</f>
        <v>0</v>
      </c>
      <c r="D95" s="26">
        <f>BS!D18</f>
        <v>0</v>
      </c>
      <c r="E95" s="26">
        <f>BS!E18</f>
        <v>0</v>
      </c>
      <c r="F95" s="26">
        <f>BS!F18</f>
        <v>602.5</v>
      </c>
      <c r="G95" s="26">
        <f>BS!G18</f>
        <v>695.998</v>
      </c>
      <c r="H95" s="26">
        <f>BS!H18</f>
        <v>671.801</v>
      </c>
      <c r="I95" s="4"/>
      <c r="J95" s="4"/>
      <c r="K95" s="1"/>
      <c r="L95" s="5"/>
    </row>
    <row r="96">
      <c r="A96" s="1"/>
      <c r="B96" t="s" s="10">
        <v>235</v>
      </c>
      <c r="C96" s="12">
        <f>C92+C93-C94-C95</f>
        <v>61.17799999999997</v>
      </c>
      <c r="D96" s="12">
        <f>D92+D93-D94-D95</f>
        <v>134.01399999999998</v>
      </c>
      <c r="E96" s="12">
        <f>E92+E93-E94-E95</f>
        <v>140.51799999999997</v>
      </c>
      <c r="F96" s="12">
        <f>F92+F93-F94-F95</f>
        <v>187.85500000000002</v>
      </c>
      <c r="G96" s="12">
        <f>G92+G93-G94-G95</f>
        <v>2066.4919999999997</v>
      </c>
      <c r="H96" s="12">
        <f>H92+H93-H94-H95</f>
        <v>2104.471</v>
      </c>
      <c r="I96" s="27"/>
      <c r="J96" s="27"/>
      <c r="K96" s="1"/>
      <c r="L96" t="s" s="5">
        <v>291</v>
      </c>
    </row>
    <row r="97">
      <c r="A97" s="1"/>
      <c r="B97" t="s" s="13">
        <v>236</v>
      </c>
      <c r="C97" s="4"/>
      <c r="D97" s="9">
        <f>AVERAGE(C96,D96)</f>
        <v>97.59599999999998</v>
      </c>
      <c r="E97" s="9">
        <f>AVERAGE(D96,E96)</f>
        <v>137.26599999999996</v>
      </c>
      <c r="F97" s="9">
        <f>AVERAGE(E96,F96)</f>
        <v>164.1865</v>
      </c>
      <c r="G97" s="9">
        <f>AVERAGE(F96,G96)</f>
        <v>1127.1734999999999</v>
      </c>
      <c r="H97" s="4"/>
      <c r="I97" s="4"/>
      <c r="J97" s="4"/>
      <c r="K97" s="1"/>
      <c r="L97" s="5"/>
    </row>
    <row r="98">
      <c r="A98" s="1"/>
      <c r="B98" t="s" s="16">
        <v>237</v>
      </c>
      <c r="C98" s="31"/>
      <c r="D98" s="17">
        <f>D90/D97</f>
        <v>0.04142003770646331</v>
      </c>
      <c r="E98" s="17">
        <f>E90/E97</f>
        <v>-0.09637164337854973</v>
      </c>
      <c r="F98" s="17">
        <f>F90/F97</f>
        <v>0.05886513202973439</v>
      </c>
      <c r="G98" s="17">
        <f>G90/G97</f>
        <v>-0.005386872562209836</v>
      </c>
      <c r="H98" s="31"/>
      <c r="I98" s="31"/>
      <c r="J98" s="31"/>
      <c r="K98" s="1"/>
      <c r="L98" s="5"/>
    </row>
    <row r="99">
      <c r="A99" s="1"/>
      <c r="B99" t="s" s="16">
        <v>238</v>
      </c>
      <c r="C99" s="31"/>
      <c r="D99" s="17">
        <f>D91/D97</f>
        <v>0.6151648633140704</v>
      </c>
      <c r="E99" s="17">
        <f>E91/E97</f>
        <v>0.5523715268165461</v>
      </c>
      <c r="F99" s="17">
        <f>F91/F97</f>
        <v>0.6423151111693102</v>
      </c>
      <c r="G99" s="17">
        <f>G91/G97</f>
        <v>0.11399550291059897</v>
      </c>
      <c r="H99" s="31"/>
      <c r="I99" s="31"/>
      <c r="J99" s="31"/>
      <c r="K99" s="1"/>
      <c r="L99" s="5"/>
    </row>
    <row r="100">
      <c r="A100" s="1"/>
      <c r="B100" t="s" s="13">
        <v>239</v>
      </c>
      <c r="C100" s="26">
        <f>BS!C20+BS!C21</f>
        <v>0</v>
      </c>
      <c r="D100" s="26">
        <f>BS!D20+BS!D21</f>
        <v>73.247</v>
      </c>
      <c r="E100" s="26">
        <f>BS!E20+BS!E21</f>
        <v>71.47</v>
      </c>
      <c r="F100" s="26">
        <f>BS!F20+BS!F21</f>
        <v>101.839</v>
      </c>
      <c r="G100" s="26">
        <f>BS!G20+BS!G21</f>
        <v>1957.634</v>
      </c>
      <c r="H100" s="26">
        <f>BS!H20+BS!H21</f>
        <v>1981.226</v>
      </c>
      <c r="I100" s="4"/>
      <c r="J100" s="4"/>
      <c r="K100" s="1"/>
      <c r="L100" s="5"/>
    </row>
    <row r="101">
      <c r="A101" s="1"/>
      <c r="B101" t="s" s="16">
        <v>240</v>
      </c>
      <c r="C101" s="31"/>
      <c r="D101" s="17">
        <f>D91/AVERAGE(C96-C100,D96-D100)</f>
        <v>0.9846673500348522</v>
      </c>
      <c r="E101" s="17">
        <f>E91/AVERAGE(D96-D100,E96-E100)</f>
        <v>1.168152062550553</v>
      </c>
      <c r="F101" s="17">
        <f>F91/AVERAGE(E96-E100,F96-F100)</f>
        <v>1.3602057215085377</v>
      </c>
      <c r="G101" s="17">
        <f>G91/AVERAGE(F96-F100,G96-G100)</f>
        <v>1.3187260486262937</v>
      </c>
      <c r="H101" s="31"/>
      <c r="I101" s="31"/>
      <c r="J101" s="31"/>
      <c r="K101" s="1"/>
      <c r="L101" t="s" s="5">
        <v>292</v>
      </c>
    </row>
    <row r="102">
      <c r="A102" s="1"/>
      <c r="B102" s="1"/>
      <c r="C102" s="4"/>
      <c r="D102" s="4"/>
      <c r="E102" s="4"/>
      <c r="F102" s="4"/>
      <c r="G102" s="4"/>
      <c r="H102" s="4"/>
      <c r="I102" s="4"/>
      <c r="J102" s="4"/>
      <c r="K102" s="1"/>
      <c r="L102" s="5"/>
    </row>
    <row r="103">
      <c r="A103" s="1"/>
      <c r="B103" t="s" s="6">
        <v>241</v>
      </c>
      <c r="C103" s="7"/>
      <c r="D103" s="7"/>
      <c r="E103" s="7"/>
      <c r="F103" s="7"/>
      <c r="G103" s="7"/>
      <c r="H103" s="7"/>
      <c r="I103" s="7"/>
      <c r="J103" s="7"/>
      <c r="K103" s="1"/>
      <c r="L103" s="5"/>
    </row>
    <row r="104">
      <c r="A104" s="1"/>
      <c r="B104" t="s" s="10">
        <v>94</v>
      </c>
      <c r="C104" s="12">
        <f>C92</f>
        <v>53.907000000000004</v>
      </c>
      <c r="D104" s="12">
        <f>D92</f>
        <v>51.242000000000004</v>
      </c>
      <c r="E104" s="12">
        <f>E92</f>
        <v>48.578</v>
      </c>
      <c r="F104" s="12">
        <f>F92</f>
        <v>45.914</v>
      </c>
      <c r="G104" s="12">
        <f>G92</f>
        <v>822.643</v>
      </c>
      <c r="H104" s="12">
        <f>H92</f>
        <v>838.869</v>
      </c>
      <c r="I104" s="27"/>
      <c r="J104" s="27"/>
      <c r="K104" s="1"/>
      <c r="L104" s="5"/>
    </row>
    <row r="105">
      <c r="A105" s="1"/>
      <c r="B105" t="s" s="13">
        <v>233</v>
      </c>
      <c r="C105" s="9">
        <f>C94</f>
        <v>254.597</v>
      </c>
      <c r="D105" s="9">
        <f>D94</f>
        <v>255.614</v>
      </c>
      <c r="E105" s="9">
        <f>E94</f>
        <v>317.71700000000004</v>
      </c>
      <c r="F105" s="9">
        <f>F94</f>
        <v>285.78999999999996</v>
      </c>
      <c r="G105" s="9">
        <f>G94</f>
        <v>91.245</v>
      </c>
      <c r="H105" s="9">
        <f>H94</f>
        <v>64.148</v>
      </c>
      <c r="I105" s="4"/>
      <c r="J105" s="4"/>
      <c r="K105" s="1"/>
      <c r="L105" s="5"/>
    </row>
    <row r="106">
      <c r="A106" s="1"/>
      <c r="B106" t="s" s="10">
        <v>242</v>
      </c>
      <c r="C106" s="12">
        <f>C104-C105</f>
        <v>-200.69</v>
      </c>
      <c r="D106" s="12">
        <f>D104-D105</f>
        <v>-204.372</v>
      </c>
      <c r="E106" s="12">
        <f>E104-E105</f>
        <v>-269.139</v>
      </c>
      <c r="F106" s="12">
        <f>F104-F105</f>
        <v>-239.87599999999998</v>
      </c>
      <c r="G106" s="12">
        <f>G104-G105</f>
        <v>731.398</v>
      </c>
      <c r="H106" s="12">
        <f>H104-H105</f>
        <v>774.721</v>
      </c>
      <c r="I106" s="27"/>
      <c r="J106" s="27"/>
      <c r="K106" s="1"/>
      <c r="L106" t="s" s="5">
        <v>293</v>
      </c>
    </row>
    <row r="107">
      <c r="A107" s="1"/>
      <c r="B107" t="s" s="13">
        <v>243</v>
      </c>
      <c r="C107" s="36">
        <f>C106/C38</f>
        <v>-2.7614343111893893</v>
      </c>
      <c r="D107" s="36">
        <f>D106/D38</f>
        <v>-2.5188818773417476</v>
      </c>
      <c r="E107" s="36">
        <f>E106/E38</f>
        <v>-2.541300776159991</v>
      </c>
      <c r="F107" s="36">
        <f>F106/F38</f>
        <v>-1.646663097052323</v>
      </c>
      <c r="G107" s="36">
        <f>G106/G38</f>
        <v>2.9469277569603936</v>
      </c>
      <c r="H107" s="36">
        <f>H106/H38</f>
        <v>3.590012001909186</v>
      </c>
      <c r="I107" s="35"/>
      <c r="J107" s="35"/>
      <c r="K107" s="1"/>
      <c r="L107" s="5"/>
    </row>
    <row r="108">
      <c r="A108" s="1"/>
      <c r="B108" t="s" s="13">
        <v>244</v>
      </c>
      <c r="C108" s="36">
        <f>C104/C38</f>
        <v>0.7417441796466512</v>
      </c>
      <c r="D108" s="36">
        <f>D104/D38</f>
        <v>0.6315568921317295</v>
      </c>
      <c r="E108" s="36">
        <f>E104/E38</f>
        <v>0.45868978150435297</v>
      </c>
      <c r="F108" s="36">
        <f>F104/F38</f>
        <v>0.31518321732086735</v>
      </c>
      <c r="G108" s="36">
        <f>G104/G38</f>
        <v>3.314569483057335</v>
      </c>
      <c r="H108" s="36">
        <f>H104/H38</f>
        <v>3.8872700985639437</v>
      </c>
      <c r="I108" s="35"/>
      <c r="J108" s="35"/>
      <c r="K108" s="1"/>
      <c r="L108" s="5"/>
    </row>
    <row r="109">
      <c r="A109" s="1"/>
      <c r="B109" t="s" s="13">
        <v>245</v>
      </c>
      <c r="C109" s="43">
        <f>IF(-IS!C17&gt;0,C38/-IS!C17,"n.m.")</f>
        <v>2.829841912623626</v>
      </c>
      <c r="D109" t="str" s="43">
        <f>IF(-IS!D17&gt;0,D38/-IS!D17,"n.m.")</f>
        <v>n.m.</v>
      </c>
      <c r="E109" s="43">
        <f>IF(-IS!E17&gt;0,E38/-IS!E17,"n.m.")</f>
        <v>22.395009515753856</v>
      </c>
      <c r="F109" s="43">
        <f>IF(-IS!F17&gt;0,F38/-IS!F17,"n.m.")</f>
        <v>33.68184971098264</v>
      </c>
      <c r="G109" s="43">
        <f>IF(-IS!G17&gt;0,G38/-IS!G17,"n.m.")</f>
        <v>5.435134898388227</v>
      </c>
      <c r="H109" s="43">
        <f>IF(-IS!L17&gt;0,H38/-IS!L17,"n.m.")</f>
        <v>6.835355231066482</v>
      </c>
      <c r="I109" s="35"/>
      <c r="J109" s="35"/>
      <c r="K109" s="1"/>
      <c r="L109" s="5"/>
    </row>
    <row r="110">
      <c r="A110" s="1"/>
      <c r="B110" t="s" s="13">
        <v>246</v>
      </c>
      <c r="C110" s="43">
        <f>BS!C13/BS!C32</f>
        <v>10.299955125328546</v>
      </c>
      <c r="D110" s="43">
        <f>BS!D13/BS!D32</f>
        <v>5.398200327213234</v>
      </c>
      <c r="E110" s="43">
        <f>BS!E13/BS!E32</f>
        <v>5.148975146054065</v>
      </c>
      <c r="F110" s="43">
        <f>BS!F13/BS!F32</f>
        <v>4.992031355448269</v>
      </c>
      <c r="G110" s="43">
        <f>BS!G13/BS!G32</f>
        <v>1.8319356898037102</v>
      </c>
      <c r="H110" s="43">
        <f>BS!H13/BS!H32</f>
        <v>1.965364573130118</v>
      </c>
      <c r="I110" s="35"/>
      <c r="J110" s="35"/>
      <c r="K110" s="1"/>
      <c r="L110" t="s" s="5">
        <v>365</v>
      </c>
    </row>
    <row r="111">
      <c r="A111" s="1"/>
      <c r="B111" t="s" s="13">
        <v>247</v>
      </c>
      <c r="C111" s="4"/>
      <c r="D111" s="4"/>
      <c r="E111" s="4"/>
      <c r="F111" s="4"/>
      <c r="G111" s="8">
        <v>156</v>
      </c>
      <c r="H111" s="4"/>
      <c r="I111" s="4"/>
      <c r="J111" s="4"/>
      <c r="K111" s="1"/>
      <c r="L111" t="s" s="5">
        <v>294</v>
      </c>
    </row>
    <row r="112">
      <c r="A112" s="1"/>
      <c r="B112" t="s" s="10">
        <v>248</v>
      </c>
      <c r="C112" s="27"/>
      <c r="D112" s="27"/>
      <c r="E112" s="27"/>
      <c r="F112" s="27"/>
      <c r="G112" s="12">
        <f>G105+G111</f>
        <v>247.245</v>
      </c>
      <c r="H112" s="27"/>
      <c r="I112" s="27"/>
      <c r="J112" s="27"/>
      <c r="K112" s="1"/>
      <c r="L112" t="s" s="5">
        <v>295</v>
      </c>
    </row>
    <row r="113">
      <c r="A113" s="1"/>
      <c r="B113" s="47"/>
      <c r="C113" s="48"/>
      <c r="D113" s="48"/>
      <c r="E113" s="48"/>
      <c r="F113" s="48"/>
      <c r="G113" s="49"/>
      <c r="H113" s="48"/>
      <c r="I113" s="48"/>
      <c r="J113" s="48"/>
      <c r="K113" s="50"/>
      <c r="L113" s="51"/>
    </row>
    <row r="114">
      <c r="A114" s="1"/>
      <c r="B114" t="s" s="6">
        <v>249</v>
      </c>
      <c r="C114" s="7"/>
      <c r="D114" s="7"/>
      <c r="E114" s="7"/>
      <c r="F114" s="7"/>
      <c r="G114" s="7"/>
      <c r="H114" s="7"/>
      <c r="I114" s="7"/>
      <c r="J114" s="7"/>
      <c r="K114" s="1"/>
      <c r="L114" s="5"/>
    </row>
    <row r="115">
      <c r="A115" s="1"/>
      <c r="B115" t="s" s="13">
        <v>250</v>
      </c>
      <c r="C115" s="37"/>
      <c r="D115" s="37"/>
      <c r="E115" s="37"/>
      <c r="F115" s="37"/>
      <c r="G115" s="38">
        <v>24.55</v>
      </c>
      <c r="H115" s="37"/>
      <c r="I115" s="37"/>
      <c r="J115" s="37"/>
      <c r="K115" s="1"/>
      <c r="L115" t="s" s="5">
        <v>296</v>
      </c>
    </row>
    <row r="116">
      <c r="A116" s="1"/>
      <c r="B116" t="s" s="13">
        <v>251</v>
      </c>
      <c r="C116" s="4"/>
      <c r="D116" s="4"/>
      <c r="E116" s="4"/>
      <c r="F116" s="4"/>
      <c r="G116" s="8">
        <v>8400</v>
      </c>
      <c r="H116" s="4"/>
      <c r="I116" s="4"/>
      <c r="J116" s="4"/>
      <c r="K116" s="1"/>
      <c r="L116" t="s" s="5">
        <v>296</v>
      </c>
    </row>
    <row r="117">
      <c r="A117" s="1"/>
      <c r="B117" t="s" s="13">
        <v>252</v>
      </c>
      <c r="C117" s="35"/>
      <c r="D117" s="35"/>
      <c r="E117" s="35"/>
      <c r="F117" s="35"/>
      <c r="G117" s="36">
        <f>G116/G12</f>
        <v>11.485326128570021</v>
      </c>
      <c r="H117" s="36">
        <f>$G$116/H12</f>
        <v>13.117293590015866</v>
      </c>
      <c r="I117" s="35"/>
      <c r="J117" s="35"/>
      <c r="K117" s="1"/>
      <c r="L117" t="s" s="5">
        <v>297</v>
      </c>
    </row>
    <row r="118">
      <c r="A118" s="1"/>
      <c r="B118" t="s" s="13">
        <v>253</v>
      </c>
      <c r="C118" s="35"/>
      <c r="D118" s="35"/>
      <c r="E118" s="35"/>
      <c r="F118" s="35"/>
      <c r="G118" s="36">
        <f>G116/G21</f>
        <v>10.281454825857859</v>
      </c>
      <c r="H118" s="35"/>
      <c r="I118" s="35"/>
      <c r="J118" s="35"/>
      <c r="K118" s="1"/>
      <c r="L118" s="5"/>
    </row>
    <row r="119">
      <c r="A119" s="1"/>
      <c r="B119" t="s" s="13">
        <v>254</v>
      </c>
      <c r="C119" s="35"/>
      <c r="D119" s="35"/>
      <c r="E119" s="35"/>
      <c r="F119" s="35"/>
      <c r="G119" s="36">
        <f>G116/G38</f>
        <v>33.84503807566784</v>
      </c>
      <c r="H119" s="36">
        <f>$G$116/H38</f>
        <v>38.925110867056866</v>
      </c>
      <c r="I119" s="35"/>
      <c r="J119" s="35"/>
      <c r="K119" s="1"/>
      <c r="L119" t="s" s="5">
        <v>298</v>
      </c>
    </row>
    <row r="120">
      <c r="A120" s="1"/>
      <c r="B120" t="s" s="13">
        <v>255</v>
      </c>
      <c r="C120" s="35"/>
      <c r="D120" s="35"/>
      <c r="E120" s="35"/>
      <c r="F120" s="35"/>
      <c r="G120" s="36">
        <f>G116/G48</f>
        <v>73.90657856533255</v>
      </c>
      <c r="H120" s="36">
        <f>$G$116/H48</f>
        <v>99.2403388348713</v>
      </c>
      <c r="I120" s="35"/>
      <c r="J120" s="35"/>
      <c r="K120" s="1"/>
      <c r="L120" s="5"/>
    </row>
    <row r="121">
      <c r="A121" s="1"/>
      <c r="B121" t="s" s="16">
        <v>256</v>
      </c>
      <c r="C121" s="31"/>
      <c r="D121" s="31"/>
      <c r="E121" s="31"/>
      <c r="F121" s="31"/>
      <c r="G121" s="17">
        <f>G56/G116</f>
        <v>0.019564523809523806</v>
      </c>
      <c r="H121" s="17">
        <f>H56/$G$116</f>
        <v>0.00976571428571428</v>
      </c>
      <c r="I121" s="31"/>
      <c r="J121" s="31"/>
      <c r="K121" s="1"/>
      <c r="L121" t="s" s="5">
        <v>299</v>
      </c>
    </row>
    <row r="122">
      <c r="A122" s="1"/>
      <c r="B122" t="s" s="13">
        <v>257</v>
      </c>
      <c r="C122" s="37"/>
      <c r="D122" s="37"/>
      <c r="E122" s="37"/>
      <c r="F122" s="37"/>
      <c r="G122" s="39">
        <f>Acquisitions!C17</f>
        <v>21.33</v>
      </c>
      <c r="H122" s="37"/>
      <c r="I122" s="37"/>
      <c r="J122" s="37"/>
      <c r="K122" s="1"/>
      <c r="L122" s="5"/>
    </row>
    <row r="123">
      <c r="A123" s="1"/>
      <c r="B123" t="s" s="13">
        <v>258</v>
      </c>
      <c r="C123" s="37"/>
      <c r="D123" s="37"/>
      <c r="E123" s="37"/>
      <c r="F123" s="37"/>
      <c r="G123" s="39">
        <f>Acquisitions!D17</f>
        <v>22.74</v>
      </c>
      <c r="H123" s="37"/>
      <c r="I123" s="37"/>
      <c r="J123" s="37"/>
      <c r="K123" s="1"/>
      <c r="L123" s="5"/>
    </row>
    <row r="124">
      <c r="A124" s="1"/>
      <c r="B124" t="s" s="16">
        <v>259</v>
      </c>
      <c r="C124" s="31"/>
      <c r="D124" s="31"/>
      <c r="E124" s="31"/>
      <c r="F124" s="31"/>
      <c r="G124" s="17">
        <f>G115/G122-1</f>
        <v>0.15096108766994853</v>
      </c>
      <c r="H124" s="31"/>
      <c r="I124" s="31"/>
      <c r="J124" s="31"/>
      <c r="K124" s="1"/>
      <c r="L124" t="s" s="5">
        <v>300</v>
      </c>
    </row>
    <row r="125">
      <c r="A125" s="1"/>
      <c r="B125" t="s" s="16">
        <v>260</v>
      </c>
      <c r="C125" s="31"/>
      <c r="D125" s="31"/>
      <c r="E125" s="31"/>
      <c r="F125" s="31"/>
      <c r="G125" s="17">
        <f>G115/G123-1</f>
        <v>0.07959542656112584</v>
      </c>
      <c r="H125" s="31"/>
      <c r="I125" s="31"/>
      <c r="J125" s="31"/>
      <c r="K125" s="1"/>
      <c r="L125" s="5"/>
    </row>
  </sheetData>
  <pageMargins left="0.7" right="0.7" top="0.75" bottom="0.75" header="0.3" footer="0.3"/>
  <drawing r:id="rId1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showGridLines="0" workbookViewId="0">
      <selection activeCell="A1" sqref="A1"/>
    </sheetView>
  </sheetViews>
  <cols>
    <col min="1" max="1" width="2" customWidth="1"/>
    <col min="2" max="2" width="54" customWidth="1"/>
    <col min="3" max="5" width="11" customWidth="1"/>
    <col min="6" max="6" width="2" customWidth="1"/>
    <col min="7" max="7" width="44" customWidth="1"/>
  </cols>
  <sheetData>
    <row r="1">
      <c r="A1" s="1"/>
      <c r="B1" s="1"/>
      <c r="C1" s="1"/>
      <c r="D1" s="1"/>
      <c r="E1" s="1"/>
      <c r="F1" s="1"/>
      <c r="G1" s="1"/>
    </row>
    <row r="2">
      <c r="A2" s="1"/>
      <c r="B2" t="s" s="2">
        <v>301</v>
      </c>
      <c r="C2" s="1"/>
      <c r="D2" s="1"/>
      <c r="E2" s="1"/>
      <c r="F2" s="1"/>
      <c r="G2" s="1"/>
    </row>
    <row r="3">
      <c r="A3" s="1"/>
      <c r="B3" t="s" s="3">
        <v>302</v>
      </c>
      <c r="C3" s="1"/>
      <c r="D3" s="1"/>
      <c r="E3" s="1"/>
      <c r="F3" s="1"/>
      <c r="G3" s="1"/>
    </row>
    <row r="4">
      <c r="A4" s="1"/>
      <c r="B4" s="1"/>
      <c r="C4" s="1"/>
      <c r="D4" s="1"/>
      <c r="E4" s="1"/>
      <c r="F4" s="1"/>
      <c r="G4" s="1"/>
    </row>
    <row r="5">
      <c r="A5" s="1"/>
      <c r="B5" s="1"/>
      <c r="C5" t="s" s="19">
        <v>352</v>
      </c>
      <c r="D5" t="s" s="19">
        <v>353</v>
      </c>
      <c r="E5" t="s" s="19">
        <v>354</v>
      </c>
      <c r="F5" s="1"/>
      <c r="G5" t="s" s="24">
        <v>44</v>
      </c>
    </row>
    <row r="6">
      <c r="A6" s="1"/>
      <c r="B6" t="s" s="13">
        <v>303</v>
      </c>
      <c r="C6" s="44">
        <v>45768</v>
      </c>
      <c r="D6" s="44">
        <v>45777</v>
      </c>
      <c r="E6" s="4"/>
      <c r="F6" s="1"/>
      <c r="G6" t="s" s="5">
        <v>356</v>
      </c>
    </row>
    <row r="7">
      <c r="A7" s="1"/>
      <c r="B7" s="1"/>
      <c r="C7" s="4"/>
      <c r="D7" s="4"/>
      <c r="E7" s="4"/>
      <c r="F7" s="1"/>
      <c r="G7" s="5"/>
    </row>
    <row r="8">
      <c r="A8" s="1"/>
      <c r="B8" t="s" s="6">
        <v>304</v>
      </c>
      <c r="C8" s="7"/>
      <c r="D8" s="7"/>
      <c r="E8" s="7"/>
      <c r="F8" s="1"/>
      <c r="G8" s="5"/>
    </row>
    <row r="9">
      <c r="A9" s="1"/>
      <c r="B9" t="s" s="13">
        <v>305</v>
      </c>
      <c r="C9" s="8">
        <v>760.499</v>
      </c>
      <c r="D9" s="8">
        <v>351.327</v>
      </c>
      <c r="E9" s="9">
        <f>C9+D9</f>
        <v>1111.826</v>
      </c>
      <c r="F9" s="1"/>
      <c r="G9" t="s" s="5">
        <v>356</v>
      </c>
    </row>
    <row r="10">
      <c r="A10" s="1"/>
      <c r="B10" t="s" s="13">
        <v>306</v>
      </c>
      <c r="C10" s="8">
        <v>598.648</v>
      </c>
      <c r="D10" s="8">
        <v>178.707</v>
      </c>
      <c r="E10" s="9">
        <f>C10+D10</f>
        <v>777.355</v>
      </c>
      <c r="F10" s="1"/>
      <c r="G10" t="s" s="5">
        <v>356</v>
      </c>
    </row>
    <row r="11">
      <c r="A11" s="1"/>
      <c r="B11" t="s" s="13">
        <v>307</v>
      </c>
      <c r="C11" s="8">
        <v>12.769</v>
      </c>
      <c r="D11" s="8">
        <v>1.911</v>
      </c>
      <c r="E11" s="9">
        <f>C11+D11</f>
        <v>14.68</v>
      </c>
      <c r="F11" s="1"/>
      <c r="G11" t="s" s="5">
        <v>356</v>
      </c>
    </row>
    <row r="12">
      <c r="A12" s="1"/>
      <c r="B12" t="s" s="13">
        <v>308</v>
      </c>
      <c r="C12" s="8">
        <v>30</v>
      </c>
      <c r="D12" s="4"/>
      <c r="E12" s="9">
        <f>C12+D12</f>
        <v>30</v>
      </c>
      <c r="F12" s="1"/>
      <c r="G12" t="s" s="5">
        <v>357</v>
      </c>
    </row>
    <row r="13">
      <c r="A13" s="1"/>
      <c r="B13" t="s" s="10">
        <v>309</v>
      </c>
      <c r="C13" s="12">
        <f>SUM(C9:C12)</f>
        <v>1401.916</v>
      </c>
      <c r="D13" s="12">
        <f>SUM(D9:D12)</f>
        <v>531.9449999999999</v>
      </c>
      <c r="E13" s="12">
        <f>SUM(E9:E12)</f>
        <v>1933.861</v>
      </c>
      <c r="F13" s="1"/>
      <c r="G13" t="s" s="5">
        <v>358</v>
      </c>
    </row>
    <row r="14">
      <c r="A14" s="1"/>
      <c r="B14" t="s" s="13">
        <v>310</v>
      </c>
      <c r="C14" s="8">
        <v>-22.864</v>
      </c>
      <c r="D14" s="8">
        <v>-44.208</v>
      </c>
      <c r="E14" s="9">
        <f>C14+D14</f>
        <v>-67.072</v>
      </c>
      <c r="F14" s="1"/>
      <c r="G14" t="s" s="5">
        <v>356</v>
      </c>
    </row>
    <row r="15">
      <c r="A15" s="1"/>
      <c r="B15" t="s" s="10">
        <v>311</v>
      </c>
      <c r="C15" s="12">
        <f>C13+C14</f>
        <v>1379.052</v>
      </c>
      <c r="D15" s="12">
        <f>D13+D14</f>
        <v>487.73699999999997</v>
      </c>
      <c r="E15" s="12">
        <f>E13+E14</f>
        <v>1866.7890000000002</v>
      </c>
      <c r="F15" s="1"/>
      <c r="G15" t="s" s="5">
        <v>358</v>
      </c>
    </row>
    <row r="16">
      <c r="A16" s="1"/>
      <c r="B16" t="s" s="13">
        <v>312</v>
      </c>
      <c r="C16" s="8">
        <v>28.066027</v>
      </c>
      <c r="D16" s="8">
        <v>7.858675</v>
      </c>
      <c r="E16" s="9">
        <f>C16+D16</f>
        <v>35.924701999999996</v>
      </c>
      <c r="F16" s="1"/>
      <c r="G16" t="s" s="5">
        <v>356</v>
      </c>
    </row>
    <row r="17">
      <c r="A17" s="1"/>
      <c r="B17" t="s" s="13">
        <v>313</v>
      </c>
      <c r="C17" s="38">
        <v>21.33</v>
      </c>
      <c r="D17" s="38">
        <v>22.74</v>
      </c>
      <c r="E17" s="37"/>
      <c r="F17" s="1"/>
      <c r="G17" t="s" s="5">
        <v>356</v>
      </c>
    </row>
    <row r="18">
      <c r="A18" s="1"/>
      <c r="B18" s="1"/>
      <c r="C18" s="4"/>
      <c r="D18" s="4"/>
      <c r="E18" s="4"/>
      <c r="F18" s="1"/>
      <c r="G18" s="5"/>
    </row>
    <row r="19">
      <c r="A19" s="1"/>
      <c r="B19" t="s" s="6">
        <v>314</v>
      </c>
      <c r="C19" s="7"/>
      <c r="D19" s="7"/>
      <c r="E19" s="7"/>
      <c r="F19" s="1"/>
      <c r="G19" s="5"/>
    </row>
    <row r="20">
      <c r="A20" s="1"/>
      <c r="B20" t="s" s="13">
        <v>66</v>
      </c>
      <c r="C20" s="8">
        <v>854.391</v>
      </c>
      <c r="D20" s="8">
        <v>339.247</v>
      </c>
      <c r="E20" s="9">
        <f>C20+D20</f>
        <v>1193.638</v>
      </c>
      <c r="F20" s="1"/>
      <c r="G20" t="s" s="5">
        <v>359</v>
      </c>
    </row>
    <row r="21">
      <c r="A21" s="1"/>
      <c r="B21" t="s" s="13">
        <v>315</v>
      </c>
      <c r="C21" s="8">
        <v>400</v>
      </c>
      <c r="D21" s="8">
        <v>130</v>
      </c>
      <c r="E21" s="9">
        <f>C21+D21</f>
        <v>530</v>
      </c>
      <c r="F21" s="1"/>
      <c r="G21" t="s" s="5">
        <v>360</v>
      </c>
    </row>
    <row r="22">
      <c r="A22" s="1"/>
      <c r="B22" t="s" s="13">
        <v>316</v>
      </c>
      <c r="C22" s="8">
        <v>40</v>
      </c>
      <c r="D22" s="8">
        <v>33.5</v>
      </c>
      <c r="E22" s="9">
        <f>C22+D22</f>
        <v>73.5</v>
      </c>
      <c r="F22" s="1"/>
      <c r="G22" t="s" s="5">
        <v>360</v>
      </c>
    </row>
    <row r="23">
      <c r="A23" s="1"/>
      <c r="B23" t="s" s="13">
        <v>317</v>
      </c>
      <c r="C23" s="8">
        <v>10</v>
      </c>
      <c r="D23" s="8">
        <v>3.4</v>
      </c>
      <c r="E23" s="9">
        <f>C23+D23</f>
        <v>13.4</v>
      </c>
      <c r="F23" s="1"/>
      <c r="G23" t="s" s="5">
        <v>360</v>
      </c>
    </row>
    <row r="24">
      <c r="A24" s="1"/>
      <c r="B24" t="s" s="10">
        <v>318</v>
      </c>
      <c r="C24" s="12">
        <f>SUM(C21:C23)</f>
        <v>450</v>
      </c>
      <c r="D24" s="12">
        <f>SUM(D21:D23)</f>
        <v>166.9</v>
      </c>
      <c r="E24" s="12">
        <f>SUM(E21:E23)</f>
        <v>616.9</v>
      </c>
      <c r="F24" s="1"/>
      <c r="G24" t="s" s="5">
        <v>358</v>
      </c>
    </row>
    <row r="25">
      <c r="A25" s="1"/>
      <c r="B25" t="s" s="13">
        <v>319</v>
      </c>
      <c r="C25" s="9">
        <f>C15-C20-C24</f>
        <v>74.66099999999994</v>
      </c>
      <c r="D25" s="9">
        <f>D15-D20-D24</f>
        <v>-18.410000000000053</v>
      </c>
      <c r="E25" s="9">
        <f>E15-E20-E24</f>
        <v>56.25100000000032</v>
      </c>
      <c r="F25" s="1"/>
      <c r="G25" t="s" s="5">
        <v>358</v>
      </c>
    </row>
    <row r="26">
      <c r="A26" s="1"/>
      <c r="B26" t="s" s="16">
        <v>320</v>
      </c>
      <c r="C26" s="17">
        <f>(C20+C24)/C15</f>
        <v>0.9458606346968789</v>
      </c>
      <c r="D26" s="17">
        <f>(D20+D24)/D15</f>
        <v>1.0377457523214357</v>
      </c>
      <c r="E26" s="17">
        <f>(E20+E24)/E15</f>
        <v>0.9698675104685103</v>
      </c>
      <c r="F26" s="1"/>
      <c r="G26" t="s" s="5">
        <v>358</v>
      </c>
    </row>
    <row r="27">
      <c r="A27" s="1"/>
      <c r="B27" s="1"/>
      <c r="C27" s="4"/>
      <c r="D27" s="4"/>
      <c r="E27" s="4"/>
      <c r="F27" s="1"/>
      <c r="G27" s="5"/>
    </row>
    <row r="28">
      <c r="A28" s="1"/>
      <c r="B28" t="s" s="6">
        <v>321</v>
      </c>
      <c r="C28" s="7"/>
      <c r="D28" s="7"/>
      <c r="E28" s="7"/>
      <c r="F28" s="1"/>
      <c r="G28" s="5"/>
    </row>
    <row r="29">
      <c r="A29" s="1"/>
      <c r="B29" t="s" s="13">
        <v>322</v>
      </c>
      <c r="C29" s="41">
        <v>7</v>
      </c>
      <c r="D29" s="41">
        <v>8</v>
      </c>
      <c r="E29" s="40"/>
      <c r="F29" s="1"/>
      <c r="G29" t="s" s="5">
        <v>360</v>
      </c>
    </row>
    <row r="30">
      <c r="A30" s="1"/>
      <c r="B30" t="s" s="13">
        <v>323</v>
      </c>
      <c r="C30" s="41">
        <v>10</v>
      </c>
      <c r="D30" s="41">
        <v>10</v>
      </c>
      <c r="E30" s="40"/>
      <c r="F30" s="1"/>
      <c r="G30" t="s" s="5">
        <v>360</v>
      </c>
    </row>
    <row r="31">
      <c r="A31" s="1"/>
      <c r="B31" t="s" s="13">
        <v>324</v>
      </c>
      <c r="C31" s="41">
        <v>5</v>
      </c>
      <c r="D31" s="41">
        <v>5</v>
      </c>
      <c r="E31" s="40"/>
      <c r="F31" s="1"/>
      <c r="G31" t="s" s="5">
        <v>360</v>
      </c>
    </row>
    <row r="32">
      <c r="A32" s="1"/>
      <c r="B32" t="s" s="10">
        <v>325</v>
      </c>
      <c r="C32" s="12">
        <f>C21/C29+C22/C30+C23/C31</f>
        <v>63.142857142857146</v>
      </c>
      <c r="D32" s="12">
        <f>D21/D29+D22/D30+D23/D31</f>
        <v>20.28</v>
      </c>
      <c r="E32" s="12">
        <f>C32+D32</f>
        <v>83.42285714285714</v>
      </c>
      <c r="F32" s="1"/>
      <c r="G32" t="s" s="5">
        <v>358</v>
      </c>
    </row>
    <row r="33">
      <c r="A33" s="1"/>
      <c r="B33" t="s" s="13">
        <v>326</v>
      </c>
      <c r="C33" s="4"/>
      <c r="D33" s="4"/>
      <c r="E33" s="26">
        <f>Analysis!G82</f>
        <v>75.7</v>
      </c>
      <c r="F33" s="1"/>
      <c r="G33" t="s" s="5">
        <v>288</v>
      </c>
    </row>
    <row r="34">
      <c r="A34" s="1"/>
      <c r="B34" t="s" s="13">
        <v>327</v>
      </c>
      <c r="C34" s="4"/>
      <c r="D34" s="4"/>
      <c r="E34" s="8">
        <v>106.08</v>
      </c>
      <c r="F34" s="1"/>
      <c r="G34" t="s" s="5">
        <v>288</v>
      </c>
    </row>
    <row r="35">
      <c r="A35" s="1"/>
      <c r="B35" s="1"/>
      <c r="C35" s="4"/>
      <c r="D35" s="4"/>
      <c r="E35" s="4"/>
      <c r="F35" s="1"/>
      <c r="G35" s="5"/>
    </row>
    <row r="36">
      <c r="A36" s="1"/>
      <c r="B36" t="s" s="6">
        <v>328</v>
      </c>
      <c r="C36" s="7"/>
      <c r="D36" s="7"/>
      <c r="E36" s="7"/>
      <c r="F36" s="1"/>
      <c r="G36" s="5"/>
    </row>
    <row r="37">
      <c r="A37" s="1"/>
      <c r="B37" t="s" s="13">
        <v>329</v>
      </c>
      <c r="C37" s="8">
        <v>158.9</v>
      </c>
      <c r="D37" s="8">
        <v>35.6</v>
      </c>
      <c r="E37" s="9">
        <f>C37+D37</f>
        <v>194.5</v>
      </c>
      <c r="F37" s="1"/>
      <c r="G37" t="s" s="5">
        <v>360</v>
      </c>
    </row>
    <row r="38">
      <c r="A38" s="1"/>
      <c r="B38" t="s" s="16">
        <v>330</v>
      </c>
      <c r="C38" s="42">
        <f>C37/IS!$G$9</f>
        <v>0.21726408593211624</v>
      </c>
      <c r="D38" s="42">
        <f>D37/IS!$G$9</f>
        <v>0.048675905973463426</v>
      </c>
      <c r="E38" s="42">
        <f>E37/IS!$G$9</f>
        <v>0.26593999190557965</v>
      </c>
      <c r="F38" s="1"/>
      <c r="G38" t="s" s="5">
        <v>358</v>
      </c>
    </row>
    <row r="39">
      <c r="A39" s="1"/>
      <c r="B39" t="s" s="13">
        <v>331</v>
      </c>
      <c r="C39" s="8">
        <v>57.1</v>
      </c>
      <c r="D39" s="4"/>
      <c r="E39" s="4"/>
      <c r="F39" s="1"/>
      <c r="G39" t="s" s="5">
        <v>361</v>
      </c>
    </row>
    <row r="40">
      <c r="A40" s="1"/>
      <c r="B40" t="s" s="13">
        <v>332</v>
      </c>
      <c r="C40" s="8">
        <v>99.6</v>
      </c>
      <c r="D40" s="4"/>
      <c r="E40" s="4"/>
      <c r="F40" s="1"/>
      <c r="G40" t="s" s="5">
        <v>361</v>
      </c>
    </row>
    <row r="41">
      <c r="A41" s="1"/>
      <c r="B41" t="s" s="13">
        <v>333</v>
      </c>
      <c r="C41" s="41">
        <v>4</v>
      </c>
      <c r="D41" s="40"/>
      <c r="E41" s="40"/>
      <c r="F41" s="1"/>
      <c r="G41" t="s" s="5">
        <v>283</v>
      </c>
    </row>
    <row r="42">
      <c r="A42" s="1"/>
      <c r="B42" t="s" s="13">
        <v>334</v>
      </c>
      <c r="C42" s="9">
        <f>C39*C41</f>
        <v>228.4</v>
      </c>
      <c r="D42" s="4"/>
      <c r="E42" s="4"/>
      <c r="F42" s="1"/>
      <c r="G42" t="s" s="5">
        <v>358</v>
      </c>
    </row>
    <row r="43">
      <c r="A43" s="1"/>
      <c r="B43" t="s" s="13">
        <v>335</v>
      </c>
      <c r="C43" s="8">
        <v>201.611</v>
      </c>
      <c r="D43" s="4"/>
      <c r="E43" s="4"/>
      <c r="F43" s="1"/>
      <c r="G43" t="s" s="5">
        <v>362</v>
      </c>
    </row>
    <row r="44">
      <c r="A44" s="1"/>
      <c r="B44" t="s" s="16">
        <v>336</v>
      </c>
      <c r="C44" s="17">
        <f>C42/C43-1</f>
        <v>0.13287469433711463</v>
      </c>
      <c r="D44" s="31"/>
      <c r="E44" s="31"/>
      <c r="F44" s="1"/>
      <c r="G44" t="s" s="5">
        <v>358</v>
      </c>
    </row>
    <row r="45">
      <c r="A45" s="1"/>
      <c r="B45" t="s" s="13">
        <v>337</v>
      </c>
      <c r="C45" s="36">
        <f>C15/C43</f>
        <v>6.840162491133916</v>
      </c>
      <c r="D45" s="35"/>
      <c r="E45" s="35"/>
      <c r="F45" s="1"/>
      <c r="G45" t="s" s="5">
        <v>358</v>
      </c>
    </row>
    <row r="46">
      <c r="A46" s="1"/>
      <c r="B46" t="s" s="13">
        <v>338</v>
      </c>
      <c r="C46" s="8">
        <v>-14.6</v>
      </c>
      <c r="D46" s="4"/>
      <c r="E46" s="4"/>
      <c r="F46" s="1"/>
      <c r="G46" t="s" s="5">
        <v>363</v>
      </c>
    </row>
    <row r="47">
      <c r="A47" s="1"/>
      <c r="B47" t="s" s="13">
        <v>339</v>
      </c>
      <c r="C47" s="8">
        <v>4.6</v>
      </c>
      <c r="D47" s="8">
        <v>4.1</v>
      </c>
      <c r="E47" s="9">
        <f>C47+D47</f>
        <v>8.7</v>
      </c>
      <c r="F47" s="1"/>
      <c r="G47" t="s" s="5">
        <v>360</v>
      </c>
    </row>
    <row r="48">
      <c r="A48" s="1"/>
      <c r="B48" s="1"/>
      <c r="C48" s="4"/>
      <c r="D48" s="4"/>
      <c r="E48" s="4"/>
      <c r="F48" s="1"/>
      <c r="G48" s="5"/>
    </row>
    <row r="49">
      <c r="A49" s="1"/>
      <c r="B49" s="1"/>
      <c r="C49" s="4"/>
      <c r="D49" s="4"/>
      <c r="E49" s="4"/>
      <c r="F49" s="1"/>
      <c r="G49" s="5"/>
    </row>
    <row r="50">
      <c r="A50" s="1"/>
      <c r="B50" t="s" s="6">
        <v>340</v>
      </c>
      <c r="C50" s="7"/>
      <c r="D50" s="7"/>
      <c r="E50" s="7"/>
      <c r="F50" s="1"/>
      <c r="G50" s="5"/>
    </row>
    <row r="51">
      <c r="A51" s="1"/>
      <c r="B51" s="1"/>
      <c r="C51" s="20">
        <f>DATE(2024,12,31)</f>
        <v>45657</v>
      </c>
      <c r="D51" s="20">
        <f>DATE(2025,12,31)</f>
        <v>46022</v>
      </c>
      <c r="E51" t="s" s="19">
        <v>355</v>
      </c>
      <c r="F51" s="1"/>
      <c r="G51" s="24"/>
    </row>
    <row r="52">
      <c r="A52" s="1"/>
      <c r="B52" t="s" s="10">
        <v>3</v>
      </c>
      <c r="C52" s="29">
        <f>IS!F9</f>
        <v>451.803</v>
      </c>
      <c r="D52" s="29">
        <f>IS!G9</f>
        <v>731.368</v>
      </c>
      <c r="E52" s="12">
        <f>D52-C52</f>
        <v>279.56500000000005</v>
      </c>
      <c r="F52" s="1"/>
      <c r="G52" s="5"/>
    </row>
    <row r="53">
      <c r="A53" s="1"/>
      <c r="B53" t="s" s="13">
        <v>341</v>
      </c>
      <c r="C53" s="4"/>
      <c r="D53" s="9">
        <f>E37</f>
        <v>194.5</v>
      </c>
      <c r="E53" s="9">
        <f>D53-C53</f>
        <v>194.5</v>
      </c>
      <c r="F53" s="1"/>
      <c r="G53" s="5"/>
    </row>
    <row r="54">
      <c r="A54" s="1"/>
      <c r="B54" t="s" s="16">
        <v>171</v>
      </c>
      <c r="C54" s="42">
        <f>Analysis!F19</f>
        <v>0.22716531583407562</v>
      </c>
      <c r="D54" s="42">
        <f>Analysis!G19</f>
        <v>0.1882789622910872</v>
      </c>
      <c r="E54" s="17">
        <f>D54-C54</f>
        <v>-0.03888635354298842</v>
      </c>
      <c r="F54" s="1"/>
      <c r="G54" s="5"/>
    </row>
    <row r="55">
      <c r="A55" s="1"/>
      <c r="B55" t="s" s="13">
        <v>342</v>
      </c>
      <c r="C55" s="26">
        <f>Analysis!F21</f>
        <v>708.264</v>
      </c>
      <c r="D55" s="26">
        <f>Analysis!G21</f>
        <v>817.005</v>
      </c>
      <c r="E55" s="4"/>
      <c r="F55" s="1"/>
      <c r="G55" s="5"/>
    </row>
    <row r="56">
      <c r="A56" s="1"/>
      <c r="B56" t="s" s="16">
        <v>174</v>
      </c>
      <c r="C56" s="31"/>
      <c r="D56" s="17">
        <f>D55/C55-1</f>
        <v>0.15353173392972108</v>
      </c>
      <c r="E56" s="31"/>
      <c r="F56" s="1"/>
      <c r="G56" s="5"/>
    </row>
    <row r="57">
      <c r="A57" s="1"/>
      <c r="B57" t="s" s="13">
        <v>343</v>
      </c>
      <c r="C57" s="26">
        <f>Analysis!F23</f>
        <v>474.924</v>
      </c>
      <c r="D57" s="26">
        <f>Analysis!G23</f>
        <v>840.962</v>
      </c>
      <c r="E57" s="9">
        <f>D57-C57</f>
        <v>366.038</v>
      </c>
      <c r="F57" s="1"/>
      <c r="G57" s="5"/>
    </row>
    <row r="58">
      <c r="A58" s="1"/>
      <c r="B58" t="s" s="13">
        <v>344</v>
      </c>
      <c r="C58" s="4"/>
      <c r="D58" s="26">
        <f>Analysis!G25</f>
        <v>282</v>
      </c>
      <c r="E58" s="9">
        <f>D58-C58</f>
        <v>282</v>
      </c>
      <c r="F58" s="1"/>
      <c r="G58" s="5"/>
    </row>
    <row r="59">
      <c r="A59" s="1"/>
      <c r="B59" t="s" s="16">
        <v>188</v>
      </c>
      <c r="C59" s="42">
        <f>Analysis!F39</f>
        <v>0.32242813792737085</v>
      </c>
      <c r="D59" s="42">
        <f>Analysis!G39</f>
        <v>0.33935036807735636</v>
      </c>
      <c r="E59" s="17">
        <f>D59-C59</f>
        <v>0.016922230149985507</v>
      </c>
      <c r="F59" s="1"/>
      <c r="G59" s="5"/>
    </row>
    <row r="60">
      <c r="A60" s="1"/>
      <c r="B60" t="s" s="13">
        <v>106</v>
      </c>
      <c r="C60" s="26">
        <f>IS!F40</f>
        <v>12.181000000000001</v>
      </c>
      <c r="D60" s="26">
        <f>IS!G40</f>
        <v>85.541</v>
      </c>
      <c r="E60" s="9">
        <f>D60-C60</f>
        <v>73.36</v>
      </c>
      <c r="F60" s="1"/>
      <c r="G60" s="5"/>
    </row>
    <row r="61">
      <c r="A61" s="1"/>
      <c r="B61" t="s" s="13">
        <v>345</v>
      </c>
      <c r="C61" s="26">
        <f>-IS!F17</f>
        <v>4.325</v>
      </c>
      <c r="D61" s="26">
        <f>-IS!G17</f>
        <v>45.664</v>
      </c>
      <c r="E61" s="9">
        <f>D61-C61</f>
        <v>41.339</v>
      </c>
      <c r="F61" s="1"/>
      <c r="G61" s="5"/>
    </row>
    <row r="62">
      <c r="A62" s="1"/>
      <c r="B62" t="s" s="10">
        <v>10</v>
      </c>
      <c r="C62" s="29">
        <f>IS!F16</f>
        <v>12.23399999999998</v>
      </c>
      <c r="D62" s="29">
        <f>IS!G16</f>
        <v>-7.6860000000000355</v>
      </c>
      <c r="E62" s="12">
        <f>D62-C62</f>
        <v>-19.920000000000016</v>
      </c>
      <c r="F62" s="1"/>
      <c r="G62" s="5"/>
    </row>
    <row r="63">
      <c r="A63" s="1"/>
      <c r="B63" t="s" s="13">
        <v>239</v>
      </c>
      <c r="C63" s="26">
        <f>BS!F20+BS!F21</f>
        <v>101.839</v>
      </c>
      <c r="D63" s="26">
        <f>BS!G20+BS!G21</f>
        <v>1957.634</v>
      </c>
      <c r="E63" s="9">
        <f>D63-C63</f>
        <v>1855.795</v>
      </c>
      <c r="F63" s="1"/>
      <c r="G63" s="5"/>
    </row>
    <row r="64">
      <c r="A64" s="1"/>
      <c r="B64" t="s" s="16">
        <v>346</v>
      </c>
      <c r="C64" s="42">
        <f>C63/BS!F23</f>
        <v>0.0870737329553033</v>
      </c>
      <c r="D64" s="42">
        <f>D63/BS!G23</f>
        <v>0.6456727713610708</v>
      </c>
      <c r="E64" s="17">
        <f>D64-C64</f>
        <v>0.5585990384057675</v>
      </c>
      <c r="F64" s="1"/>
      <c r="G64" s="5"/>
    </row>
    <row r="65">
      <c r="A65" s="1"/>
      <c r="B65" t="s" s="10">
        <v>242</v>
      </c>
      <c r="C65" s="29">
        <f>Analysis!F106</f>
        <v>-239.87599999999998</v>
      </c>
      <c r="D65" s="29">
        <f>Analysis!G106</f>
        <v>731.398</v>
      </c>
      <c r="E65" s="12">
        <f>D65-C65</f>
        <v>971.274</v>
      </c>
      <c r="F65" s="1"/>
      <c r="G65" s="5"/>
    </row>
    <row r="66">
      <c r="A66" s="1"/>
      <c r="B66" t="s" s="13">
        <v>243</v>
      </c>
      <c r="C66" s="43">
        <f>Analysis!F107</f>
        <v>-1.646663097052323</v>
      </c>
      <c r="D66" s="43">
        <f>Analysis!G107</f>
        <v>2.9469277569603936</v>
      </c>
      <c r="E66" s="36">
        <f>D66-C66</f>
        <v>4.593590854012716</v>
      </c>
      <c r="F66" s="1"/>
      <c r="G66" s="5"/>
    </row>
    <row r="67">
      <c r="A67" s="1"/>
      <c r="B67" t="s" s="13">
        <v>347</v>
      </c>
      <c r="C67" s="8">
        <v>212.85758</v>
      </c>
      <c r="D67" s="8">
        <v>291.426648</v>
      </c>
      <c r="E67" s="9">
        <f>D67-C67</f>
        <v>78.56906799999999</v>
      </c>
      <c r="F67" s="1"/>
      <c r="G67" t="s" s="5">
        <v>364</v>
      </c>
    </row>
    <row r="68">
      <c r="A68" s="1"/>
      <c r="B68" t="s" s="13">
        <v>348</v>
      </c>
      <c r="C68" s="4"/>
      <c r="D68" s="8">
        <v>800</v>
      </c>
      <c r="E68" s="4"/>
      <c r="F68" s="1"/>
      <c r="G68" t="s" s="5">
        <v>294</v>
      </c>
    </row>
    <row r="69">
      <c r="A69" s="1"/>
      <c r="B69" t="s" s="13">
        <v>349</v>
      </c>
      <c r="C69" s="4"/>
      <c r="D69" s="8">
        <v>150</v>
      </c>
      <c r="E69" s="4"/>
      <c r="F69" s="1"/>
      <c r="G69" t="s" s="5">
        <v>294</v>
      </c>
    </row>
    <row r="70">
      <c r="A70" s="1"/>
      <c r="B70" t="s" s="13">
        <v>350</v>
      </c>
      <c r="C70" s="8">
        <v>292.14</v>
      </c>
      <c r="D70" s="8">
        <v>-71.653</v>
      </c>
      <c r="E70" s="9">
        <f>D70-C70</f>
        <v>-363.793</v>
      </c>
      <c r="F70" s="1"/>
      <c r="G70" t="s" s="5">
        <v>272</v>
      </c>
    </row>
    <row r="71">
      <c r="A71" s="1"/>
      <c r="B71" t="s" s="13">
        <v>351</v>
      </c>
      <c r="C71" s="26">
        <f>IS!F23</f>
        <v>427.585</v>
      </c>
      <c r="D71" s="26">
        <f>IS!G23</f>
        <v>-40.25400000000004</v>
      </c>
      <c r="E71" s="9">
        <f>D71-C71</f>
        <v>-467.839</v>
      </c>
      <c r="F71" s="1"/>
      <c r="G71" s="5"/>
    </row>
  </sheetData>
  <pageMargins left="0.7" right="0.7" top="0.75" bottom="0.75" header="0.3" footer="0.3"/>
  <legacyDrawing r:id="rId2"/>
</worksheet>
</file>

<file path=ccalc/calcState.xml><?xml version="1.0" encoding="utf-8"?>
<calcState xmlns="urn:twentyai:ccalc:calc-state" version="1" digest="f8b6165b28686688ae575b2868e8b7b63bf3f7edda0d42b78259f45c728e2185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2026-10-22T23:51:49Z</dcterms:created>
  <dcterms:modified xsi:type="dcterms:W3CDTF">2026-10-22T23:51:49Z</dcterms:modified>
  <cp:category/>
  <cp:contentStatus/>
</cp:coreProperties>
</file>