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comments1.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3.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8.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4ac="http://schemas.microsoft.com/office/spreadsheetml/2009/9/ac" mc:Ignorable="x14ac">
  <bookViews>
    <workbookView activeTab="0"/>
  </bookViews>
  <sheets>
    <sheet name="Summary" sheetId="1" r:id="rId1"/>
    <sheet name="Track Record" sheetId="2" r:id="rId2"/>
    <sheet name="Sub Line" sheetId="3" r:id="rId3"/>
    <sheet name="PME" sheetId="4" r:id="rId4"/>
    <sheet name="Quartile" sheetId="5" r:id="rId5"/>
    <sheet name="PPM Headline" sheetId="6" r:id="rId6"/>
    <sheet name="Deal Dispersion and Loss" sheetId="11" r:id="rId7"/>
    <sheet name="Value Creation" sheetId="12" r:id="rId8"/>
    <sheet name="Pellston Mark" sheetId="15" r:id="rId9"/>
    <sheet name="Terms vs ILPA" sheetId="20" r:id="rId10"/>
    <sheet name="Fund III Carry" sheetId="21" r:id="rId11"/>
    <sheet name="DDQ Review" sheetId="23" r:id="rId12"/>
    <sheet name="ODD Red Flags" sheetId="24" r:id="rId13"/>
    <sheet name="Request List" sheetId="25" r:id="rId14"/>
    <sheet name="Deal CF" sheetId="7" r:id="rId15"/>
    <sheet name="LP CF" sheetId="8" r:id="rId16"/>
    <sheet name="Facility" sheetId="9" r:id="rId17"/>
    <sheet name="R2K TR Index" sheetId="10" r:id="rId18"/>
    <sheet name="Deal Returns" sheetId="13" r:id="rId19"/>
    <sheet name="Deal Cash Flows" sheetId="14" r:id="rId20"/>
    <sheet name="Inputs" sheetId="18" r:id="rId21"/>
    <sheet name="Source Data" sheetId="22" r:id="rId22"/>
  </sheets>
  <calcPr/>
  <extLst>
    <ext xmlns:xccaches="urn:twentyai:ccalc:caches" uri="{3C5F2E7A-9B41-4D6E-A8C2-19409CCA1C01}">
      <xccaches:writer/>
    </ext>
  </extLst>
</workbook>
</file>

<file path=xl/comments1.xml><?xml version="1.0" encoding="utf-8"?>
<comments xmlns="http://schemas.openxmlformats.org/spreadsheetml/2006/main">
  <authors>
    <author>Compound</author>
  </authors>
  <commentList>
    <comment ref="K11" authorId="0">
      <text>
        <r>
          <t xml:space="preserve">Tarnwick ILPA DDQ 2.0 Response (September 2026)</t>
        </r>
      </text>
    </comment>
    <comment ref="K13" authorId="0">
      <text>
        <r>
          <t xml:space="preserve">Fund V LPA Terms Summary (Draft, September 2026) p. 1</t>
        </r>
      </text>
    </comment>
    <comment ref="K15" authorId="0">
      <text>
        <r>
          <t xml:space="preserve">Fund V LPA Terms Summary (Draft, September 2026) p. 1</t>
        </r>
      </text>
    </comment>
    <comment ref="K16" authorId="0">
      <text>
        <r>
          <t xml:space="preserve">Tarnwick ILPA DDQ 2.0 Response (September 2026)</t>
        </r>
      </text>
    </comment>
    <comment ref="K19" authorId="0">
      <text>
        <r>
          <t xml:space="preserve">Cited for K19:K20
Fund V LPA Terms Summary (Draft, September 2026) p. 1</t>
        </r>
      </text>
    </comment>
    <comment ref="K7" authorId="0">
      <text>
        <r>
          <t xml:space="preserve">Cited for K7:K8
Tarnwick ILPA DDQ 2.0 Response (September 2026)</t>
        </r>
      </text>
    </comment>
  </commentList>
</comments>
</file>

<file path=xl/comments2.xml><?xml version="1.0" encoding="utf-8"?>
<comments xmlns="http://schemas.openxmlformats.org/spreadsheetml/2006/main">
  <authors>
    <author>Compound</author>
  </authors>
  <commentList>
    <comment ref="C22" authorId="0">
      <text>
        <r>
          <t xml:space="preserve">Tarnwick Track Record Workbook (June 30, 2026) (Fund Summary F5)</t>
        </r>
      </text>
    </comment>
    <comment ref="C23" authorId="0">
      <text>
        <r>
          <t xml:space="preserve">Tarnwick Track Record Workbook (June 30, 2026) (Fund Summary I5)</t>
        </r>
      </text>
    </comment>
    <comment ref="C24" authorId="0">
      <text>
        <r>
          <t xml:space="preserve">Tarnwick Track Record Workbook (June 30, 2026) (Fund Summary J5)</t>
        </r>
      </text>
    </comment>
    <comment ref="C25" authorId="0">
      <text>
        <r>
          <t xml:space="preserve">Tarnwick Track Record Workbook (June 30, 2026) (Fund Summary K5)</t>
        </r>
      </text>
    </comment>
    <comment ref="C26" authorId="0">
      <text>
        <r>
          <t xml:space="preserve">Tarnwick Track Record Workbook (June 30, 2026) (Fund Summary L5)</t>
        </r>
      </text>
    </comment>
    <comment ref="C27" authorId="0">
      <text>
        <r>
          <t xml:space="preserve">Tarnwick Track Record Workbook (June 30, 2026) (Fund Summary M5)</t>
        </r>
      </text>
    </comment>
    <comment ref="C28" authorId="0">
      <text>
        <r>
          <t xml:space="preserve">Tarnwick Track Record Workbook (June 30, 2026) (Fund Summary N5)</t>
        </r>
      </text>
    </comment>
    <comment ref="C29" authorId="0">
      <text>
        <r>
          <t xml:space="preserve">Tarnwick Track Record Workbook (June 30, 2026) (Fund Summary O5)</t>
        </r>
      </text>
    </comment>
    <comment ref="C30" authorId="0">
      <text>
        <r>
          <t xml:space="preserve">Tarnwick Track Record Workbook (June 30, 2026) (Fund Summary P5)</t>
        </r>
      </text>
    </comment>
    <comment ref="C31" authorId="0">
      <text>
        <r>
          <t xml:space="preserve">Tarnwick Track Record Workbook (June 30, 2026) (Fund Summary Q5)</t>
        </r>
      </text>
    </comment>
    <comment ref="C32" authorId="0">
      <text>
        <r>
          <t xml:space="preserve">Tarnwick Track Record Workbook (June 30, 2026) (Fund Summary R5)</t>
        </r>
      </text>
    </comment>
    <comment ref="C37" authorId="0">
      <text>
        <r>
          <t xml:space="preserve">Tarnwick Capital Partners V - PPM Excerpt (September 2026) p. 3</t>
        </r>
      </text>
    </comment>
    <comment ref="C39" authorId="0">
      <text>
        <r>
          <t xml:space="preserve">Cited for C39:C40
Tarnwick Capital Partners V - PPM Excerpt (September 2026) p. 3</t>
        </r>
      </text>
    </comment>
    <comment ref="C44" authorId="0">
      <text>
        <r>
          <t xml:space="preserve">Cited for C44:C45
Tarnwick Capital Partners V - PPM Excerpt (September 2026) p. 3</t>
        </r>
      </text>
    </comment>
    <comment ref="C47" authorId="0">
      <text>
        <r>
          <t xml:space="preserve">Tarnwick Capital Partners V - PPM Excerpt (September 2026) p. 3</t>
        </r>
      </text>
    </comment>
    <comment ref="D22" authorId="0">
      <text>
        <r>
          <t xml:space="preserve">Tarnwick Track Record Workbook (June 30, 2026) (Fund Summary F6)</t>
        </r>
      </text>
    </comment>
    <comment ref="D23" authorId="0">
      <text>
        <r>
          <t xml:space="preserve">Tarnwick Track Record Workbook (June 30, 2026) (Fund Summary I6)</t>
        </r>
      </text>
    </comment>
    <comment ref="D24" authorId="0">
      <text>
        <r>
          <t xml:space="preserve">Tarnwick Track Record Workbook (June 30, 2026) (Fund Summary J6)</t>
        </r>
      </text>
    </comment>
    <comment ref="D25" authorId="0">
      <text>
        <r>
          <t xml:space="preserve">Tarnwick Track Record Workbook (June 30, 2026) (Fund Summary K6)</t>
        </r>
      </text>
    </comment>
    <comment ref="D26" authorId="0">
      <text>
        <r>
          <t xml:space="preserve">Tarnwick Track Record Workbook (June 30, 2026) (Fund Summary L6)</t>
        </r>
      </text>
    </comment>
    <comment ref="D27" authorId="0">
      <text>
        <r>
          <t xml:space="preserve">Tarnwick Track Record Workbook (June 30, 2026) (Fund Summary M6)</t>
        </r>
      </text>
    </comment>
    <comment ref="D28" authorId="0">
      <text>
        <r>
          <t xml:space="preserve">Tarnwick Track Record Workbook (June 30, 2026) (Fund Summary N6)</t>
        </r>
      </text>
    </comment>
    <comment ref="D29" authorId="0">
      <text>
        <r>
          <t xml:space="preserve">Tarnwick Track Record Workbook (June 30, 2026) (Fund Summary O6)</t>
        </r>
      </text>
    </comment>
    <comment ref="D30" authorId="0">
      <text>
        <r>
          <t xml:space="preserve">Tarnwick Track Record Workbook (June 30, 2026) (Fund Summary P6)</t>
        </r>
      </text>
    </comment>
    <comment ref="D31" authorId="0">
      <text>
        <r>
          <t xml:space="preserve">Tarnwick Track Record Workbook (June 30, 2026) (Fund Summary Q6)</t>
        </r>
      </text>
    </comment>
    <comment ref="D32" authorId="0">
      <text>
        <r>
          <t xml:space="preserve">Tarnwick Track Record Workbook (June 30, 2026) (Fund Summary R6)</t>
        </r>
      </text>
    </comment>
    <comment ref="D37" authorId="0">
      <text>
        <r>
          <t xml:space="preserve">Tarnwick Capital Partners V - PPM Excerpt (September 2026) p. 3</t>
        </r>
      </text>
    </comment>
    <comment ref="D39" authorId="0">
      <text>
        <r>
          <t xml:space="preserve">Cited for D39:D40
Tarnwick Capital Partners V - PPM Excerpt (September 2026) p. 3</t>
        </r>
      </text>
    </comment>
    <comment ref="D44" authorId="0">
      <text>
        <r>
          <t xml:space="preserve">Cited for D44:D45
Tarnwick Capital Partners V - PPM Excerpt (September 2026) p. 3</t>
        </r>
      </text>
    </comment>
    <comment ref="D47" authorId="0">
      <text>
        <r>
          <t xml:space="preserve">Tarnwick Capital Partners V - PPM Excerpt (September 2026) p. 3</t>
        </r>
      </text>
    </comment>
    <comment ref="E22" authorId="0">
      <text>
        <r>
          <t xml:space="preserve">Tarnwick Track Record Workbook (June 30, 2026) (Fund Summary F7)</t>
        </r>
      </text>
    </comment>
    <comment ref="E23" authorId="0">
      <text>
        <r>
          <t xml:space="preserve">Tarnwick Track Record Workbook (June 30, 2026) (Fund Summary I7)</t>
        </r>
      </text>
    </comment>
    <comment ref="E24" authorId="0">
      <text>
        <r>
          <t xml:space="preserve">Tarnwick Track Record Workbook (June 30, 2026) (Fund Summary J7)</t>
        </r>
      </text>
    </comment>
    <comment ref="E25" authorId="0">
      <text>
        <r>
          <t xml:space="preserve">Tarnwick Track Record Workbook (June 30, 2026) (Fund Summary K7)</t>
        </r>
      </text>
    </comment>
    <comment ref="E26" authorId="0">
      <text>
        <r>
          <t xml:space="preserve">Tarnwick Track Record Workbook (June 30, 2026) (Fund Summary L7)</t>
        </r>
      </text>
    </comment>
    <comment ref="E27" authorId="0">
      <text>
        <r>
          <t xml:space="preserve">Tarnwick Track Record Workbook (June 30, 2026) (Fund Summary M7)</t>
        </r>
      </text>
    </comment>
    <comment ref="E28" authorId="0">
      <text>
        <r>
          <t xml:space="preserve">Tarnwick Track Record Workbook (June 30, 2026) (Fund Summary N7)</t>
        </r>
      </text>
    </comment>
    <comment ref="E29" authorId="0">
      <text>
        <r>
          <t xml:space="preserve">Tarnwick Track Record Workbook (June 30, 2026) (Fund Summary O7)</t>
        </r>
      </text>
    </comment>
    <comment ref="E30" authorId="0">
      <text>
        <r>
          <t xml:space="preserve">Tarnwick Track Record Workbook (June 30, 2026) (Fund Summary P7)</t>
        </r>
      </text>
    </comment>
    <comment ref="E31" authorId="0">
      <text>
        <r>
          <t xml:space="preserve">Tarnwick Track Record Workbook (June 30, 2026) (Fund Summary Q7)</t>
        </r>
      </text>
    </comment>
    <comment ref="E32" authorId="0">
      <text>
        <r>
          <t xml:space="preserve">Tarnwick Track Record Workbook (June 30, 2026) (Fund Summary R7)</t>
        </r>
      </text>
    </comment>
    <comment ref="E37" authorId="0">
      <text>
        <r>
          <t xml:space="preserve">Tarnwick Capital Partners V - PPM Excerpt (September 2026) p. 3</t>
        </r>
      </text>
    </comment>
    <comment ref="E39" authorId="0">
      <text>
        <r>
          <t xml:space="preserve">Cited for E39:E40
Tarnwick Capital Partners V - PPM Excerpt (September 2026) p. 3</t>
        </r>
      </text>
    </comment>
    <comment ref="E44" authorId="0">
      <text>
        <r>
          <t xml:space="preserve">Cited for E44:E45
Tarnwick Capital Partners V - PPM Excerpt (September 2026) p. 3</t>
        </r>
      </text>
    </comment>
    <comment ref="E47" authorId="0">
      <text>
        <r>
          <t xml:space="preserve">Tarnwick Capital Partners V - PPM Excerpt (September 2026) p. 3</t>
        </r>
      </text>
    </comment>
    <comment ref="F22" authorId="0">
      <text>
        <r>
          <t xml:space="preserve">Tarnwick Track Record Workbook (June 30, 2026) (Fund Summary F8)</t>
        </r>
      </text>
    </comment>
    <comment ref="F23" authorId="0">
      <text>
        <r>
          <t xml:space="preserve">Tarnwick Track Record Workbook (June 30, 2026) (Fund Summary I8)</t>
        </r>
      </text>
    </comment>
    <comment ref="F24" authorId="0">
      <text>
        <r>
          <t xml:space="preserve">Tarnwick Track Record Workbook (June 30, 2026) (Fund Summary J8)</t>
        </r>
      </text>
    </comment>
    <comment ref="F25" authorId="0">
      <text>
        <r>
          <t xml:space="preserve">Tarnwick Track Record Workbook (June 30, 2026) (Fund Summary K8)</t>
        </r>
      </text>
    </comment>
    <comment ref="F26" authorId="0">
      <text>
        <r>
          <t xml:space="preserve">Tarnwick Track Record Workbook (June 30, 2026) (Fund Summary L8)</t>
        </r>
      </text>
    </comment>
    <comment ref="F27" authorId="0">
      <text>
        <r>
          <t xml:space="preserve">Tarnwick Track Record Workbook (June 30, 2026) (Fund Summary M8)</t>
        </r>
      </text>
    </comment>
    <comment ref="F28" authorId="0">
      <text>
        <r>
          <t xml:space="preserve">Tarnwick Track Record Workbook (June 30, 2026) (Fund Summary N8)</t>
        </r>
      </text>
    </comment>
    <comment ref="F29" authorId="0">
      <text>
        <r>
          <t xml:space="preserve">Tarnwick Track Record Workbook (June 30, 2026) (Fund Summary O8)</t>
        </r>
      </text>
    </comment>
    <comment ref="F30" authorId="0">
      <text>
        <r>
          <t xml:space="preserve">Tarnwick Track Record Workbook (June 30, 2026) (Fund Summary P8)</t>
        </r>
      </text>
    </comment>
    <comment ref="F31" authorId="0">
      <text>
        <r>
          <t xml:space="preserve">Tarnwick Track Record Workbook (June 30, 2026) (Fund Summary Q8)</t>
        </r>
      </text>
    </comment>
    <comment ref="F32" authorId="0">
      <text>
        <r>
          <t xml:space="preserve">Tarnwick Track Record Workbook (June 30, 2026) (Fund Summary R8)</t>
        </r>
      </text>
    </comment>
    <comment ref="F37" authorId="0">
      <text>
        <r>
          <t xml:space="preserve">Tarnwick Capital Partners V - PPM Excerpt (September 2026) p. 3</t>
        </r>
      </text>
    </comment>
    <comment ref="F39" authorId="0">
      <text>
        <r>
          <t xml:space="preserve">Cited for F39:F40
Tarnwick Capital Partners V - PPM Excerpt (September 2026) p. 3</t>
        </r>
      </text>
    </comment>
    <comment ref="F44" authorId="0">
      <text>
        <r>
          <t xml:space="preserve">Cited for F44:F45
Tarnwick Capital Partners V - PPM Excerpt (September 2026) p. 3</t>
        </r>
      </text>
    </comment>
    <comment ref="F47" authorId="0">
      <text>
        <r>
          <t xml:space="preserve">Tarnwick Capital Partners V - PPM Excerpt (September 2026) p. 3</t>
        </r>
      </text>
    </comment>
    <comment ref="G22" authorId="0">
      <text>
        <r>
          <t xml:space="preserve">Tarnwick Track Record Workbook (June 30, 2026) (Fund Summary F9)</t>
        </r>
      </text>
    </comment>
    <comment ref="G23" authorId="0">
      <text>
        <r>
          <t xml:space="preserve">Tarnwick Track Record Workbook (June 30, 2026) (Fund Summary I9)</t>
        </r>
      </text>
    </comment>
    <comment ref="G24" authorId="0">
      <text>
        <r>
          <t xml:space="preserve">Tarnwick Track Record Workbook (June 30, 2026) (Fund Summary J9)</t>
        </r>
      </text>
    </comment>
    <comment ref="G37" authorId="0">
      <text>
        <r>
          <t xml:space="preserve">Tarnwick Capital Partners V - PPM Excerpt (September 2026) p. 3</t>
        </r>
      </text>
    </comment>
    <comment ref="G39" authorId="0">
      <text>
        <r>
          <t xml:space="preserve">Tarnwick Capital Partners V - PPM Excerpt (September 2026) p. 3</t>
        </r>
      </text>
    </comment>
  </commentList>
</comments>
</file>

<file path=xl/comments3.xml><?xml version="1.0" encoding="utf-8"?>
<comments xmlns="http://schemas.openxmlformats.org/spreadsheetml/2006/main">
  <authors>
    <author>Compound</author>
  </authors>
  <commentList>
    <comment ref="C28" authorId="0">
      <text>
        <r>
          <t xml:space="preserve">Tarnwick Track Record Workbook (June 30, 2026) (Fund Summary E7)</t>
        </r>
      </text>
    </comment>
    <comment ref="C39" authorId="0">
      <text>
        <r>
          <t xml:space="preserve">Tarnwick Track Record Workbook (June 30, 2026) (Fund Summary C7)</t>
        </r>
      </text>
    </comment>
    <comment ref="C43" authorId="0">
      <text>
        <r>
          <t xml:space="preserve">Tarnwick Track Record Workbook (June 30, 2026) (Fund Summary D7)</t>
        </r>
      </text>
    </comment>
    <comment ref="D18" authorId="0">
      <text>
        <r>
          <t xml:space="preserve">Cited for C18:D18
Tarnwick Track Record Workbook (June 30, 2026) (Credit Facility A2)</t>
        </r>
      </text>
    </comment>
    <comment ref="D19" authorId="0">
      <text>
        <r>
          <t xml:space="preserve">Cited for C19:D20
Fund V LPA Terms Summary (Draft, September 2026) p. 1</t>
        </r>
      </text>
    </comment>
    <comment ref="D28" authorId="0">
      <text>
        <r>
          <t xml:space="preserve">Tarnwick Track Record Workbook (June 30, 2026) (Fund Summary E8)</t>
        </r>
      </text>
    </comment>
    <comment ref="D33" authorId="0">
      <text>
        <r>
          <t xml:space="preserve">Cited for C33:D34
ILPA-Principles-3.0_2019 p. 10</t>
        </r>
      </text>
    </comment>
    <comment ref="D39" authorId="0">
      <text>
        <r>
          <t xml:space="preserve">Tarnwick Track Record Workbook (June 30, 2026) (Fund Summary C8)</t>
        </r>
      </text>
    </comment>
    <comment ref="D43" authorId="0">
      <text>
        <r>
          <t xml:space="preserve">Tarnwick Track Record Workbook (June 30, 2026) (Fund Summary D8)</t>
        </r>
      </text>
    </comment>
    <comment ref="E50" authorId="0">
      <text>
        <r>
          <t xml:space="preserve">Cited for C50:E50
Funds III and IV - Audited Financial Statements Summary FY2023-FY2025 p. 3</t>
        </r>
      </text>
    </comment>
    <comment ref="E52" authorId="0">
      <text>
        <r>
          <t xml:space="preserve">Cited for C52:E52
Funds III and IV - Audited Financial Statements Summary FY2023-FY2025 p. 3</t>
        </r>
      </text>
    </comment>
  </commentList>
</comments>
</file>

<file path=xl/comments5.xml><?xml version="1.0" encoding="utf-8"?>
<comments xmlns="http://schemas.openxmlformats.org/spreadsheetml/2006/main">
  <authors>
    <author>Compound</author>
  </authors>
  <commentList>
    <comment ref="F10" authorId="0">
      <text>
        <r>
          <t xml:space="preserve">Cited for C10:F10
Tarnwick Capital Partners V - PPM Excerpt (September 2026) p. 3</t>
        </r>
      </text>
    </comment>
    <comment ref="F7" authorId="0">
      <text>
        <r>
          <t xml:space="preserve">Cited for C7:F7
Tarnwick Capital Partners V - PPM Excerpt (September 2026) p. 3</t>
        </r>
      </text>
    </comment>
    <comment ref="F8" authorId="0">
      <text>
        <r>
          <t xml:space="preserve">Cited for C8:F8
Tarnwick Capital Partners V - PPM Excerpt (September 2026) p. 3</t>
        </r>
      </text>
    </comment>
    <comment ref="F9" authorId="0">
      <text>
        <r>
          <t xml:space="preserve">Cited for C9:F9
Tarnwick Capital Partners V - PPM Excerpt (September 2026) p. 3</t>
        </r>
      </text>
    </comment>
    <comment ref="I7" authorId="0">
      <text>
        <r>
          <t xml:space="preserve">Cited for G7:I10
Tarnwick Capital Partners V - PPM Excerpt (September 2026) p. 3</t>
        </r>
      </text>
    </comment>
  </commentList>
</comments>
</file>

<file path=xl/comments6.xml><?xml version="1.0" encoding="utf-8"?>
<comments xmlns="http://schemas.openxmlformats.org/spreadsheetml/2006/main">
  <authors>
    <author>Compound</author>
  </authors>
  <commentList>
    <comment ref="D22" authorId="0">
      <text>
        <r>
          <t xml:space="preserve">Cited for C22:D22
Tarnwick Capital Partners V - PPM Excerpt (September 2026) p. 2</t>
        </r>
      </text>
    </comment>
    <comment ref="G22" authorId="0">
      <text>
        <r>
          <t xml:space="preserve">Cited for F22:G22
Tarnwick Capital Partners V - PPM Excerpt (September 2026) p. 2</t>
        </r>
      </text>
    </comment>
    <comment ref="G23" authorId="0">
      <text>
        <r>
          <t xml:space="preserve">Cited for D23:G23
Tarnwick Capital Partners V - PPM Excerpt (September 2026) p. 3</t>
        </r>
      </text>
    </comment>
    <comment ref="H7" authorId="0">
      <text>
        <r>
          <t xml:space="preserve">Cited for 51 cells in D7:H17
Tarnwick Track Record Workbook (June 30, 2026) (Deal Summary A23:M33)</t>
        </r>
      </text>
    </comment>
  </commentList>
</comments>
</file>

<file path=xl/comments8.xml><?xml version="1.0" encoding="utf-8"?>
<comments xmlns="http://schemas.openxmlformats.org/spreadsheetml/2006/main">
  <authors>
    <author>Compound</author>
  </authors>
  <commentList>
    <comment ref="C10" authorId="0">
      <text>
        <r>
          <t xml:space="preserve">Tarnwick Track Record Workbook (June 30, 2026) (Operating Metrics B7)</t>
        </r>
      </text>
    </comment>
    <comment ref="C11" authorId="0">
      <text>
        <r>
          <t xml:space="preserve">Tarnwick Track Record Workbook (June 30, 2026) (Operating Metrics B8)</t>
        </r>
      </text>
    </comment>
    <comment ref="C12" authorId="0">
      <text>
        <r>
          <t xml:space="preserve">Tarnwick Track Record Workbook (June 30, 2026) (Operating Metrics B9)</t>
        </r>
      </text>
    </comment>
    <comment ref="C13" authorId="0">
      <text>
        <r>
          <t xml:space="preserve">Tarnwick Track Record Workbook (June 30, 2026) (Operating Metrics B10)</t>
        </r>
      </text>
    </comment>
    <comment ref="C14" authorId="0">
      <text>
        <r>
          <t xml:space="preserve">Tarnwick Track Record Workbook (June 30, 2026) (Operating Metrics B11)</t>
        </r>
      </text>
    </comment>
    <comment ref="C8" authorId="0">
      <text>
        <r>
          <t xml:space="preserve">Tarnwick Track Record Workbook (June 30, 2026) (Operating Metrics B5)</t>
        </r>
      </text>
    </comment>
    <comment ref="C9" authorId="0">
      <text>
        <r>
          <t xml:space="preserve">Tarnwick Track Record Workbook (June 30, 2026) (Operating Metrics B6)</t>
        </r>
      </text>
    </comment>
    <comment ref="D10" authorId="0">
      <text>
        <r>
          <t xml:space="preserve">Tarnwick Track Record Workbook (June 30, 2026) (Operating Metrics C7)</t>
        </r>
      </text>
    </comment>
    <comment ref="D11" authorId="0">
      <text>
        <r>
          <t xml:space="preserve">Tarnwick Track Record Workbook (June 30, 2026) (Operating Metrics C8)</t>
        </r>
      </text>
    </comment>
    <comment ref="D12" authorId="0">
      <text>
        <r>
          <t xml:space="preserve">Tarnwick Track Record Workbook (June 30, 2026) (Operating Metrics C9)</t>
        </r>
      </text>
    </comment>
    <comment ref="D13" authorId="0">
      <text>
        <r>
          <t xml:space="preserve">Tarnwick Track Record Workbook (June 30, 2026) (Operating Metrics C10)</t>
        </r>
      </text>
    </comment>
    <comment ref="D14" authorId="0">
      <text>
        <r>
          <t xml:space="preserve">Tarnwick Track Record Workbook (June 30, 2026) (Operating Metrics C11)</t>
        </r>
      </text>
    </comment>
    <comment ref="D8" authorId="0">
      <text>
        <r>
          <t xml:space="preserve">Tarnwick Track Record Workbook (June 30, 2026) (Operating Metrics C5)</t>
        </r>
      </text>
    </comment>
    <comment ref="D9" authorId="0">
      <text>
        <r>
          <t xml:space="preserve">Tarnwick Track Record Workbook (June 30, 2026) (Operating Metrics C6)</t>
        </r>
      </text>
    </comment>
    <comment ref="E10" authorId="0">
      <text>
        <r>
          <t xml:space="preserve">Tarnwick Track Record Workbook (June 30, 2026) (Operating Metrics D7)</t>
        </r>
      </text>
    </comment>
    <comment ref="E11" authorId="0">
      <text>
        <r>
          <t xml:space="preserve">Tarnwick Track Record Workbook (June 30, 2026) (Operating Metrics D8)</t>
        </r>
      </text>
    </comment>
    <comment ref="E12" authorId="0">
      <text>
        <r>
          <t xml:space="preserve">Tarnwick Track Record Workbook (June 30, 2026) (Operating Metrics D9)</t>
        </r>
      </text>
    </comment>
    <comment ref="E13" authorId="0">
      <text>
        <r>
          <t xml:space="preserve">Tarnwick Track Record Workbook (June 30, 2026) (Operating Metrics D10)</t>
        </r>
      </text>
    </comment>
    <comment ref="E14" authorId="0">
      <text>
        <r>
          <t xml:space="preserve">Tarnwick Track Record Workbook (June 30, 2026) (Operating Metrics D11)</t>
        </r>
      </text>
    </comment>
    <comment ref="E8" authorId="0">
      <text>
        <r>
          <t xml:space="preserve">Tarnwick Track Record Workbook (June 30, 2026) (Operating Metrics D5)</t>
        </r>
      </text>
    </comment>
    <comment ref="E9" authorId="0">
      <text>
        <r>
          <t xml:space="preserve">Tarnwick Track Record Workbook (June 30, 2026) (Operating Metrics D6)</t>
        </r>
      </text>
    </comment>
    <comment ref="F10" authorId="0">
      <text>
        <r>
          <t xml:space="preserve">Tarnwick Track Record Workbook (June 30, 2026) (Operating Metrics E7)</t>
        </r>
      </text>
    </comment>
    <comment ref="F11" authorId="0">
      <text>
        <r>
          <t xml:space="preserve">Tarnwick Track Record Workbook (June 30, 2026) (Operating Metrics E8)</t>
        </r>
      </text>
    </comment>
    <comment ref="F12" authorId="0">
      <text>
        <r>
          <t xml:space="preserve">Tarnwick Track Record Workbook (June 30, 2026) (Operating Metrics E9)</t>
        </r>
      </text>
    </comment>
    <comment ref="F13" authorId="0">
      <text>
        <r>
          <t xml:space="preserve">Tarnwick Track Record Workbook (June 30, 2026) (Operating Metrics E10)</t>
        </r>
      </text>
    </comment>
    <comment ref="F14" authorId="0">
      <text>
        <r>
          <t xml:space="preserve">Tarnwick Track Record Workbook (June 30, 2026) (Operating Metrics E11)</t>
        </r>
      </text>
    </comment>
    <comment ref="F8" authorId="0">
      <text>
        <r>
          <t xml:space="preserve">Tarnwick Track Record Workbook (June 30, 2026) (Operating Metrics E5)</t>
        </r>
      </text>
    </comment>
    <comment ref="F9" authorId="0">
      <text>
        <r>
          <t xml:space="preserve">Tarnwick Track Record Workbook (June 30, 2026) (Operating Metrics E6)</t>
        </r>
      </text>
    </comment>
    <comment ref="G10" authorId="0">
      <text>
        <r>
          <t xml:space="preserve">Tarnwick Track Record Workbook (June 30, 2026) (Operating Metrics F7)</t>
        </r>
      </text>
    </comment>
    <comment ref="G11" authorId="0">
      <text>
        <r>
          <t xml:space="preserve">Tarnwick Track Record Workbook (June 30, 2026) (Operating Metrics F8)</t>
        </r>
      </text>
    </comment>
    <comment ref="G12" authorId="0">
      <text>
        <r>
          <t xml:space="preserve">Tarnwick Track Record Workbook (June 30, 2026) (Operating Metrics F9)</t>
        </r>
      </text>
    </comment>
    <comment ref="G13" authorId="0">
      <text>
        <r>
          <t xml:space="preserve">Tarnwick Track Record Workbook (June 30, 2026) (Operating Metrics F10)</t>
        </r>
      </text>
    </comment>
    <comment ref="G14" authorId="0">
      <text>
        <r>
          <t xml:space="preserve">Tarnwick Track Record Workbook (June 30, 2026) (Operating Metrics F11)</t>
        </r>
      </text>
    </comment>
    <comment ref="G8" authorId="0">
      <text>
        <r>
          <t xml:space="preserve">Tarnwick Track Record Workbook (June 30, 2026) (Operating Metrics F5)</t>
        </r>
      </text>
    </comment>
    <comment ref="G9" authorId="0">
      <text>
        <r>
          <t xml:space="preserve">Tarnwick Track Record Workbook (June 30, 2026) (Operating Metrics F6)</t>
        </r>
      </text>
    </comment>
    <comment ref="H10" authorId="0">
      <text>
        <r>
          <t xml:space="preserve">Tarnwick Track Record Workbook (June 30, 2026) (Operating Metrics G7)</t>
        </r>
      </text>
    </comment>
    <comment ref="H11" authorId="0">
      <text>
        <r>
          <t xml:space="preserve">Tarnwick Track Record Workbook (June 30, 2026) (Operating Metrics G8)</t>
        </r>
      </text>
    </comment>
    <comment ref="H12" authorId="0">
      <text>
        <r>
          <t xml:space="preserve">Tarnwick Track Record Workbook (June 30, 2026) (Operating Metrics G9)</t>
        </r>
      </text>
    </comment>
    <comment ref="H13" authorId="0">
      <text>
        <r>
          <t xml:space="preserve">Tarnwick Track Record Workbook (June 30, 2026) (Operating Metrics G10)</t>
        </r>
      </text>
    </comment>
    <comment ref="H14" authorId="0">
      <text>
        <r>
          <t xml:space="preserve">Tarnwick Track Record Workbook (June 30, 2026) (Operating Metrics G11)</t>
        </r>
      </text>
    </comment>
    <comment ref="H8" authorId="0">
      <text>
        <r>
          <t xml:space="preserve">Tarnwick Track Record Workbook (June 30, 2026) (Operating Metrics G5)</t>
        </r>
      </text>
    </comment>
    <comment ref="H9" authorId="0">
      <text>
        <r>
          <t xml:space="preserve">Tarnwick Track Record Workbook (June 30, 2026) (Operating Metrics G6)</t>
        </r>
      </text>
    </comment>
    <comment ref="I10" authorId="0">
      <text>
        <r>
          <t xml:space="preserve">Tarnwick Track Record Workbook (June 30, 2026) (Operating Metrics H7)</t>
        </r>
      </text>
    </comment>
    <comment ref="I11" authorId="0">
      <text>
        <r>
          <t xml:space="preserve">Tarnwick Track Record Workbook (June 30, 2026) (Operating Metrics H8)</t>
        </r>
      </text>
    </comment>
    <comment ref="I12" authorId="0">
      <text>
        <r>
          <t xml:space="preserve">Tarnwick Track Record Workbook (June 30, 2026) (Operating Metrics H9)</t>
        </r>
      </text>
    </comment>
    <comment ref="I13" authorId="0">
      <text>
        <r>
          <t xml:space="preserve">Tarnwick Track Record Workbook (June 30, 2026) (Operating Metrics H10)</t>
        </r>
      </text>
    </comment>
    <comment ref="I14" authorId="0">
      <text>
        <r>
          <t xml:space="preserve">Tarnwick Track Record Workbook (June 30, 2026) (Operating Metrics H11)</t>
        </r>
      </text>
    </comment>
    <comment ref="I8" authorId="0">
      <text>
        <r>
          <t xml:space="preserve">Tarnwick Track Record Workbook (June 30, 2026) (Operating Metrics H5)</t>
        </r>
      </text>
    </comment>
    <comment ref="I9" authorId="0">
      <text>
        <r>
          <t xml:space="preserve">Tarnwick Track Record Workbook (June 30, 2026) (Operating Metrics H6)</t>
        </r>
      </text>
    </comment>
    <comment ref="J10" authorId="0">
      <text>
        <r>
          <t xml:space="preserve">Tarnwick Track Record Workbook (June 30, 2026) (Operating Metrics I7)</t>
        </r>
      </text>
    </comment>
    <comment ref="J11" authorId="0">
      <text>
        <r>
          <t xml:space="preserve">Tarnwick Track Record Workbook (June 30, 2026) (Operating Metrics I8)</t>
        </r>
      </text>
    </comment>
    <comment ref="J12" authorId="0">
      <text>
        <r>
          <t xml:space="preserve">Tarnwick Track Record Workbook (June 30, 2026) (Operating Metrics I9)</t>
        </r>
      </text>
    </comment>
    <comment ref="J13" authorId="0">
      <text>
        <r>
          <t xml:space="preserve">Tarnwick Track Record Workbook (June 30, 2026) (Operating Metrics I10)</t>
        </r>
      </text>
    </comment>
    <comment ref="J14" authorId="0">
      <text>
        <r>
          <t xml:space="preserve">Tarnwick Track Record Workbook (June 30, 2026) (Operating Metrics I11)</t>
        </r>
      </text>
    </comment>
    <comment ref="J8" authorId="0">
      <text>
        <r>
          <t xml:space="preserve">Tarnwick Track Record Workbook (June 30, 2026) (Operating Metrics I5)</t>
        </r>
      </text>
    </comment>
    <comment ref="J9" authorId="0">
      <text>
        <r>
          <t xml:space="preserve">Tarnwick Track Record Workbook (June 30, 2026) (Operating Metrics I6)</t>
        </r>
      </text>
    </comment>
    <comment ref="K10" authorId="0">
      <text>
        <r>
          <t xml:space="preserve">Tarnwick Track Record Workbook (June 30, 2026) (Operating Metrics J7)</t>
        </r>
      </text>
    </comment>
    <comment ref="K11" authorId="0">
      <text>
        <r>
          <t xml:space="preserve">Tarnwick Track Record Workbook (June 30, 2026) (Operating Metrics J8)</t>
        </r>
      </text>
    </comment>
    <comment ref="K12" authorId="0">
      <text>
        <r>
          <t xml:space="preserve">Tarnwick Track Record Workbook (June 30, 2026) (Operating Metrics J9)</t>
        </r>
      </text>
    </comment>
    <comment ref="K13" authorId="0">
      <text>
        <r>
          <t xml:space="preserve">Tarnwick Track Record Workbook (June 30, 2026) (Operating Metrics J10)</t>
        </r>
      </text>
    </comment>
    <comment ref="K14" authorId="0">
      <text>
        <r>
          <t xml:space="preserve">Tarnwick Track Record Workbook (June 30, 2026) (Operating Metrics J11)</t>
        </r>
      </text>
    </comment>
    <comment ref="K8" authorId="0">
      <text>
        <r>
          <t xml:space="preserve">Tarnwick Track Record Workbook (June 30, 2026) (Operating Metrics J5)</t>
        </r>
      </text>
    </comment>
    <comment ref="K9" authorId="0">
      <text>
        <r>
          <t xml:space="preserve">Tarnwick Track Record Workbook (June 30, 2026) (Operating Metrics J6)</t>
        </r>
      </text>
    </comment>
    <comment ref="L10" authorId="0">
      <text>
        <r>
          <t xml:space="preserve">Tarnwick Track Record Workbook (June 30, 2026) (Operating Metrics K7)</t>
        </r>
      </text>
    </comment>
    <comment ref="L11" authorId="0">
      <text>
        <r>
          <t xml:space="preserve">Tarnwick Track Record Workbook (June 30, 2026) (Operating Metrics K8)</t>
        </r>
      </text>
    </comment>
    <comment ref="L12" authorId="0">
      <text>
        <r>
          <t xml:space="preserve">Tarnwick Track Record Workbook (June 30, 2026) (Operating Metrics K9)</t>
        </r>
      </text>
    </comment>
    <comment ref="L13" authorId="0">
      <text>
        <r>
          <t xml:space="preserve">Tarnwick Track Record Workbook (June 30, 2026) (Operating Metrics K10)</t>
        </r>
      </text>
    </comment>
    <comment ref="L14" authorId="0">
      <text>
        <r>
          <t xml:space="preserve">Tarnwick Track Record Workbook (June 30, 2026) (Operating Metrics K11)</t>
        </r>
      </text>
    </comment>
    <comment ref="L8" authorId="0">
      <text>
        <r>
          <t xml:space="preserve">Tarnwick Track Record Workbook (June 30, 2026) (Operating Metrics K5)</t>
        </r>
      </text>
    </comment>
    <comment ref="L9" authorId="0">
      <text>
        <r>
          <t xml:space="preserve">Tarnwick Track Record Workbook (June 30, 2026) (Operating Metrics K6)</t>
        </r>
      </text>
    </comment>
    <comment ref="M10" authorId="0">
      <text>
        <r>
          <t xml:space="preserve">Tarnwick Track Record Workbook (June 30, 2026) (Operating Metrics L7)</t>
        </r>
      </text>
    </comment>
    <comment ref="M11" authorId="0">
      <text>
        <r>
          <t xml:space="preserve">Tarnwick Track Record Workbook (June 30, 2026) (Operating Metrics L8)</t>
        </r>
      </text>
    </comment>
    <comment ref="M12" authorId="0">
      <text>
        <r>
          <t xml:space="preserve">Tarnwick Track Record Workbook (June 30, 2026) (Operating Metrics L9)</t>
        </r>
      </text>
    </comment>
    <comment ref="M13" authorId="0">
      <text>
        <r>
          <t xml:space="preserve">Tarnwick Track Record Workbook (June 30, 2026) (Operating Metrics L10)</t>
        </r>
      </text>
    </comment>
    <comment ref="M14" authorId="0">
      <text>
        <r>
          <t xml:space="preserve">Tarnwick Track Record Workbook (June 30, 2026) (Operating Metrics L11)</t>
        </r>
      </text>
    </comment>
    <comment ref="M8" authorId="0">
      <text>
        <r>
          <t xml:space="preserve">Tarnwick Track Record Workbook (June 30, 2026) (Operating Metrics L5)</t>
        </r>
      </text>
    </comment>
    <comment ref="M9" authorId="0">
      <text>
        <r>
          <t xml:space="preserve">Tarnwick Track Record Workbook (June 30, 2026) (Operating Metrics L6)</t>
        </r>
      </text>
    </comment>
    <comment ref="N10" authorId="0">
      <text>
        <r>
          <t xml:space="preserve">Tarnwick Track Record Workbook (June 30, 2026) (Operating Metrics M7)</t>
        </r>
      </text>
    </comment>
    <comment ref="N11" authorId="0">
      <text>
        <r>
          <t xml:space="preserve">Tarnwick Track Record Workbook (June 30, 2026) (Operating Metrics M8)</t>
        </r>
      </text>
    </comment>
    <comment ref="N12" authorId="0">
      <text>
        <r>
          <t xml:space="preserve">Tarnwick Track Record Workbook (June 30, 2026) (Operating Metrics M9)</t>
        </r>
      </text>
    </comment>
    <comment ref="N13" authorId="0">
      <text>
        <r>
          <t xml:space="preserve">Tarnwick Track Record Workbook (June 30, 2026) (Operating Metrics M10)</t>
        </r>
      </text>
    </comment>
    <comment ref="N14" authorId="0">
      <text>
        <r>
          <t xml:space="preserve">Tarnwick Track Record Workbook (June 30, 2026) (Operating Metrics M11)</t>
        </r>
      </text>
    </comment>
    <comment ref="N8" authorId="0">
      <text>
        <r>
          <t xml:space="preserve">Tarnwick Track Record Workbook (June 30, 2026) (Operating Metrics M5)</t>
        </r>
      </text>
    </comment>
    <comment ref="N9" authorId="0">
      <text>
        <r>
          <t xml:space="preserve">Tarnwick Track Record Workbook (June 30, 2026) (Operating Metrics M6)</t>
        </r>
      </text>
    </comment>
    <comment ref="O10" authorId="0">
      <text>
        <r>
          <t xml:space="preserve">Tarnwick Track Record Workbook (June 30, 2026) (Operating Metrics N7)</t>
        </r>
      </text>
    </comment>
    <comment ref="O11" authorId="0">
      <text>
        <r>
          <t xml:space="preserve">Tarnwick Track Record Workbook (June 30, 2026) (Operating Metrics N8)</t>
        </r>
      </text>
    </comment>
    <comment ref="O12" authorId="0">
      <text>
        <r>
          <t xml:space="preserve">Tarnwick Track Record Workbook (June 30, 2026) (Operating Metrics N9)</t>
        </r>
      </text>
    </comment>
    <comment ref="O13" authorId="0">
      <text>
        <r>
          <t xml:space="preserve">Tarnwick Track Record Workbook (June 30, 2026) (Operating Metrics N10)</t>
        </r>
      </text>
    </comment>
    <comment ref="O14" authorId="0">
      <text>
        <r>
          <t xml:space="preserve">Tarnwick Track Record Workbook (June 30, 2026) (Operating Metrics N11)</t>
        </r>
      </text>
    </comment>
    <comment ref="O8" authorId="0">
      <text>
        <r>
          <t xml:space="preserve">Tarnwick Track Record Workbook (June 30, 2026) (Operating Metrics N5)</t>
        </r>
      </text>
    </comment>
    <comment ref="O9" authorId="0">
      <text>
        <r>
          <t xml:space="preserve">Tarnwick Track Record Workbook (June 30, 2026) (Operating Metrics N6)</t>
        </r>
      </text>
    </comment>
    <comment ref="P10" authorId="0">
      <text>
        <r>
          <t xml:space="preserve">Tarnwick Track Record Workbook (June 30, 2026) (Operating Metrics O7)</t>
        </r>
      </text>
    </comment>
    <comment ref="P11" authorId="0">
      <text>
        <r>
          <t xml:space="preserve">Tarnwick Track Record Workbook (June 30, 2026) (Operating Metrics O8)</t>
        </r>
      </text>
    </comment>
    <comment ref="P12" authorId="0">
      <text>
        <r>
          <t xml:space="preserve">Tarnwick Track Record Workbook (June 30, 2026) (Operating Metrics O9)</t>
        </r>
      </text>
    </comment>
    <comment ref="P13" authorId="0">
      <text>
        <r>
          <t xml:space="preserve">Tarnwick Track Record Workbook (June 30, 2026) (Operating Metrics O10)</t>
        </r>
      </text>
    </comment>
    <comment ref="P14" authorId="0">
      <text>
        <r>
          <t xml:space="preserve">Tarnwick Track Record Workbook (June 30, 2026) (Operating Metrics O11)</t>
        </r>
      </text>
    </comment>
    <comment ref="P8" authorId="0">
      <text>
        <r>
          <t xml:space="preserve">Tarnwick Track Record Workbook (June 30, 2026) (Operating Metrics O5)</t>
        </r>
      </text>
    </comment>
    <comment ref="P9" authorId="0">
      <text>
        <r>
          <t xml:space="preserve">Tarnwick Track Record Workbook (June 30, 2026) (Operating Metrics O6)</t>
        </r>
      </text>
    </comment>
  </commentList>
</comments>
</file>

<file path=xl/comments11.xml><?xml version="1.0" encoding="utf-8"?>
<comments xmlns="http://schemas.openxmlformats.org/spreadsheetml/2006/main">
  <authors>
    <author>Compound</author>
  </authors>
  <commentList>
    <comment ref="F20" authorId="0">
      <text>
        <r>
          <t xml:space="preserve">ILPA-Principles-3.0_2019 p. 10</t>
        </r>
      </text>
    </comment>
  </commentList>
</comments>
</file>

<file path=xl/comments12.xml><?xml version="1.0" encoding="utf-8"?>
<comments xmlns="http://schemas.openxmlformats.org/spreadsheetml/2006/main">
  <authors>
    <author>Compound</author>
  </authors>
  <commentList>
    <comment ref="F10" authorId="0">
      <text>
        <r>
          <t xml:space="preserve">Tarnwick ILPA DDQ 2.0 Response (September 2026)</t>
        </r>
      </text>
    </comment>
    <comment ref="F11" authorId="0">
      <text>
        <r>
          <t xml:space="preserve">Tarnwick ILPA DDQ 2.0 Response (September 2026)</t>
        </r>
      </text>
    </comment>
    <comment ref="F12" authorId="0">
      <text>
        <r>
          <t xml:space="preserve">Tarnwick ILPA DDQ 2.0 Response (September 2026)</t>
        </r>
      </text>
    </comment>
    <comment ref="F13" authorId="0">
      <text>
        <r>
          <t xml:space="preserve">Tarnwick ILPA DDQ 2.0 Response (September 2026)</t>
        </r>
      </text>
    </comment>
    <comment ref="F14" authorId="0">
      <text>
        <r>
          <t xml:space="preserve">Tarnwick ILPA DDQ 2.0 Response (September 2026)</t>
        </r>
      </text>
    </comment>
    <comment ref="F15" authorId="0">
      <text>
        <r>
          <t xml:space="preserve">Tarnwick ILPA DDQ 2.0 Response (September 2026)</t>
        </r>
      </text>
    </comment>
    <comment ref="F16" authorId="0">
      <text>
        <r>
          <t xml:space="preserve">Tarnwick ILPA DDQ 2.0 Response (September 2026)</t>
        </r>
      </text>
    </comment>
    <comment ref="F17" authorId="0">
      <text>
        <r>
          <t xml:space="preserve">Tarnwick ILPA DDQ 2.0 Response (September 2026)</t>
        </r>
      </text>
    </comment>
    <comment ref="F18" authorId="0">
      <text>
        <r>
          <t xml:space="preserve">Tarnwick ILPA DDQ 2.0 Response (September 2026)</t>
        </r>
      </text>
    </comment>
    <comment ref="F19" authorId="0">
      <text>
        <r>
          <t xml:space="preserve">Tarnwick ILPA DDQ 2.0 Response (September 2026)</t>
        </r>
      </text>
    </comment>
    <comment ref="F20" authorId="0">
      <text>
        <r>
          <t xml:space="preserve">Tarnwick ILPA DDQ 2.0 Response (September 2026)</t>
        </r>
      </text>
    </comment>
    <comment ref="F21" authorId="0">
      <text>
        <r>
          <t xml:space="preserve">Tarnwick ILPA DDQ 2.0 Response (September 2026)</t>
        </r>
      </text>
    </comment>
    <comment ref="F22" authorId="0">
      <text>
        <r>
          <t xml:space="preserve">Tarnwick ILPA DDQ 2.0 Response (September 2026)</t>
        </r>
      </text>
    </comment>
    <comment ref="F23" authorId="0">
      <text>
        <r>
          <t xml:space="preserve">Tarnwick ILPA DDQ 2.0 Response (September 2026)</t>
        </r>
      </text>
    </comment>
    <comment ref="F24" authorId="0">
      <text>
        <r>
          <t xml:space="preserve">Tarnwick ILPA DDQ 2.0 Response (September 2026)</t>
        </r>
      </text>
    </comment>
    <comment ref="F25" authorId="0">
      <text>
        <r>
          <t xml:space="preserve">Tarnwick ILPA DDQ 2.0 Response (September 2026)</t>
        </r>
      </text>
    </comment>
    <comment ref="F6" authorId="0">
      <text>
        <r>
          <t xml:space="preserve">Tarnwick ILPA DDQ 2.0 Response (September 2026)</t>
        </r>
      </text>
    </comment>
    <comment ref="F7" authorId="0">
      <text>
        <r>
          <t xml:space="preserve">Tarnwick ILPA DDQ 2.0 Response (September 2026)</t>
        </r>
      </text>
    </comment>
    <comment ref="F8" authorId="0">
      <text>
        <r>
          <t xml:space="preserve">Tarnwick ILPA DDQ 2.0 Response (September 2026)</t>
        </r>
      </text>
    </comment>
    <comment ref="F9" authorId="0">
      <text>
        <r>
          <t xml:space="preserve">Tarnwick ILPA DDQ 2.0 Response (September 2026)</t>
        </r>
      </text>
    </comment>
    <comment ref="K10" authorId="0">
      <text>
        <r>
          <t xml:space="preserve">ODD Questionnaire Responses (September 2026)</t>
        </r>
      </text>
    </comment>
    <comment ref="K11" authorId="0">
      <text>
        <r>
          <t xml:space="preserve">Tarnwick Capital Partners V - PPM Excerpt (September 2026) p. 4</t>
        </r>
      </text>
    </comment>
    <comment ref="K12" authorId="0">
      <text>
        <r>
          <t xml:space="preserve">Tarnwick Track Record Workbook (June 30, 2026) (Fund Summary A8:D8)</t>
        </r>
      </text>
    </comment>
    <comment ref="K13" authorId="0">
      <text>
        <r>
          <t xml:space="preserve">Valuation Policy and Pellston Q2 2026 Valuation Memo p. 1</t>
        </r>
      </text>
    </comment>
    <comment ref="K14" authorId="0">
      <text>
        <r>
          <t xml:space="preserve">ODD Questionnaire Responses (September 2026)</t>
        </r>
      </text>
    </comment>
    <comment ref="K15" authorId="0">
      <text>
        <r>
          <t xml:space="preserve">Fund V LPA Terms Summary (Draft, September 2026) p. 1</t>
        </r>
      </text>
    </comment>
    <comment ref="K16" authorId="0">
      <text>
        <r>
          <t xml:space="preserve">Valuation Policy and Pellston Q2 2026 Valuation Memo p. 2</t>
        </r>
      </text>
    </comment>
    <comment ref="K17" authorId="0">
      <text>
        <r>
          <t xml:space="preserve">Fund V LPA Terms Summary (Draft, September 2026) p. 1</t>
        </r>
      </text>
    </comment>
    <comment ref="K18" authorId="0">
      <text>
        <r>
          <t xml:space="preserve">ODD Questionnaire Responses (September 2026)</t>
        </r>
      </text>
    </comment>
    <comment ref="K19" authorId="0">
      <text>
        <r>
          <t xml:space="preserve">Tarnwick Track Record Workbook (June 30, 2026) (Deal Summary A27:M30)</t>
        </r>
      </text>
    </comment>
    <comment ref="K20" authorId="0">
      <text>
        <r>
          <t xml:space="preserve">Valuation Policy and Pellston Q2 2026 Valuation Memo p. 2</t>
        </r>
      </text>
    </comment>
    <comment ref="K21" authorId="0">
      <text>
        <r>
          <t xml:space="preserve">Fund V LPA Terms Summary (Draft, September 2026) p. 2</t>
        </r>
      </text>
    </comment>
    <comment ref="K22" authorId="0">
      <text>
        <r>
          <t xml:space="preserve">ODD Questionnaire Responses (September 2026)</t>
        </r>
      </text>
    </comment>
    <comment ref="K23" authorId="0">
      <text>
        <r>
          <t xml:space="preserve">ODD Questionnaire Responses (September 2026)</t>
        </r>
      </text>
    </comment>
    <comment ref="K6" authorId="0">
      <text>
        <r>
          <t xml:space="preserve">Tarnwick Capital Partners V - PPM Excerpt (September 2026) p. 3</t>
        </r>
      </text>
    </comment>
    <comment ref="K7" authorId="0">
      <text>
        <r>
          <t xml:space="preserve">Fund V LPA Terms Summary (Draft, September 2026) p. 1</t>
        </r>
      </text>
    </comment>
    <comment ref="K8" authorId="0">
      <text>
        <r>
          <t xml:space="preserve">Fund V LPA Terms Summary (Draft, September 2026) p. 1</t>
        </r>
      </text>
    </comment>
    <comment ref="K9" authorId="0">
      <text>
        <r>
          <t xml:space="preserve">Tarnwick Track Record Workbook (June 30, 2026) (Deal Summary A41:M41)</t>
        </r>
      </text>
    </comment>
    <comment ref="M10" authorId="0">
      <text>
        <r>
          <t xml:space="preserve">Fund V LPA Terms Summary (Draft, September 2026) p. 1</t>
        </r>
      </text>
    </comment>
    <comment ref="M11" authorId="0">
      <text>
        <r>
          <t xml:space="preserve">Tarnwick Track Record Workbook (June 30, 2026) (Deal Summary A22:M22)</t>
        </r>
      </text>
    </comment>
    <comment ref="M12" authorId="0">
      <text>
        <r>
          <t xml:space="preserve">Fund IV - Quarterly Report Q2 2026 p. 2</t>
        </r>
      </text>
    </comment>
    <comment ref="M13" authorId="0">
      <text>
        <r>
          <t xml:space="preserve">Tarnwick Capital Partners V - PPM Excerpt (September 2026) p. 2</t>
        </r>
      </text>
    </comment>
    <comment ref="M14" authorId="0">
      <text>
        <r>
          <t xml:space="preserve">ODD Questionnaire Responses (September 2026)</t>
        </r>
      </text>
    </comment>
    <comment ref="M15" authorId="0">
      <text>
        <r>
          <t xml:space="preserve">Team and Carry Allocation (Carry Allocation A1:D6)</t>
        </r>
      </text>
    </comment>
    <comment ref="M16" authorId="0">
      <text>
        <r>
          <t xml:space="preserve">Valuation Policy and Pellston Q2 2026 Valuation Memo p. 2</t>
        </r>
      </text>
    </comment>
    <comment ref="M17" authorId="0">
      <text>
        <r>
          <t xml:space="preserve">Fund V LPA Terms Summary (Draft, September 2026) p. 1</t>
        </r>
      </text>
    </comment>
    <comment ref="M18" authorId="0">
      <text>
        <r>
          <t xml:space="preserve">Funds III and IV - Audited Financial Statements Summary FY2023-FY2025 p. 2</t>
        </r>
      </text>
    </comment>
    <comment ref="M19" authorId="0">
      <text>
        <r>
          <t xml:space="preserve">Tarnwick Capital Partners V - PPM Excerpt (September 2026) p. 3</t>
        </r>
      </text>
    </comment>
    <comment ref="M20" authorId="0">
      <text>
        <r>
          <t xml:space="preserve">ODD Questionnaire Responses (September 2026)</t>
        </r>
      </text>
    </comment>
    <comment ref="M21" authorId="0">
      <text>
        <r>
          <t xml:space="preserve">Fund IV - Quarterly Report Q2 2026 p. 1</t>
        </r>
      </text>
    </comment>
    <comment ref="M23" authorId="0">
      <text>
        <r>
          <t xml:space="preserve">ODD Questionnaire Responses (September 2026)</t>
        </r>
      </text>
    </comment>
    <comment ref="M6" authorId="0">
      <text>
        <r>
          <t xml:space="preserve">Form ADV Excerpts (Part 1A and Part 2A, March 2026) p. 1</t>
        </r>
      </text>
    </comment>
    <comment ref="M8" authorId="0">
      <text>
        <r>
          <t xml:space="preserve">Fund V LPA Terms Summary (Draft, September 2026) p. 1</t>
        </r>
      </text>
    </comment>
    <comment ref="M9" authorId="0">
      <text>
        <r>
          <t xml:space="preserve">Tarnwick Track Record Workbook (June 30, 2026) (Deal Summary A42:M42)</t>
        </r>
      </text>
    </comment>
  </commentList>
</comments>
</file>

<file path=xl/comments13.xml><?xml version="1.0" encoding="utf-8"?>
<comments xmlns="http://schemas.openxmlformats.org/spreadsheetml/2006/main">
  <authors>
    <author>Compound</author>
  </authors>
  <commentList>
    <comment ref="K10" authorId="0">
      <text>
        <r>
          <t xml:space="preserve">Fund V LPA Terms Summary (Draft, September 2026) p. 1</t>
        </r>
      </text>
    </comment>
    <comment ref="K11" authorId="0">
      <text>
        <r>
          <t xml:space="preserve">Fund V LPA Terms Summary (Draft, September 2026) p. 1</t>
        </r>
      </text>
    </comment>
    <comment ref="K12" authorId="0">
      <text>
        <r>
          <t xml:space="preserve">Fund V LPA Terms Summary (Draft, September 2026) p. 1</t>
        </r>
      </text>
    </comment>
    <comment ref="K13" authorId="0">
      <text>
        <r>
          <t xml:space="preserve">ODD Questionnaire Responses (September 2026)</t>
        </r>
      </text>
    </comment>
    <comment ref="K14" authorId="0">
      <text>
        <r>
          <t xml:space="preserve">Tarnwick ILPA DDQ 2.0 Response (September 2026)</t>
        </r>
      </text>
    </comment>
    <comment ref="K15" authorId="0">
      <text>
        <r>
          <t xml:space="preserve">ODD Questionnaire Responses (September 2026)</t>
        </r>
      </text>
    </comment>
    <comment ref="K16" authorId="0">
      <text>
        <r>
          <t xml:space="preserve">ODD Questionnaire Responses (September 2026)</t>
        </r>
      </text>
    </comment>
    <comment ref="K17" authorId="0">
      <text>
        <r>
          <t xml:space="preserve">ODD Questionnaire Responses (September 2026)</t>
        </r>
      </text>
    </comment>
    <comment ref="K18" authorId="0">
      <text>
        <r>
          <t xml:space="preserve">Tarnwick Track Record Workbook (June 30, 2026) (Fund Summary A8:D8)</t>
        </r>
      </text>
    </comment>
    <comment ref="K19" authorId="0">
      <text>
        <r>
          <t xml:space="preserve">Tarnwick Capital Partners V - PPM Excerpt (September 2026) p. 4</t>
        </r>
      </text>
    </comment>
    <comment ref="K20" authorId="0">
      <text>
        <r>
          <t xml:space="preserve">Tarnwick ILPA DDQ 2.0 Response (September 2026)</t>
        </r>
      </text>
    </comment>
    <comment ref="K21" authorId="0">
      <text>
        <r>
          <t xml:space="preserve">Fund IV - Quarterly Report Q2 2026 p. 1</t>
        </r>
      </text>
    </comment>
    <comment ref="K6" authorId="0">
      <text>
        <r>
          <t xml:space="preserve">Form ADV Excerpts (Part 1A and Part 2A, March 2026) p. 1</t>
        </r>
      </text>
    </comment>
    <comment ref="K7" authorId="0">
      <text>
        <r>
          <t xml:space="preserve">Valuation Policy and Pellston Q2 2026 Valuation Memo p. 1</t>
        </r>
      </text>
    </comment>
    <comment ref="K8" authorId="0">
      <text>
        <r>
          <t xml:space="preserve">Valuation Policy and Pellston Q2 2026 Valuation Memo p. 1</t>
        </r>
      </text>
    </comment>
    <comment ref="K9" authorId="0">
      <text>
        <r>
          <t xml:space="preserve">ODD Questionnaire Responses (September 2026)</t>
        </r>
      </text>
    </comment>
    <comment ref="M10" authorId="0">
      <text>
        <r>
          <t xml:space="preserve">ODD Questionnaire Responses (September 2026)</t>
        </r>
      </text>
    </comment>
    <comment ref="M11" authorId="0">
      <text>
        <r>
          <t xml:space="preserve">Fund V LPA Terms Summary (Draft, September 2026) p. 1</t>
        </r>
      </text>
    </comment>
    <comment ref="M12" authorId="0">
      <text>
        <r>
          <t xml:space="preserve">Fund V LPA Terms Summary (Draft, September 2026) p. 1</t>
        </r>
      </text>
    </comment>
    <comment ref="M13" authorId="0">
      <text>
        <r>
          <t xml:space="preserve">Form ADV Excerpts (Part 1A and Part 2A, March 2026) p. 1</t>
        </r>
      </text>
    </comment>
    <comment ref="M14" authorId="0">
      <text>
        <r>
          <t xml:space="preserve">ODD Questionnaire Responses (September 2026)</t>
        </r>
      </text>
    </comment>
    <comment ref="M15" authorId="0">
      <text>
        <r>
          <t xml:space="preserve">ODD Questionnaire Responses (September 2026)</t>
        </r>
      </text>
    </comment>
    <comment ref="M16" authorId="0">
      <text>
        <r>
          <t xml:space="preserve">ODD Questionnaire Responses (September 2026)</t>
        </r>
      </text>
    </comment>
    <comment ref="M17" authorId="0">
      <text>
        <r>
          <t xml:space="preserve">ODD Questionnaire Responses (September 2026)</t>
        </r>
      </text>
    </comment>
    <comment ref="M18" authorId="0">
      <text>
        <r>
          <t xml:space="preserve">Tarnwick Track Record Workbook (June 30, 2026) (Credit Facility A17:H38)</t>
        </r>
      </text>
    </comment>
    <comment ref="M19" authorId="0">
      <text>
        <r>
          <t xml:space="preserve">Fund V LPA Terms Summary (Draft, September 2026) p. 1</t>
        </r>
      </text>
    </comment>
    <comment ref="M20" authorId="0">
      <text>
        <r>
          <t xml:space="preserve">ODD Questionnaire Responses (September 2026)</t>
        </r>
      </text>
    </comment>
    <comment ref="M21" authorId="0">
      <text>
        <r>
          <t xml:space="preserve">Tarnwick ILPA DDQ 2.0 Response (September 2026)</t>
        </r>
      </text>
    </comment>
    <comment ref="M6" authorId="0">
      <text>
        <r>
          <t xml:space="preserve">ODD Questionnaire Responses (September 2026)</t>
        </r>
      </text>
    </comment>
    <comment ref="M7" authorId="0">
      <text>
        <r>
          <t xml:space="preserve">ODD Questionnaire Responses (September 2026)</t>
        </r>
      </text>
    </comment>
    <comment ref="M8" authorId="0">
      <text>
        <r>
          <t xml:space="preserve">Valuation Policy and Pellston Q2 2026 Valuation Memo p. 2</t>
        </r>
      </text>
    </comment>
    <comment ref="M9" authorId="0">
      <text>
        <r>
          <t xml:space="preserve">Funds III and IV - Audited Financial Statements Summary FY2023-FY2025 p. 2</t>
        </r>
      </text>
    </comment>
    <comment ref="O10" authorId="0">
      <text>
        <r>
          <t xml:space="preserve">Form ADV Excerpts (Part 1A and Part 2A, March 2026) p. 1</t>
        </r>
      </text>
    </comment>
    <comment ref="O11" authorId="0">
      <text>
        <r>
          <t xml:space="preserve">Team and Carry Allocation (Carry Allocation A1:D6)</t>
        </r>
      </text>
    </comment>
    <comment ref="O14" authorId="0">
      <text>
        <r>
          <t xml:space="preserve">Team and Carry Allocation (Team A10:E10)</t>
        </r>
      </text>
    </comment>
    <comment ref="O17" authorId="0">
      <text>
        <r>
          <t xml:space="preserve">Tarnwick ILPA DDQ 2.0 Response (September 2026)</t>
        </r>
      </text>
    </comment>
    <comment ref="O18" authorId="0">
      <text>
        <r>
          <t xml:space="preserve">Fund IV - Quarterly Report Q2 2026 p. 2</t>
        </r>
      </text>
    </comment>
    <comment ref="O20" authorId="0">
      <text>
        <r>
          <t xml:space="preserve">Tarnwick ILPA DDQ 2.0 Response (September 2026)</t>
        </r>
      </text>
    </comment>
    <comment ref="O6" authorId="0">
      <text>
        <r>
          <t xml:space="preserve">Funds III and IV - Audited Financial Statements Summary FY2023-FY2025 p. 1</t>
        </r>
      </text>
    </comment>
    <comment ref="O7" authorId="0">
      <text>
        <r>
          <t xml:space="preserve">Form ADV Excerpts (Part 1A and Part 2A, March 2026) p. 1</t>
        </r>
      </text>
    </comment>
    <comment ref="O8" authorId="0">
      <text>
        <r>
          <t xml:space="preserve">Valuation Policy and Pellston Q2 2026 Valuation Memo p. 2</t>
        </r>
      </text>
    </comment>
    <comment ref="O9" authorId="0">
      <text>
        <r>
          <t xml:space="preserve">Tarnwick ILPA DDQ 2.0 Response (September 2026)</t>
        </r>
      </text>
    </comment>
  </commentList>
</comments>
</file>

<file path=xl/comments15.xml><?xml version="1.0" encoding="utf-8"?>
<comments xmlns="http://schemas.openxmlformats.org/spreadsheetml/2006/main">
  <authors>
    <author>Compound</author>
  </authors>
  <commentList>
    <comment ref="D21" authorId="0">
      <text>
        <r>
          <t xml:space="preserve">Cited for D21:D40
Tarnwick Track Record Workbook (June 30, 2026) (Deal Cash Flows A21:E40)</t>
        </r>
      </text>
    </comment>
    <comment ref="D41" authorId="0">
      <text>
        <r>
          <t xml:space="preserve">Cited for D41:D62
Tarnwick Track Record Workbook (June 30, 2026) (Deal Cash Flows A41:E62)</t>
        </r>
      </text>
    </comment>
    <comment ref="D5" authorId="0">
      <text>
        <r>
          <t xml:space="preserve">Cited for D5:D20
Tarnwick Track Record Workbook (June 30, 2026) (Deal Cash Flows A5:E20)</t>
        </r>
      </text>
    </comment>
    <comment ref="D63" authorId="0">
      <text>
        <r>
          <t xml:space="preserve">Cited for D63:D81
Tarnwick Track Record Workbook (June 30, 2026) (Deal Cash Flows A63:E81)</t>
        </r>
      </text>
    </comment>
    <comment ref="F21" authorId="0">
      <text>
        <r>
          <t xml:space="preserve">Cited for F21:F40
Tarnwick Track Record Workbook (June 30, 2026) (Deal Cash Flows A21:E40)</t>
        </r>
      </text>
    </comment>
    <comment ref="F41" authorId="0">
      <text>
        <r>
          <t xml:space="preserve">Cited for F41:F62
Tarnwick Track Record Workbook (June 30, 2026) (Deal Cash Flows A41:E62)</t>
        </r>
      </text>
    </comment>
    <comment ref="F5" authorId="0">
      <text>
        <r>
          <t xml:space="preserve">Cited for F5:F20
Tarnwick Track Record Workbook (June 30, 2026) (Deal Cash Flows A5:E20)</t>
        </r>
      </text>
    </comment>
    <comment ref="F63" authorId="0">
      <text>
        <r>
          <t xml:space="preserve">Cited for F63:F81
Tarnwick Track Record Workbook (June 30, 2026) (Deal Cash Flows A63:E81)</t>
        </r>
      </text>
    </comment>
  </commentList>
</comments>
</file>

<file path=xl/comments16.xml><?xml version="1.0" encoding="utf-8"?>
<comments xmlns="http://schemas.openxmlformats.org/spreadsheetml/2006/main">
  <authors>
    <author>Compound</author>
  </authors>
  <commentList>
    <comment ref="C30" authorId="0">
      <text>
        <r>
          <t xml:space="preserve">Cited for C30:C54
Tarnwick Track Record Workbook (June 30, 2026) (LP Cash Flows A31:E55)</t>
        </r>
      </text>
    </comment>
    <comment ref="C5" authorId="0">
      <text>
        <r>
          <t xml:space="preserve">Cited for C5:C29
Tarnwick Track Record Workbook (June 30, 2026) (LP Cash Flows A5:E29)</t>
        </r>
      </text>
    </comment>
    <comment ref="C55" authorId="0">
      <text>
        <r>
          <t xml:space="preserve">Cited for C55:C87
Tarnwick Track Record Workbook (June 30, 2026) (LP Cash Flows A57:E89)</t>
        </r>
      </text>
    </comment>
    <comment ref="C88" authorId="0">
      <text>
        <r>
          <t xml:space="preserve">Cited for C88:C107
Tarnwick Track Record Workbook (June 30, 2026) (LP Cash Flows A91:E110)</t>
        </r>
      </text>
    </comment>
    <comment ref="F30" authorId="0">
      <text>
        <r>
          <t xml:space="preserve">Cited for F30:F54
Tarnwick Track Record Workbook (June 30, 2026) (LP Cash Flows A31:E55)</t>
        </r>
      </text>
    </comment>
    <comment ref="F5" authorId="0">
      <text>
        <r>
          <t xml:space="preserve">Cited for F5:F29
Tarnwick Track Record Workbook (June 30, 2026) (LP Cash Flows A5:E29)</t>
        </r>
      </text>
    </comment>
    <comment ref="F55" authorId="0">
      <text>
        <r>
          <t xml:space="preserve">Cited for F55:F87
Tarnwick Track Record Workbook (June 30, 2026) (LP Cash Flows A57:E89)</t>
        </r>
      </text>
    </comment>
    <comment ref="F88" authorId="0">
      <text>
        <r>
          <t xml:space="preserve">Cited for F88:F107
Tarnwick Track Record Workbook (June 30, 2026) (LP Cash Flows A91:E110)</t>
        </r>
      </text>
    </comment>
  </commentList>
</comments>
</file>

<file path=xl/comments17.xml><?xml version="1.0" encoding="utf-8"?>
<comments xmlns="http://schemas.openxmlformats.org/spreadsheetml/2006/main">
  <authors>
    <author>Compound</author>
  </authors>
  <commentList>
    <comment ref="D16" authorId="0">
      <text>
        <r>
          <t xml:space="preserve">Cited for C16:D37
Tarnwick Track Record Workbook (June 30, 2026) (Credit Facility A17:H38)</t>
        </r>
      </text>
    </comment>
    <comment ref="D5" authorId="0">
      <text>
        <r>
          <t xml:space="preserve">Cited for C5:D15
Tarnwick Track Record Workbook (June 30, 2026) (Credit Facility A5:H15)</t>
        </r>
      </text>
    </comment>
    <comment ref="I16" authorId="0">
      <text>
        <r>
          <t xml:space="preserve">Cited for 80 cells in F16:I37
Tarnwick Track Record Workbook (June 30, 2026) (Credit Facility A17:H38)</t>
        </r>
      </text>
    </comment>
    <comment ref="I5" authorId="0">
      <text>
        <r>
          <t xml:space="preserve">Cited for F5:I15
Tarnwick Track Record Workbook (June 30, 2026) (Credit Facility A5:H15)</t>
        </r>
      </text>
    </comment>
  </commentList>
</comments>
</file>

<file path=xl/comments18.xml><?xml version="1.0" encoding="utf-8"?>
<comments xmlns="http://schemas.openxmlformats.org/spreadsheetml/2006/main">
  <authors>
    <author>Compound</author>
  </authors>
  <commentList>
    <comment ref="C5" authorId="0">
      <text>
        <r>
          <t xml:space="preserve">Cited for B5:C197
Russell 2000 Total Return (RUTTR) monthly - Yahoo Finance</t>
        </r>
      </text>
    </comment>
    <comment ref="F4" authorId="0">
      <text>
        <r>
          <t xml:space="preserve">Tarnwick Track Record Workbook (June 30, 2026) (Fund Summary A2)</t>
        </r>
      </text>
    </comment>
  </commentList>
</comments>
</file>

<file path=xl/comments19.xml><?xml version="1.0" encoding="utf-8"?>
<comments xmlns="http://schemas.openxmlformats.org/spreadsheetml/2006/main">
  <authors>
    <author>Compound</author>
  </authors>
  <commentList>
    <comment ref="G10" authorId="0">
      <text>
        <r>
          <t xml:space="preserve">Tarnwick Track Record Workbook (June 30, 2026) (Deal Summary E9)</t>
        </r>
      </text>
    </comment>
    <comment ref="G11" authorId="0">
      <text>
        <r>
          <t xml:space="preserve">Tarnwick Track Record Workbook (June 30, 2026) (Deal Summary E10)</t>
        </r>
      </text>
    </comment>
    <comment ref="G12" authorId="0">
      <text>
        <r>
          <t xml:space="preserve">Tarnwick Track Record Workbook (June 30, 2026) (Deal Summary E11)</t>
        </r>
      </text>
    </comment>
    <comment ref="G13" authorId="0">
      <text>
        <r>
          <t xml:space="preserve">Tarnwick Track Record Workbook (June 30, 2026) (Deal Summary E12)</t>
        </r>
      </text>
    </comment>
    <comment ref="G14" authorId="0">
      <text>
        <r>
          <t xml:space="preserve">Tarnwick Track Record Workbook (June 30, 2026) (Deal Summary E13)</t>
        </r>
      </text>
    </comment>
    <comment ref="G15" authorId="0">
      <text>
        <r>
          <t xml:space="preserve">Tarnwick Track Record Workbook (June 30, 2026) (Deal Summary E14)</t>
        </r>
      </text>
    </comment>
    <comment ref="G16" authorId="0">
      <text>
        <r>
          <t xml:space="preserve">Tarnwick Track Record Workbook (June 30, 2026) (Deal Summary E15)</t>
        </r>
      </text>
    </comment>
    <comment ref="G17" authorId="0">
      <text>
        <r>
          <t xml:space="preserve">Tarnwick Track Record Workbook (June 30, 2026) (Deal Summary E16)</t>
        </r>
      </text>
    </comment>
    <comment ref="G18" authorId="0">
      <text>
        <r>
          <t xml:space="preserve">Tarnwick Track Record Workbook (June 30, 2026) (Deal Summary E17)</t>
        </r>
      </text>
    </comment>
    <comment ref="G19" authorId="0">
      <text>
        <r>
          <t xml:space="preserve">Tarnwick Track Record Workbook (June 30, 2026) (Deal Summary E18)</t>
        </r>
      </text>
    </comment>
    <comment ref="G20" authorId="0">
      <text>
        <r>
          <t xml:space="preserve">Tarnwick Track Record Workbook (June 30, 2026) (Deal Summary E19)</t>
        </r>
      </text>
    </comment>
    <comment ref="G21" authorId="0">
      <text>
        <r>
          <t xml:space="preserve">Tarnwick Track Record Workbook (June 30, 2026) (Deal Summary E20)</t>
        </r>
      </text>
    </comment>
    <comment ref="G22" authorId="0">
      <text>
        <r>
          <t xml:space="preserve">Tarnwick Track Record Workbook (June 30, 2026) (Deal Summary E21)</t>
        </r>
      </text>
    </comment>
    <comment ref="G23" authorId="0">
      <text>
        <r>
          <t xml:space="preserve">Tarnwick Track Record Workbook (June 30, 2026) (Deal Summary E22)</t>
        </r>
      </text>
    </comment>
    <comment ref="G24" authorId="0">
      <text>
        <r>
          <t xml:space="preserve">Tarnwick Track Record Workbook (June 30, 2026) (Deal Summary E23)</t>
        </r>
      </text>
    </comment>
    <comment ref="G25" authorId="0">
      <text>
        <r>
          <t xml:space="preserve">Tarnwick Track Record Workbook (June 30, 2026) (Deal Summary E24)</t>
        </r>
      </text>
    </comment>
    <comment ref="G26" authorId="0">
      <text>
        <r>
          <t xml:space="preserve">Tarnwick Track Record Workbook (June 30, 2026) (Deal Summary E25)</t>
        </r>
      </text>
    </comment>
    <comment ref="G27" authorId="0">
      <text>
        <r>
          <t xml:space="preserve">Tarnwick Track Record Workbook (June 30, 2026) (Deal Summary E26)</t>
        </r>
      </text>
    </comment>
    <comment ref="G28" authorId="0">
      <text>
        <r>
          <t xml:space="preserve">Tarnwick Track Record Workbook (June 30, 2026) (Deal Summary E27)</t>
        </r>
      </text>
    </comment>
    <comment ref="G29" authorId="0">
      <text>
        <r>
          <t xml:space="preserve">Tarnwick Track Record Workbook (June 30, 2026) (Deal Summary E28)</t>
        </r>
      </text>
    </comment>
    <comment ref="G30" authorId="0">
      <text>
        <r>
          <t xml:space="preserve">Tarnwick Track Record Workbook (June 30, 2026) (Deal Summary E29)</t>
        </r>
      </text>
    </comment>
    <comment ref="G31" authorId="0">
      <text>
        <r>
          <t xml:space="preserve">Tarnwick Track Record Workbook (June 30, 2026) (Deal Summary E30)</t>
        </r>
      </text>
    </comment>
    <comment ref="G32" authorId="0">
      <text>
        <r>
          <t xml:space="preserve">Tarnwick Track Record Workbook (June 30, 2026) (Deal Summary E31)</t>
        </r>
      </text>
    </comment>
    <comment ref="G33" authorId="0">
      <text>
        <r>
          <t xml:space="preserve">Tarnwick Track Record Workbook (June 30, 2026) (Deal Summary E32)</t>
        </r>
      </text>
    </comment>
    <comment ref="G34" authorId="0">
      <text>
        <r>
          <t xml:space="preserve">Tarnwick Track Record Workbook (June 30, 2026) (Deal Summary E33)</t>
        </r>
      </text>
    </comment>
    <comment ref="G35" authorId="0">
      <text>
        <r>
          <t xml:space="preserve">Tarnwick Track Record Workbook (June 30, 2026) (Deal Summary E34)</t>
        </r>
      </text>
    </comment>
    <comment ref="G36" authorId="0">
      <text>
        <r>
          <t xml:space="preserve">Tarnwick Track Record Workbook (June 30, 2026) (Deal Summary E35)</t>
        </r>
      </text>
    </comment>
    <comment ref="G37" authorId="0">
      <text>
        <r>
          <t xml:space="preserve">Tarnwick Track Record Workbook (June 30, 2026) (Deal Summary E36)</t>
        </r>
      </text>
    </comment>
    <comment ref="G38" authorId="0">
      <text>
        <r>
          <t xml:space="preserve">Tarnwick Track Record Workbook (June 30, 2026) (Deal Summary E37)</t>
        </r>
      </text>
    </comment>
    <comment ref="G39" authorId="0">
      <text>
        <r>
          <t xml:space="preserve">Tarnwick Track Record Workbook (June 30, 2026) (Deal Summary E38)</t>
        </r>
      </text>
    </comment>
    <comment ref="G40" authorId="0">
      <text>
        <r>
          <t xml:space="preserve">Tarnwick Track Record Workbook (June 30, 2026) (Deal Summary E39)</t>
        </r>
      </text>
    </comment>
    <comment ref="G41" authorId="0">
      <text>
        <r>
          <t xml:space="preserve">Tarnwick Track Record Workbook (June 30, 2026) (Deal Summary E40)</t>
        </r>
      </text>
    </comment>
    <comment ref="G42" authorId="0">
      <text>
        <r>
          <t xml:space="preserve">Tarnwick Track Record Workbook (June 30, 2026) (Deal Summary E41)</t>
        </r>
      </text>
    </comment>
    <comment ref="G43" authorId="0">
      <text>
        <r>
          <t xml:space="preserve">Tarnwick Track Record Workbook (June 30, 2026) (Deal Summary E42)</t>
        </r>
      </text>
    </comment>
    <comment ref="G6" authorId="0">
      <text>
        <r>
          <t xml:space="preserve">Tarnwick Track Record Workbook (June 30, 2026) (Deal Summary E5)</t>
        </r>
      </text>
    </comment>
    <comment ref="G7" authorId="0">
      <text>
        <r>
          <t xml:space="preserve">Tarnwick Track Record Workbook (June 30, 2026) (Deal Summary E6)</t>
        </r>
      </text>
    </comment>
    <comment ref="G8" authorId="0">
      <text>
        <r>
          <t xml:space="preserve">Tarnwick Track Record Workbook (June 30, 2026) (Deal Summary E7)</t>
        </r>
      </text>
    </comment>
    <comment ref="G9" authorId="0">
      <text>
        <r>
          <t xml:space="preserve">Tarnwick Track Record Workbook (June 30, 2026) (Deal Summary E8)</t>
        </r>
      </text>
    </comment>
    <comment ref="H10" authorId="0">
      <text>
        <r>
          <t xml:space="preserve">Tarnwick Track Record Workbook (June 30, 2026) (Deal Summary F9)</t>
        </r>
      </text>
    </comment>
    <comment ref="H11" authorId="0">
      <text>
        <r>
          <t xml:space="preserve">Tarnwick Track Record Workbook (June 30, 2026) (Deal Summary F10)</t>
        </r>
      </text>
    </comment>
    <comment ref="H12" authorId="0">
      <text>
        <r>
          <t xml:space="preserve">Tarnwick Track Record Workbook (June 30, 2026) (Deal Summary F11)</t>
        </r>
      </text>
    </comment>
    <comment ref="H13" authorId="0">
      <text>
        <r>
          <t xml:space="preserve">Tarnwick Track Record Workbook (June 30, 2026) (Deal Summary F12)</t>
        </r>
      </text>
    </comment>
    <comment ref="H14" authorId="0">
      <text>
        <r>
          <t xml:space="preserve">Tarnwick Track Record Workbook (June 30, 2026) (Deal Summary F13)</t>
        </r>
      </text>
    </comment>
    <comment ref="H15" authorId="0">
      <text>
        <r>
          <t xml:space="preserve">Tarnwick Track Record Workbook (June 30, 2026) (Deal Summary F14)</t>
        </r>
      </text>
    </comment>
    <comment ref="H16" authorId="0">
      <text>
        <r>
          <t xml:space="preserve">Tarnwick Track Record Workbook (June 30, 2026) (Deal Summary F15)</t>
        </r>
      </text>
    </comment>
    <comment ref="H17" authorId="0">
      <text>
        <r>
          <t xml:space="preserve">Tarnwick Track Record Workbook (June 30, 2026) (Deal Summary F16)</t>
        </r>
      </text>
    </comment>
    <comment ref="H18" authorId="0">
      <text>
        <r>
          <t xml:space="preserve">Tarnwick Track Record Workbook (June 30, 2026) (Deal Summary F17)</t>
        </r>
      </text>
    </comment>
    <comment ref="H19" authorId="0">
      <text>
        <r>
          <t xml:space="preserve">Tarnwick Track Record Workbook (June 30, 2026) (Deal Summary F18)</t>
        </r>
      </text>
    </comment>
    <comment ref="H20" authorId="0">
      <text>
        <r>
          <t xml:space="preserve">Tarnwick Track Record Workbook (June 30, 2026) (Deal Summary F19)</t>
        </r>
      </text>
    </comment>
    <comment ref="H21" authorId="0">
      <text>
        <r>
          <t xml:space="preserve">Tarnwick Track Record Workbook (June 30, 2026) (Deal Summary F20)</t>
        </r>
      </text>
    </comment>
    <comment ref="H22" authorId="0">
      <text>
        <r>
          <t xml:space="preserve">Tarnwick Track Record Workbook (June 30, 2026) (Deal Summary F21)</t>
        </r>
      </text>
    </comment>
    <comment ref="H24" authorId="0">
      <text>
        <r>
          <t xml:space="preserve">Tarnwick Track Record Workbook (June 30, 2026) (Deal Summary F23)</t>
        </r>
      </text>
    </comment>
    <comment ref="H25" authorId="0">
      <text>
        <r>
          <t xml:space="preserve">Tarnwick Track Record Workbook (June 30, 2026) (Deal Summary F24)</t>
        </r>
      </text>
    </comment>
    <comment ref="H26" authorId="0">
      <text>
        <r>
          <t xml:space="preserve">Tarnwick Track Record Workbook (June 30, 2026) (Deal Summary F25)</t>
        </r>
      </text>
    </comment>
    <comment ref="H27" authorId="0">
      <text>
        <r>
          <t xml:space="preserve">Tarnwick Track Record Workbook (June 30, 2026) (Deal Summary F26)</t>
        </r>
      </text>
    </comment>
    <comment ref="H29" authorId="0">
      <text>
        <r>
          <t xml:space="preserve">Tarnwick Track Record Workbook (June 30, 2026) (Deal Summary F28)</t>
        </r>
      </text>
    </comment>
    <comment ref="H30" authorId="0">
      <text>
        <r>
          <t xml:space="preserve">Tarnwick Track Record Workbook (June 30, 2026) (Deal Summary F29)</t>
        </r>
      </text>
    </comment>
    <comment ref="H32" authorId="0">
      <text>
        <r>
          <t xml:space="preserve">Tarnwick Track Record Workbook (June 30, 2026) (Deal Summary F31)</t>
        </r>
      </text>
    </comment>
    <comment ref="H36" authorId="0">
      <text>
        <r>
          <t xml:space="preserve">Tarnwick Track Record Workbook (June 30, 2026) (Deal Summary F35)</t>
        </r>
      </text>
    </comment>
    <comment ref="H6" authorId="0">
      <text>
        <r>
          <t xml:space="preserve">Tarnwick Track Record Workbook (June 30, 2026) (Deal Summary F5)</t>
        </r>
      </text>
    </comment>
    <comment ref="H7" authorId="0">
      <text>
        <r>
          <t xml:space="preserve">Tarnwick Track Record Workbook (June 30, 2026) (Deal Summary F6)</t>
        </r>
      </text>
    </comment>
    <comment ref="H8" authorId="0">
      <text>
        <r>
          <t xml:space="preserve">Tarnwick Track Record Workbook (June 30, 2026) (Deal Summary F7)</t>
        </r>
      </text>
    </comment>
    <comment ref="H9" authorId="0">
      <text>
        <r>
          <t xml:space="preserve">Tarnwick Track Record Workbook (June 30, 2026) (Deal Summary F8)</t>
        </r>
      </text>
    </comment>
    <comment ref="I10" authorId="0">
      <text>
        <r>
          <t xml:space="preserve">Tarnwick Track Record Workbook (June 30, 2026) (Deal Summary H9)</t>
        </r>
      </text>
    </comment>
    <comment ref="I11" authorId="0">
      <text>
        <r>
          <t xml:space="preserve">Tarnwick Track Record Workbook (June 30, 2026) (Deal Summary H10)</t>
        </r>
      </text>
    </comment>
    <comment ref="I12" authorId="0">
      <text>
        <r>
          <t xml:space="preserve">Tarnwick Track Record Workbook (June 30, 2026) (Deal Summary H11)</t>
        </r>
      </text>
    </comment>
    <comment ref="I13" authorId="0">
      <text>
        <r>
          <t xml:space="preserve">Tarnwick Track Record Workbook (June 30, 2026) (Deal Summary H12)</t>
        </r>
      </text>
    </comment>
    <comment ref="I14" authorId="0">
      <text>
        <r>
          <t xml:space="preserve">Tarnwick Track Record Workbook (June 30, 2026) (Deal Summary H13)</t>
        </r>
      </text>
    </comment>
    <comment ref="I15" authorId="0">
      <text>
        <r>
          <t xml:space="preserve">Tarnwick Track Record Workbook (June 30, 2026) (Deal Summary H14)</t>
        </r>
      </text>
    </comment>
    <comment ref="I16" authorId="0">
      <text>
        <r>
          <t xml:space="preserve">Tarnwick Track Record Workbook (June 30, 2026) (Deal Summary H15)</t>
        </r>
      </text>
    </comment>
    <comment ref="I17" authorId="0">
      <text>
        <r>
          <t xml:space="preserve">Tarnwick Track Record Workbook (June 30, 2026) (Deal Summary H16)</t>
        </r>
      </text>
    </comment>
    <comment ref="I18" authorId="0">
      <text>
        <r>
          <t xml:space="preserve">Tarnwick Track Record Workbook (June 30, 2026) (Deal Summary H17)</t>
        </r>
      </text>
    </comment>
    <comment ref="I19" authorId="0">
      <text>
        <r>
          <t xml:space="preserve">Tarnwick Track Record Workbook (June 30, 2026) (Deal Summary H18)</t>
        </r>
      </text>
    </comment>
    <comment ref="I20" authorId="0">
      <text>
        <r>
          <t xml:space="preserve">Tarnwick Track Record Workbook (June 30, 2026) (Deal Summary H19)</t>
        </r>
      </text>
    </comment>
    <comment ref="I21" authorId="0">
      <text>
        <r>
          <t xml:space="preserve">Tarnwick Track Record Workbook (June 30, 2026) (Deal Summary H20)</t>
        </r>
      </text>
    </comment>
    <comment ref="I22" authorId="0">
      <text>
        <r>
          <t xml:space="preserve">Tarnwick Track Record Workbook (June 30, 2026) (Deal Summary H21)</t>
        </r>
      </text>
    </comment>
    <comment ref="I23" authorId="0">
      <text>
        <r>
          <t xml:space="preserve">Tarnwick Track Record Workbook (June 30, 2026) (Deal Summary H22)</t>
        </r>
      </text>
    </comment>
    <comment ref="I24" authorId="0">
      <text>
        <r>
          <t xml:space="preserve">Tarnwick Track Record Workbook (June 30, 2026) (Deal Summary H23)</t>
        </r>
      </text>
    </comment>
    <comment ref="I25" authorId="0">
      <text>
        <r>
          <t xml:space="preserve">Tarnwick Track Record Workbook (June 30, 2026) (Deal Summary H24)</t>
        </r>
      </text>
    </comment>
    <comment ref="I26" authorId="0">
      <text>
        <r>
          <t xml:space="preserve">Tarnwick Track Record Workbook (June 30, 2026) (Deal Summary H25)</t>
        </r>
      </text>
    </comment>
    <comment ref="I27" authorId="0">
      <text>
        <r>
          <t xml:space="preserve">Tarnwick Track Record Workbook (June 30, 2026) (Deal Summary H26)</t>
        </r>
      </text>
    </comment>
    <comment ref="I28" authorId="0">
      <text>
        <r>
          <t xml:space="preserve">Tarnwick Track Record Workbook (June 30, 2026) (Deal Summary H27)</t>
        </r>
      </text>
    </comment>
    <comment ref="I29" authorId="0">
      <text>
        <r>
          <t xml:space="preserve">Tarnwick Track Record Workbook (June 30, 2026) (Deal Summary H28)</t>
        </r>
      </text>
    </comment>
    <comment ref="I30" authorId="0">
      <text>
        <r>
          <t xml:space="preserve">Tarnwick Track Record Workbook (June 30, 2026) (Deal Summary H29)</t>
        </r>
      </text>
    </comment>
    <comment ref="I31" authorId="0">
      <text>
        <r>
          <t xml:space="preserve">Tarnwick Track Record Workbook (June 30, 2026) (Deal Summary H30)</t>
        </r>
      </text>
    </comment>
    <comment ref="I32" authorId="0">
      <text>
        <r>
          <t xml:space="preserve">Tarnwick Track Record Workbook (June 30, 2026) (Deal Summary H31)</t>
        </r>
      </text>
    </comment>
    <comment ref="I33" authorId="0">
      <text>
        <r>
          <t xml:space="preserve">Tarnwick Track Record Workbook (June 30, 2026) (Deal Summary H32)</t>
        </r>
      </text>
    </comment>
    <comment ref="I34" authorId="0">
      <text>
        <r>
          <t xml:space="preserve">Tarnwick Track Record Workbook (June 30, 2026) (Deal Summary H33)</t>
        </r>
      </text>
    </comment>
    <comment ref="I35" authorId="0">
      <text>
        <r>
          <t xml:space="preserve">Tarnwick Track Record Workbook (June 30, 2026) (Deal Summary H34)</t>
        </r>
      </text>
    </comment>
    <comment ref="I36" authorId="0">
      <text>
        <r>
          <t xml:space="preserve">Tarnwick Track Record Workbook (June 30, 2026) (Deal Summary H35)</t>
        </r>
      </text>
    </comment>
    <comment ref="I37" authorId="0">
      <text>
        <r>
          <t xml:space="preserve">Tarnwick Track Record Workbook (June 30, 2026) (Deal Summary H36)</t>
        </r>
      </text>
    </comment>
    <comment ref="I38" authorId="0">
      <text>
        <r>
          <t xml:space="preserve">Tarnwick Track Record Workbook (June 30, 2026) (Deal Summary H37)</t>
        </r>
      </text>
    </comment>
    <comment ref="I39" authorId="0">
      <text>
        <r>
          <t xml:space="preserve">Tarnwick Track Record Workbook (June 30, 2026) (Deal Summary H38)</t>
        </r>
      </text>
    </comment>
    <comment ref="I40" authorId="0">
      <text>
        <r>
          <t xml:space="preserve">Tarnwick Track Record Workbook (June 30, 2026) (Deal Summary H39)</t>
        </r>
      </text>
    </comment>
    <comment ref="I41" authorId="0">
      <text>
        <r>
          <t xml:space="preserve">Tarnwick Track Record Workbook (June 30, 2026) (Deal Summary H40)</t>
        </r>
      </text>
    </comment>
    <comment ref="I42" authorId="0">
      <text>
        <r>
          <t xml:space="preserve">Tarnwick Track Record Workbook (June 30, 2026) (Deal Summary H41)</t>
        </r>
      </text>
    </comment>
    <comment ref="I43" authorId="0">
      <text>
        <r>
          <t xml:space="preserve">Tarnwick Track Record Workbook (June 30, 2026) (Deal Summary H42)</t>
        </r>
      </text>
    </comment>
    <comment ref="I6" authorId="0">
      <text>
        <r>
          <t xml:space="preserve">Tarnwick Track Record Workbook (June 30, 2026) (Deal Summary H5)</t>
        </r>
      </text>
    </comment>
    <comment ref="I7" authorId="0">
      <text>
        <r>
          <t xml:space="preserve">Tarnwick Track Record Workbook (June 30, 2026) (Deal Summary H6)</t>
        </r>
      </text>
    </comment>
    <comment ref="I8" authorId="0">
      <text>
        <r>
          <t xml:space="preserve">Tarnwick Track Record Workbook (June 30, 2026) (Deal Summary H7)</t>
        </r>
      </text>
    </comment>
    <comment ref="I9" authorId="0">
      <text>
        <r>
          <t xml:space="preserve">Tarnwick Track Record Workbook (June 30, 2026) (Deal Summary H8)</t>
        </r>
      </text>
    </comment>
    <comment ref="J10" authorId="0">
      <text>
        <r>
          <t xml:space="preserve">Tarnwick Track Record Workbook (June 30, 2026) (Deal Summary I9)</t>
        </r>
      </text>
    </comment>
    <comment ref="J11" authorId="0">
      <text>
        <r>
          <t xml:space="preserve">Tarnwick Track Record Workbook (June 30, 2026) (Deal Summary I10)</t>
        </r>
      </text>
    </comment>
    <comment ref="J12" authorId="0">
      <text>
        <r>
          <t xml:space="preserve">Tarnwick Track Record Workbook (June 30, 2026) (Deal Summary I11)</t>
        </r>
      </text>
    </comment>
    <comment ref="J13" authorId="0">
      <text>
        <r>
          <t xml:space="preserve">Tarnwick Track Record Workbook (June 30, 2026) (Deal Summary I12)</t>
        </r>
      </text>
    </comment>
    <comment ref="J14" authorId="0">
      <text>
        <r>
          <t xml:space="preserve">Tarnwick Track Record Workbook (June 30, 2026) (Deal Summary I13)</t>
        </r>
      </text>
    </comment>
    <comment ref="J15" authorId="0">
      <text>
        <r>
          <t xml:space="preserve">Tarnwick Track Record Workbook (June 30, 2026) (Deal Summary I14)</t>
        </r>
      </text>
    </comment>
    <comment ref="J16" authorId="0">
      <text>
        <r>
          <t xml:space="preserve">Tarnwick Track Record Workbook (June 30, 2026) (Deal Summary I15)</t>
        </r>
      </text>
    </comment>
    <comment ref="J17" authorId="0">
      <text>
        <r>
          <t xml:space="preserve">Tarnwick Track Record Workbook (June 30, 2026) (Deal Summary I16)</t>
        </r>
      </text>
    </comment>
    <comment ref="J18" authorId="0">
      <text>
        <r>
          <t xml:space="preserve">Tarnwick Track Record Workbook (June 30, 2026) (Deal Summary I17)</t>
        </r>
      </text>
    </comment>
    <comment ref="J19" authorId="0">
      <text>
        <r>
          <t xml:space="preserve">Tarnwick Track Record Workbook (June 30, 2026) (Deal Summary I18)</t>
        </r>
      </text>
    </comment>
    <comment ref="J20" authorId="0">
      <text>
        <r>
          <t xml:space="preserve">Tarnwick Track Record Workbook (June 30, 2026) (Deal Summary I19)</t>
        </r>
      </text>
    </comment>
    <comment ref="J21" authorId="0">
      <text>
        <r>
          <t xml:space="preserve">Tarnwick Track Record Workbook (June 30, 2026) (Deal Summary I20)</t>
        </r>
      </text>
    </comment>
    <comment ref="J22" authorId="0">
      <text>
        <r>
          <t xml:space="preserve">Tarnwick Track Record Workbook (June 30, 2026) (Deal Summary I21)</t>
        </r>
      </text>
    </comment>
    <comment ref="J23" authorId="0">
      <text>
        <r>
          <t xml:space="preserve">Tarnwick Track Record Workbook (June 30, 2026) (Deal Summary I22)</t>
        </r>
      </text>
    </comment>
    <comment ref="J24" authorId="0">
      <text>
        <r>
          <t xml:space="preserve">Tarnwick Track Record Workbook (June 30, 2026) (Deal Summary I23)</t>
        </r>
      </text>
    </comment>
    <comment ref="J25" authorId="0">
      <text>
        <r>
          <t xml:space="preserve">Tarnwick Track Record Workbook (June 30, 2026) (Deal Summary I24)</t>
        </r>
      </text>
    </comment>
    <comment ref="J26" authorId="0">
      <text>
        <r>
          <t xml:space="preserve">Tarnwick Track Record Workbook (June 30, 2026) (Deal Summary I25)</t>
        </r>
      </text>
    </comment>
    <comment ref="J27" authorId="0">
      <text>
        <r>
          <t xml:space="preserve">Tarnwick Track Record Workbook (June 30, 2026) (Deal Summary I26)</t>
        </r>
      </text>
    </comment>
    <comment ref="J28" authorId="0">
      <text>
        <r>
          <t xml:space="preserve">Tarnwick Track Record Workbook (June 30, 2026) (Deal Summary I27)</t>
        </r>
      </text>
    </comment>
    <comment ref="J29" authorId="0">
      <text>
        <r>
          <t xml:space="preserve">Tarnwick Track Record Workbook (June 30, 2026) (Deal Summary I28)</t>
        </r>
      </text>
    </comment>
    <comment ref="J30" authorId="0">
      <text>
        <r>
          <t xml:space="preserve">Tarnwick Track Record Workbook (June 30, 2026) (Deal Summary I29)</t>
        </r>
      </text>
    </comment>
    <comment ref="J31" authorId="0">
      <text>
        <r>
          <t xml:space="preserve">Tarnwick Track Record Workbook (June 30, 2026) (Deal Summary I30)</t>
        </r>
      </text>
    </comment>
    <comment ref="J32" authorId="0">
      <text>
        <r>
          <t xml:space="preserve">Tarnwick Track Record Workbook (June 30, 2026) (Deal Summary I31)</t>
        </r>
      </text>
    </comment>
    <comment ref="J33" authorId="0">
      <text>
        <r>
          <t xml:space="preserve">Tarnwick Track Record Workbook (June 30, 2026) (Deal Summary I32)</t>
        </r>
      </text>
    </comment>
    <comment ref="J34" authorId="0">
      <text>
        <r>
          <t xml:space="preserve">Tarnwick Track Record Workbook (June 30, 2026) (Deal Summary I33)</t>
        </r>
      </text>
    </comment>
    <comment ref="J35" authorId="0">
      <text>
        <r>
          <t xml:space="preserve">Tarnwick Track Record Workbook (June 30, 2026) (Deal Summary I34)</t>
        </r>
      </text>
    </comment>
    <comment ref="J36" authorId="0">
      <text>
        <r>
          <t xml:space="preserve">Tarnwick Track Record Workbook (June 30, 2026) (Deal Summary I35)</t>
        </r>
      </text>
    </comment>
    <comment ref="J37" authorId="0">
      <text>
        <r>
          <t xml:space="preserve">Tarnwick Track Record Workbook (June 30, 2026) (Deal Summary I36)</t>
        </r>
      </text>
    </comment>
    <comment ref="J38" authorId="0">
      <text>
        <r>
          <t xml:space="preserve">Tarnwick Track Record Workbook (June 30, 2026) (Deal Summary I37)</t>
        </r>
      </text>
    </comment>
    <comment ref="J39" authorId="0">
      <text>
        <r>
          <t xml:space="preserve">Tarnwick Track Record Workbook (June 30, 2026) (Deal Summary I38)</t>
        </r>
      </text>
    </comment>
    <comment ref="J40" authorId="0">
      <text>
        <r>
          <t xml:space="preserve">Tarnwick Track Record Workbook (June 30, 2026) (Deal Summary I39)</t>
        </r>
      </text>
    </comment>
    <comment ref="J41" authorId="0">
      <text>
        <r>
          <t xml:space="preserve">Tarnwick Track Record Workbook (June 30, 2026) (Deal Summary I40)</t>
        </r>
      </text>
    </comment>
    <comment ref="J42" authorId="0">
      <text>
        <r>
          <t xml:space="preserve">Tarnwick Track Record Workbook (June 30, 2026) (Deal Summary I41)</t>
        </r>
      </text>
    </comment>
    <comment ref="J43" authorId="0">
      <text>
        <r>
          <t xml:space="preserve">Tarnwick Track Record Workbook (June 30, 2026) (Deal Summary I42)</t>
        </r>
      </text>
    </comment>
    <comment ref="J6" authorId="0">
      <text>
        <r>
          <t xml:space="preserve">Tarnwick Track Record Workbook (June 30, 2026) (Deal Summary I5)</t>
        </r>
      </text>
    </comment>
    <comment ref="J7" authorId="0">
      <text>
        <r>
          <t xml:space="preserve">Tarnwick Track Record Workbook (June 30, 2026) (Deal Summary I6)</t>
        </r>
      </text>
    </comment>
    <comment ref="J8" authorId="0">
      <text>
        <r>
          <t xml:space="preserve">Tarnwick Track Record Workbook (June 30, 2026) (Deal Summary I7)</t>
        </r>
      </text>
    </comment>
    <comment ref="J9" authorId="0">
      <text>
        <r>
          <t xml:space="preserve">Tarnwick Track Record Workbook (June 30, 2026) (Deal Summary I8)</t>
        </r>
      </text>
    </comment>
    <comment ref="K10" authorId="0">
      <text>
        <r>
          <t xml:space="preserve">Tarnwick Track Record Workbook (June 30, 2026) (Deal Summary J9)</t>
        </r>
      </text>
    </comment>
    <comment ref="K11" authorId="0">
      <text>
        <r>
          <t xml:space="preserve">Tarnwick Track Record Workbook (June 30, 2026) (Deal Summary J10)</t>
        </r>
      </text>
    </comment>
    <comment ref="K12" authorId="0">
      <text>
        <r>
          <t xml:space="preserve">Tarnwick Track Record Workbook (June 30, 2026) (Deal Summary J11)</t>
        </r>
      </text>
    </comment>
    <comment ref="K13" authorId="0">
      <text>
        <r>
          <t xml:space="preserve">Tarnwick Track Record Workbook (June 30, 2026) (Deal Summary J12)</t>
        </r>
      </text>
    </comment>
    <comment ref="K14" authorId="0">
      <text>
        <r>
          <t xml:space="preserve">Tarnwick Track Record Workbook (June 30, 2026) (Deal Summary J13)</t>
        </r>
      </text>
    </comment>
    <comment ref="K15" authorId="0">
      <text>
        <r>
          <t xml:space="preserve">Tarnwick Track Record Workbook (June 30, 2026) (Deal Summary J14)</t>
        </r>
      </text>
    </comment>
    <comment ref="K16" authorId="0">
      <text>
        <r>
          <t xml:space="preserve">Tarnwick Track Record Workbook (June 30, 2026) (Deal Summary J15)</t>
        </r>
      </text>
    </comment>
    <comment ref="K17" authorId="0">
      <text>
        <r>
          <t xml:space="preserve">Tarnwick Track Record Workbook (June 30, 2026) (Deal Summary J16)</t>
        </r>
      </text>
    </comment>
    <comment ref="K18" authorId="0">
      <text>
        <r>
          <t xml:space="preserve">Tarnwick Track Record Workbook (June 30, 2026) (Deal Summary J17)</t>
        </r>
      </text>
    </comment>
    <comment ref="K19" authorId="0">
      <text>
        <r>
          <t xml:space="preserve">Tarnwick Track Record Workbook (June 30, 2026) (Deal Summary J18)</t>
        </r>
      </text>
    </comment>
    <comment ref="K20" authorId="0">
      <text>
        <r>
          <t xml:space="preserve">Tarnwick Track Record Workbook (June 30, 2026) (Deal Summary J19)</t>
        </r>
      </text>
    </comment>
    <comment ref="K21" authorId="0">
      <text>
        <r>
          <t xml:space="preserve">Tarnwick Track Record Workbook (June 30, 2026) (Deal Summary J20)</t>
        </r>
      </text>
    </comment>
    <comment ref="K22" authorId="0">
      <text>
        <r>
          <t xml:space="preserve">Tarnwick Track Record Workbook (June 30, 2026) (Deal Summary J21)</t>
        </r>
      </text>
    </comment>
    <comment ref="K23" authorId="0">
      <text>
        <r>
          <t xml:space="preserve">Tarnwick Track Record Workbook (June 30, 2026) (Deal Summary J22)</t>
        </r>
      </text>
    </comment>
    <comment ref="K24" authorId="0">
      <text>
        <r>
          <t xml:space="preserve">Tarnwick Track Record Workbook (June 30, 2026) (Deal Summary J23)</t>
        </r>
      </text>
    </comment>
    <comment ref="K25" authorId="0">
      <text>
        <r>
          <t xml:space="preserve">Tarnwick Track Record Workbook (June 30, 2026) (Deal Summary J24)</t>
        </r>
      </text>
    </comment>
    <comment ref="K26" authorId="0">
      <text>
        <r>
          <t xml:space="preserve">Tarnwick Track Record Workbook (June 30, 2026) (Deal Summary J25)</t>
        </r>
      </text>
    </comment>
    <comment ref="K27" authorId="0">
      <text>
        <r>
          <t xml:space="preserve">Tarnwick Track Record Workbook (June 30, 2026) (Deal Summary J26)</t>
        </r>
      </text>
    </comment>
    <comment ref="K28" authorId="0">
      <text>
        <r>
          <t xml:space="preserve">Tarnwick Track Record Workbook (June 30, 2026) (Deal Summary J27)</t>
        </r>
      </text>
    </comment>
    <comment ref="K29" authorId="0">
      <text>
        <r>
          <t xml:space="preserve">Tarnwick Track Record Workbook (June 30, 2026) (Deal Summary J28)</t>
        </r>
      </text>
    </comment>
    <comment ref="K30" authorId="0">
      <text>
        <r>
          <t xml:space="preserve">Tarnwick Track Record Workbook (June 30, 2026) (Deal Summary J29)</t>
        </r>
      </text>
    </comment>
    <comment ref="K31" authorId="0">
      <text>
        <r>
          <t xml:space="preserve">Tarnwick Track Record Workbook (June 30, 2026) (Deal Summary J30)</t>
        </r>
      </text>
    </comment>
    <comment ref="K32" authorId="0">
      <text>
        <r>
          <t xml:space="preserve">Tarnwick Track Record Workbook (June 30, 2026) (Deal Summary J31)</t>
        </r>
      </text>
    </comment>
    <comment ref="K33" authorId="0">
      <text>
        <r>
          <t xml:space="preserve">Tarnwick Track Record Workbook (June 30, 2026) (Deal Summary J32)</t>
        </r>
      </text>
    </comment>
    <comment ref="K34" authorId="0">
      <text>
        <r>
          <t xml:space="preserve">Tarnwick Track Record Workbook (June 30, 2026) (Deal Summary J33)</t>
        </r>
      </text>
    </comment>
    <comment ref="K35" authorId="0">
      <text>
        <r>
          <t xml:space="preserve">Tarnwick Track Record Workbook (June 30, 2026) (Deal Summary J34)</t>
        </r>
      </text>
    </comment>
    <comment ref="K36" authorId="0">
      <text>
        <r>
          <t xml:space="preserve">Tarnwick Track Record Workbook (June 30, 2026) (Deal Summary J35)</t>
        </r>
      </text>
    </comment>
    <comment ref="K37" authorId="0">
      <text>
        <r>
          <t xml:space="preserve">Tarnwick Track Record Workbook (June 30, 2026) (Deal Summary J36)</t>
        </r>
      </text>
    </comment>
    <comment ref="K38" authorId="0">
      <text>
        <r>
          <t xml:space="preserve">Tarnwick Track Record Workbook (June 30, 2026) (Deal Summary J37)</t>
        </r>
      </text>
    </comment>
    <comment ref="K39" authorId="0">
      <text>
        <r>
          <t xml:space="preserve">Tarnwick Track Record Workbook (June 30, 2026) (Deal Summary J38)</t>
        </r>
      </text>
    </comment>
    <comment ref="K40" authorId="0">
      <text>
        <r>
          <t xml:space="preserve">Tarnwick Track Record Workbook (June 30, 2026) (Deal Summary J39)</t>
        </r>
      </text>
    </comment>
    <comment ref="K41" authorId="0">
      <text>
        <r>
          <t xml:space="preserve">Tarnwick Track Record Workbook (June 30, 2026) (Deal Summary J40)</t>
        </r>
      </text>
    </comment>
    <comment ref="K42" authorId="0">
      <text>
        <r>
          <t xml:space="preserve">Tarnwick Track Record Workbook (June 30, 2026) (Deal Summary J41)</t>
        </r>
      </text>
    </comment>
    <comment ref="K43" authorId="0">
      <text>
        <r>
          <t xml:space="preserve">Tarnwick Track Record Workbook (June 30, 2026) (Deal Summary J42)</t>
        </r>
      </text>
    </comment>
    <comment ref="K6" authorId="0">
      <text>
        <r>
          <t xml:space="preserve">Tarnwick Track Record Workbook (June 30, 2026) (Deal Summary J5)</t>
        </r>
      </text>
    </comment>
    <comment ref="K7" authorId="0">
      <text>
        <r>
          <t xml:space="preserve">Tarnwick Track Record Workbook (June 30, 2026) (Deal Summary J6)</t>
        </r>
      </text>
    </comment>
    <comment ref="K8" authorId="0">
      <text>
        <r>
          <t xml:space="preserve">Tarnwick Track Record Workbook (June 30, 2026) (Deal Summary J7)</t>
        </r>
      </text>
    </comment>
    <comment ref="K9" authorId="0">
      <text>
        <r>
          <t xml:space="preserve">Tarnwick Track Record Workbook (June 30, 2026) (Deal Summary J8)</t>
        </r>
      </text>
    </comment>
    <comment ref="Q10" authorId="0">
      <text>
        <r>
          <t xml:space="preserve">Tarnwick Track Record Workbook (June 30, 2026) (Deal Summary L9)</t>
        </r>
      </text>
    </comment>
    <comment ref="Q11" authorId="0">
      <text>
        <r>
          <t xml:space="preserve">Tarnwick Track Record Workbook (June 30, 2026) (Deal Summary L10)</t>
        </r>
      </text>
    </comment>
    <comment ref="Q12" authorId="0">
      <text>
        <r>
          <t xml:space="preserve">Tarnwick Track Record Workbook (June 30, 2026) (Deal Summary L11)</t>
        </r>
      </text>
    </comment>
    <comment ref="Q13" authorId="0">
      <text>
        <r>
          <t xml:space="preserve">Tarnwick Track Record Workbook (June 30, 2026) (Deal Summary L12)</t>
        </r>
      </text>
    </comment>
    <comment ref="Q14" authorId="0">
      <text>
        <r>
          <t xml:space="preserve">Tarnwick Track Record Workbook (June 30, 2026) (Deal Summary L13)</t>
        </r>
      </text>
    </comment>
    <comment ref="Q15" authorId="0">
      <text>
        <r>
          <t xml:space="preserve">Tarnwick Track Record Workbook (June 30, 2026) (Deal Summary L14)</t>
        </r>
      </text>
    </comment>
    <comment ref="Q16" authorId="0">
      <text>
        <r>
          <t xml:space="preserve">Tarnwick Track Record Workbook (June 30, 2026) (Deal Summary L15)</t>
        </r>
      </text>
    </comment>
    <comment ref="Q17" authorId="0">
      <text>
        <r>
          <t xml:space="preserve">Tarnwick Track Record Workbook (June 30, 2026) (Deal Summary L16)</t>
        </r>
      </text>
    </comment>
    <comment ref="Q18" authorId="0">
      <text>
        <r>
          <t xml:space="preserve">Tarnwick Track Record Workbook (June 30, 2026) (Deal Summary L17)</t>
        </r>
      </text>
    </comment>
    <comment ref="Q19" authorId="0">
      <text>
        <r>
          <t xml:space="preserve">Tarnwick Track Record Workbook (June 30, 2026) (Deal Summary L18)</t>
        </r>
      </text>
    </comment>
    <comment ref="Q20" authorId="0">
      <text>
        <r>
          <t xml:space="preserve">Tarnwick Track Record Workbook (June 30, 2026) (Deal Summary L19)</t>
        </r>
      </text>
    </comment>
    <comment ref="Q21" authorId="0">
      <text>
        <r>
          <t xml:space="preserve">Tarnwick Track Record Workbook (June 30, 2026) (Deal Summary L20)</t>
        </r>
      </text>
    </comment>
    <comment ref="Q22" authorId="0">
      <text>
        <r>
          <t xml:space="preserve">Tarnwick Track Record Workbook (June 30, 2026) (Deal Summary L21)</t>
        </r>
      </text>
    </comment>
    <comment ref="Q23" authorId="0">
      <text>
        <r>
          <t xml:space="preserve">Tarnwick Track Record Workbook (June 30, 2026) (Deal Summary L22)</t>
        </r>
      </text>
    </comment>
    <comment ref="Q24" authorId="0">
      <text>
        <r>
          <t xml:space="preserve">Tarnwick Track Record Workbook (June 30, 2026) (Deal Summary L23)</t>
        </r>
      </text>
    </comment>
    <comment ref="Q25" authorId="0">
      <text>
        <r>
          <t xml:space="preserve">Tarnwick Track Record Workbook (June 30, 2026) (Deal Summary L24)</t>
        </r>
      </text>
    </comment>
    <comment ref="Q26" authorId="0">
      <text>
        <r>
          <t xml:space="preserve">Tarnwick Track Record Workbook (June 30, 2026) (Deal Summary L25)</t>
        </r>
      </text>
    </comment>
    <comment ref="Q27" authorId="0">
      <text>
        <r>
          <t xml:space="preserve">Tarnwick Track Record Workbook (June 30, 2026) (Deal Summary L26)</t>
        </r>
      </text>
    </comment>
    <comment ref="Q28" authorId="0">
      <text>
        <r>
          <t xml:space="preserve">Tarnwick Track Record Workbook (June 30, 2026) (Deal Summary L27)</t>
        </r>
      </text>
    </comment>
    <comment ref="Q29" authorId="0">
      <text>
        <r>
          <t xml:space="preserve">Tarnwick Track Record Workbook (June 30, 2026) (Deal Summary L28)</t>
        </r>
      </text>
    </comment>
    <comment ref="Q30" authorId="0">
      <text>
        <r>
          <t xml:space="preserve">Tarnwick Track Record Workbook (June 30, 2026) (Deal Summary L29)</t>
        </r>
      </text>
    </comment>
    <comment ref="Q31" authorId="0">
      <text>
        <r>
          <t xml:space="preserve">Tarnwick Track Record Workbook (June 30, 2026) (Deal Summary L30)</t>
        </r>
      </text>
    </comment>
    <comment ref="Q32" authorId="0">
      <text>
        <r>
          <t xml:space="preserve">Tarnwick Track Record Workbook (June 30, 2026) (Deal Summary L31)</t>
        </r>
      </text>
    </comment>
    <comment ref="Q33" authorId="0">
      <text>
        <r>
          <t xml:space="preserve">Tarnwick Track Record Workbook (June 30, 2026) (Deal Summary L32)</t>
        </r>
      </text>
    </comment>
    <comment ref="Q34" authorId="0">
      <text>
        <r>
          <t xml:space="preserve">Tarnwick Track Record Workbook (June 30, 2026) (Deal Summary L33)</t>
        </r>
      </text>
    </comment>
    <comment ref="Q35" authorId="0">
      <text>
        <r>
          <t xml:space="preserve">Tarnwick Track Record Workbook (June 30, 2026) (Deal Summary L34)</t>
        </r>
      </text>
    </comment>
    <comment ref="Q36" authorId="0">
      <text>
        <r>
          <t xml:space="preserve">Tarnwick Track Record Workbook (June 30, 2026) (Deal Summary L35)</t>
        </r>
      </text>
    </comment>
    <comment ref="Q37" authorId="0">
      <text>
        <r>
          <t xml:space="preserve">Tarnwick Track Record Workbook (June 30, 2026) (Deal Summary L36)</t>
        </r>
      </text>
    </comment>
    <comment ref="Q38" authorId="0">
      <text>
        <r>
          <t xml:space="preserve">Tarnwick Track Record Workbook (June 30, 2026) (Deal Summary L37)</t>
        </r>
      </text>
    </comment>
    <comment ref="Q39" authorId="0">
      <text>
        <r>
          <t xml:space="preserve">Tarnwick Track Record Workbook (June 30, 2026) (Deal Summary L38)</t>
        </r>
      </text>
    </comment>
    <comment ref="Q40" authorId="0">
      <text>
        <r>
          <t xml:space="preserve">Tarnwick Track Record Workbook (June 30, 2026) (Deal Summary L39)</t>
        </r>
      </text>
    </comment>
    <comment ref="Q41" authorId="0">
      <text>
        <r>
          <t xml:space="preserve">Tarnwick Track Record Workbook (June 30, 2026) (Deal Summary L40)</t>
        </r>
      </text>
    </comment>
    <comment ref="Q42" authorId="0">
      <text>
        <r>
          <t xml:space="preserve">Tarnwick Track Record Workbook (June 30, 2026) (Deal Summary L41)</t>
        </r>
      </text>
    </comment>
    <comment ref="Q43" authorId="0">
      <text>
        <r>
          <t xml:space="preserve">Tarnwick Track Record Workbook (June 30, 2026) (Deal Summary L42)</t>
        </r>
      </text>
    </comment>
    <comment ref="Q6" authorId="0">
      <text>
        <r>
          <t xml:space="preserve">Tarnwick Track Record Workbook (June 30, 2026) (Deal Summary L5)</t>
        </r>
      </text>
    </comment>
    <comment ref="Q7" authorId="0">
      <text>
        <r>
          <t xml:space="preserve">Tarnwick Track Record Workbook (June 30, 2026) (Deal Summary L6)</t>
        </r>
      </text>
    </comment>
    <comment ref="Q8" authorId="0">
      <text>
        <r>
          <t xml:space="preserve">Tarnwick Track Record Workbook (June 30, 2026) (Deal Summary L7)</t>
        </r>
      </text>
    </comment>
    <comment ref="Q9" authorId="0">
      <text>
        <r>
          <t xml:space="preserve">Tarnwick Track Record Workbook (June 30, 2026) (Deal Summary L8)</t>
        </r>
      </text>
    </comment>
    <comment ref="R10" authorId="0">
      <text>
        <r>
          <t xml:space="preserve">Tarnwick Track Record Workbook (June 30, 2026) (Deal Summary M9)</t>
        </r>
      </text>
    </comment>
    <comment ref="R11" authorId="0">
      <text>
        <r>
          <t xml:space="preserve">Tarnwick Track Record Workbook (June 30, 2026) (Deal Summary M10)</t>
        </r>
      </text>
    </comment>
    <comment ref="R12" authorId="0">
      <text>
        <r>
          <t xml:space="preserve">Tarnwick Track Record Workbook (June 30, 2026) (Deal Summary M11)</t>
        </r>
      </text>
    </comment>
    <comment ref="R13" authorId="0">
      <text>
        <r>
          <t xml:space="preserve">Tarnwick Track Record Workbook (June 30, 2026) (Deal Summary M12)</t>
        </r>
      </text>
    </comment>
    <comment ref="R14" authorId="0">
      <text>
        <r>
          <t xml:space="preserve">Tarnwick Track Record Workbook (June 30, 2026) (Deal Summary M13)</t>
        </r>
      </text>
    </comment>
    <comment ref="R15" authorId="0">
      <text>
        <r>
          <t xml:space="preserve">Tarnwick Track Record Workbook (June 30, 2026) (Deal Summary M14)</t>
        </r>
      </text>
    </comment>
    <comment ref="R16" authorId="0">
      <text>
        <r>
          <t xml:space="preserve">Tarnwick Track Record Workbook (June 30, 2026) (Deal Summary M15)</t>
        </r>
      </text>
    </comment>
    <comment ref="R17" authorId="0">
      <text>
        <r>
          <t xml:space="preserve">Tarnwick Track Record Workbook (June 30, 2026) (Deal Summary M16)</t>
        </r>
      </text>
    </comment>
    <comment ref="R18" authorId="0">
      <text>
        <r>
          <t xml:space="preserve">Tarnwick Track Record Workbook (June 30, 2026) (Deal Summary M17)</t>
        </r>
      </text>
    </comment>
    <comment ref="R19" authorId="0">
      <text>
        <r>
          <t xml:space="preserve">Tarnwick Track Record Workbook (June 30, 2026) (Deal Summary M18)</t>
        </r>
      </text>
    </comment>
    <comment ref="R20" authorId="0">
      <text>
        <r>
          <t xml:space="preserve">Tarnwick Track Record Workbook (June 30, 2026) (Deal Summary M19)</t>
        </r>
      </text>
    </comment>
    <comment ref="R21" authorId="0">
      <text>
        <r>
          <t xml:space="preserve">Tarnwick Track Record Workbook (June 30, 2026) (Deal Summary M20)</t>
        </r>
      </text>
    </comment>
    <comment ref="R22" authorId="0">
      <text>
        <r>
          <t xml:space="preserve">Tarnwick Track Record Workbook (June 30, 2026) (Deal Summary M21)</t>
        </r>
      </text>
    </comment>
    <comment ref="R23" authorId="0">
      <text>
        <r>
          <t xml:space="preserve">Tarnwick Track Record Workbook (June 30, 2026) (Deal Summary M22)</t>
        </r>
      </text>
    </comment>
    <comment ref="R24" authorId="0">
      <text>
        <r>
          <t xml:space="preserve">Tarnwick Track Record Workbook (June 30, 2026) (Deal Summary M23)</t>
        </r>
      </text>
    </comment>
    <comment ref="R25" authorId="0">
      <text>
        <r>
          <t xml:space="preserve">Tarnwick Track Record Workbook (June 30, 2026) (Deal Summary M24)</t>
        </r>
      </text>
    </comment>
    <comment ref="R26" authorId="0">
      <text>
        <r>
          <t xml:space="preserve">Tarnwick Track Record Workbook (June 30, 2026) (Deal Summary M25)</t>
        </r>
      </text>
    </comment>
    <comment ref="R27" authorId="0">
      <text>
        <r>
          <t xml:space="preserve">Tarnwick Track Record Workbook (June 30, 2026) (Deal Summary M26)</t>
        </r>
      </text>
    </comment>
    <comment ref="R28" authorId="0">
      <text>
        <r>
          <t xml:space="preserve">Tarnwick Track Record Workbook (June 30, 2026) (Deal Summary M27)</t>
        </r>
      </text>
    </comment>
    <comment ref="R29" authorId="0">
      <text>
        <r>
          <t xml:space="preserve">Tarnwick Track Record Workbook (June 30, 2026) (Deal Summary M28)</t>
        </r>
      </text>
    </comment>
    <comment ref="R30" authorId="0">
      <text>
        <r>
          <t xml:space="preserve">Tarnwick Track Record Workbook (June 30, 2026) (Deal Summary M29)</t>
        </r>
      </text>
    </comment>
    <comment ref="R31" authorId="0">
      <text>
        <r>
          <t xml:space="preserve">Tarnwick Track Record Workbook (June 30, 2026) (Deal Summary M30)</t>
        </r>
      </text>
    </comment>
    <comment ref="R32" authorId="0">
      <text>
        <r>
          <t xml:space="preserve">Tarnwick Track Record Workbook (June 30, 2026) (Deal Summary M31)</t>
        </r>
      </text>
    </comment>
    <comment ref="R33" authorId="0">
      <text>
        <r>
          <t xml:space="preserve">Tarnwick Track Record Workbook (June 30, 2026) (Deal Summary M32)</t>
        </r>
      </text>
    </comment>
    <comment ref="R34" authorId="0">
      <text>
        <r>
          <t xml:space="preserve">Tarnwick Track Record Workbook (June 30, 2026) (Deal Summary M33)</t>
        </r>
      </text>
    </comment>
    <comment ref="R35" authorId="0">
      <text>
        <r>
          <t xml:space="preserve">Tarnwick Track Record Workbook (June 30, 2026) (Deal Summary M34)</t>
        </r>
      </text>
    </comment>
    <comment ref="R36" authorId="0">
      <text>
        <r>
          <t xml:space="preserve">Tarnwick Track Record Workbook (June 30, 2026) (Deal Summary M35)</t>
        </r>
      </text>
    </comment>
    <comment ref="R37" authorId="0">
      <text>
        <r>
          <t xml:space="preserve">Tarnwick Track Record Workbook (June 30, 2026) (Deal Summary M36)</t>
        </r>
      </text>
    </comment>
    <comment ref="R38" authorId="0">
      <text>
        <r>
          <t xml:space="preserve">Tarnwick Track Record Workbook (June 30, 2026) (Deal Summary M37)</t>
        </r>
      </text>
    </comment>
    <comment ref="R39" authorId="0">
      <text>
        <r>
          <t xml:space="preserve">Tarnwick Track Record Workbook (June 30, 2026) (Deal Summary M38)</t>
        </r>
      </text>
    </comment>
    <comment ref="R40" authorId="0">
      <text>
        <r>
          <t xml:space="preserve">Tarnwick Track Record Workbook (June 30, 2026) (Deal Summary M39)</t>
        </r>
      </text>
    </comment>
    <comment ref="R41" authorId="0">
      <text>
        <r>
          <t xml:space="preserve">Tarnwick Track Record Workbook (June 30, 2026) (Deal Summary M40)</t>
        </r>
      </text>
    </comment>
    <comment ref="R42" authorId="0">
      <text>
        <r>
          <t xml:space="preserve">Tarnwick Track Record Workbook (June 30, 2026) (Deal Summary M41)</t>
        </r>
      </text>
    </comment>
    <comment ref="R43" authorId="0">
      <text>
        <r>
          <t xml:space="preserve">Tarnwick Track Record Workbook (June 30, 2026) (Deal Summary M42)</t>
        </r>
      </text>
    </comment>
    <comment ref="R6" authorId="0">
      <text>
        <r>
          <t xml:space="preserve">Tarnwick Track Record Workbook (June 30, 2026) (Deal Summary M5)</t>
        </r>
      </text>
    </comment>
    <comment ref="R7" authorId="0">
      <text>
        <r>
          <t xml:space="preserve">Tarnwick Track Record Workbook (June 30, 2026) (Deal Summary M6)</t>
        </r>
      </text>
    </comment>
    <comment ref="R8" authorId="0">
      <text>
        <r>
          <t xml:space="preserve">Tarnwick Track Record Workbook (June 30, 2026) (Deal Summary M7)</t>
        </r>
      </text>
    </comment>
    <comment ref="R9" authorId="0">
      <text>
        <r>
          <t xml:space="preserve">Tarnwick Track Record Workbook (June 30, 2026) (Deal Summary M8)</t>
        </r>
      </text>
    </comment>
  </commentList>
</comments>
</file>

<file path=xl/comments20.xml><?xml version="1.0" encoding="utf-8"?>
<comments xmlns="http://schemas.openxmlformats.org/spreadsheetml/2006/main">
  <authors>
    <author>Compound</author>
  </authors>
  <commentList>
    <comment ref="D10" authorId="0">
      <text>
        <r>
          <t xml:space="preserve">Tarnwick Track Record Workbook (June 30, 2026) (Deal Cash Flows C9)</t>
        </r>
      </text>
    </comment>
    <comment ref="D11" authorId="0">
      <text>
        <r>
          <t xml:space="preserve">Tarnwick Track Record Workbook (June 30, 2026) (Deal Cash Flows C10)</t>
        </r>
      </text>
    </comment>
    <comment ref="D12" authorId="0">
      <text>
        <r>
          <t xml:space="preserve">Tarnwick Track Record Workbook (June 30, 2026) (Deal Cash Flows C11)</t>
        </r>
      </text>
    </comment>
    <comment ref="D13" authorId="0">
      <text>
        <r>
          <t xml:space="preserve">Tarnwick Track Record Workbook (June 30, 2026) (Deal Cash Flows C12)</t>
        </r>
      </text>
    </comment>
    <comment ref="D14" authorId="0">
      <text>
        <r>
          <t xml:space="preserve">Tarnwick Track Record Workbook (June 30, 2026) (Deal Cash Flows C13)</t>
        </r>
      </text>
    </comment>
    <comment ref="D15" authorId="0">
      <text>
        <r>
          <t xml:space="preserve">Tarnwick Track Record Workbook (June 30, 2026) (Deal Cash Flows C14)</t>
        </r>
      </text>
    </comment>
    <comment ref="D16" authorId="0">
      <text>
        <r>
          <t xml:space="preserve">Tarnwick Track Record Workbook (June 30, 2026) (Deal Cash Flows C15)</t>
        </r>
      </text>
    </comment>
    <comment ref="D17" authorId="0">
      <text>
        <r>
          <t xml:space="preserve">Tarnwick Track Record Workbook (June 30, 2026) (Deal Cash Flows C16)</t>
        </r>
      </text>
    </comment>
    <comment ref="D18" authorId="0">
      <text>
        <r>
          <t xml:space="preserve">Tarnwick Track Record Workbook (June 30, 2026) (Deal Cash Flows C17)</t>
        </r>
      </text>
    </comment>
    <comment ref="D19" authorId="0">
      <text>
        <r>
          <t xml:space="preserve">Tarnwick Track Record Workbook (June 30, 2026) (Deal Cash Flows C18)</t>
        </r>
      </text>
    </comment>
    <comment ref="D20" authorId="0">
      <text>
        <r>
          <t xml:space="preserve">Tarnwick Track Record Workbook (June 30, 2026) (Deal Cash Flows C19)</t>
        </r>
      </text>
    </comment>
    <comment ref="D21" authorId="0">
      <text>
        <r>
          <t xml:space="preserve">Tarnwick Track Record Workbook (June 30, 2026) (Deal Cash Flows C20)</t>
        </r>
      </text>
    </comment>
    <comment ref="D22" authorId="0">
      <text>
        <r>
          <t xml:space="preserve">Tarnwick Track Record Workbook (June 30, 2026) (Deal Cash Flows C21)</t>
        </r>
      </text>
    </comment>
    <comment ref="D23" authorId="0">
      <text>
        <r>
          <t xml:space="preserve">Tarnwick Track Record Workbook (June 30, 2026) (Deal Cash Flows C22)</t>
        </r>
      </text>
    </comment>
    <comment ref="D24" authorId="0">
      <text>
        <r>
          <t xml:space="preserve">Tarnwick Track Record Workbook (June 30, 2026) (Deal Cash Flows C23)</t>
        </r>
      </text>
    </comment>
    <comment ref="D25" authorId="0">
      <text>
        <r>
          <t xml:space="preserve">Tarnwick Track Record Workbook (June 30, 2026) (Deal Cash Flows C24)</t>
        </r>
      </text>
    </comment>
    <comment ref="D26" authorId="0">
      <text>
        <r>
          <t xml:space="preserve">Tarnwick Track Record Workbook (June 30, 2026) (Deal Cash Flows C25)</t>
        </r>
      </text>
    </comment>
    <comment ref="D27" authorId="0">
      <text>
        <r>
          <t xml:space="preserve">Tarnwick Track Record Workbook (June 30, 2026) (Deal Cash Flows C26)</t>
        </r>
      </text>
    </comment>
    <comment ref="D28" authorId="0">
      <text>
        <r>
          <t xml:space="preserve">Tarnwick Track Record Workbook (June 30, 2026) (Deal Cash Flows C27)</t>
        </r>
      </text>
    </comment>
    <comment ref="D29" authorId="0">
      <text>
        <r>
          <t xml:space="preserve">Tarnwick Track Record Workbook (June 30, 2026) (Deal Cash Flows C28)</t>
        </r>
      </text>
    </comment>
    <comment ref="D30" authorId="0">
      <text>
        <r>
          <t xml:space="preserve">Tarnwick Track Record Workbook (June 30, 2026) (Deal Cash Flows C29)</t>
        </r>
      </text>
    </comment>
    <comment ref="D31" authorId="0">
      <text>
        <r>
          <t xml:space="preserve">Tarnwick Track Record Workbook (June 30, 2026) (Deal Cash Flows C30)</t>
        </r>
      </text>
    </comment>
    <comment ref="D32" authorId="0">
      <text>
        <r>
          <t xml:space="preserve">Tarnwick Track Record Workbook (June 30, 2026) (Deal Cash Flows C31)</t>
        </r>
      </text>
    </comment>
    <comment ref="D33" authorId="0">
      <text>
        <r>
          <t xml:space="preserve">Tarnwick Track Record Workbook (June 30, 2026) (Deal Cash Flows C32)</t>
        </r>
      </text>
    </comment>
    <comment ref="D34" authorId="0">
      <text>
        <r>
          <t xml:space="preserve">Tarnwick Track Record Workbook (June 30, 2026) (Deal Cash Flows C33)</t>
        </r>
      </text>
    </comment>
    <comment ref="D35" authorId="0">
      <text>
        <r>
          <t xml:space="preserve">Tarnwick Track Record Workbook (June 30, 2026) (Deal Cash Flows C34)</t>
        </r>
      </text>
    </comment>
    <comment ref="D36" authorId="0">
      <text>
        <r>
          <t xml:space="preserve">Tarnwick Track Record Workbook (June 30, 2026) (Deal Cash Flows C35)</t>
        </r>
      </text>
    </comment>
    <comment ref="D37" authorId="0">
      <text>
        <r>
          <t xml:space="preserve">Tarnwick Track Record Workbook (June 30, 2026) (Deal Cash Flows C36)</t>
        </r>
      </text>
    </comment>
    <comment ref="D38" authorId="0">
      <text>
        <r>
          <t xml:space="preserve">Tarnwick Track Record Workbook (June 30, 2026) (Deal Cash Flows C37)</t>
        </r>
      </text>
    </comment>
    <comment ref="D39" authorId="0">
      <text>
        <r>
          <t xml:space="preserve">Tarnwick Track Record Workbook (June 30, 2026) (Deal Cash Flows C38)</t>
        </r>
      </text>
    </comment>
    <comment ref="D40" authorId="0">
      <text>
        <r>
          <t xml:space="preserve">Tarnwick Track Record Workbook (June 30, 2026) (Deal Cash Flows C39)</t>
        </r>
      </text>
    </comment>
    <comment ref="D41" authorId="0">
      <text>
        <r>
          <t xml:space="preserve">Tarnwick Track Record Workbook (June 30, 2026) (Deal Cash Flows C40)</t>
        </r>
      </text>
    </comment>
    <comment ref="D42" authorId="0">
      <text>
        <r>
          <t xml:space="preserve">Tarnwick Track Record Workbook (June 30, 2026) (Deal Cash Flows C41)</t>
        </r>
      </text>
    </comment>
    <comment ref="D43" authorId="0">
      <text>
        <r>
          <t xml:space="preserve">Tarnwick Track Record Workbook (June 30, 2026) (Deal Cash Flows C42)</t>
        </r>
      </text>
    </comment>
    <comment ref="D44" authorId="0">
      <text>
        <r>
          <t xml:space="preserve">Tarnwick Track Record Workbook (June 30, 2026) (Deal Cash Flows C43)</t>
        </r>
      </text>
    </comment>
    <comment ref="D45" authorId="0">
      <text>
        <r>
          <t xml:space="preserve">Tarnwick Track Record Workbook (June 30, 2026) (Deal Cash Flows C44)</t>
        </r>
      </text>
    </comment>
    <comment ref="D46" authorId="0">
      <text>
        <r>
          <t xml:space="preserve">Tarnwick Track Record Workbook (June 30, 2026) (Deal Cash Flows C45)</t>
        </r>
      </text>
    </comment>
    <comment ref="D47" authorId="0">
      <text>
        <r>
          <t xml:space="preserve">Tarnwick Track Record Workbook (June 30, 2026) (Deal Cash Flows C46)</t>
        </r>
      </text>
    </comment>
    <comment ref="D48" authorId="0">
      <text>
        <r>
          <t xml:space="preserve">Tarnwick Track Record Workbook (June 30, 2026) (Deal Cash Flows C47)</t>
        </r>
      </text>
    </comment>
    <comment ref="D49" authorId="0">
      <text>
        <r>
          <t xml:space="preserve">Tarnwick Track Record Workbook (June 30, 2026) (Deal Cash Flows C48)</t>
        </r>
      </text>
    </comment>
    <comment ref="D50" authorId="0">
      <text>
        <r>
          <t xml:space="preserve">Tarnwick Track Record Workbook (June 30, 2026) (Deal Cash Flows C49)</t>
        </r>
      </text>
    </comment>
    <comment ref="D51" authorId="0">
      <text>
        <r>
          <t xml:space="preserve">Tarnwick Track Record Workbook (June 30, 2026) (Deal Cash Flows C50)</t>
        </r>
      </text>
    </comment>
    <comment ref="D52" authorId="0">
      <text>
        <r>
          <t xml:space="preserve">Tarnwick Track Record Workbook (June 30, 2026) (Deal Cash Flows C51)</t>
        </r>
      </text>
    </comment>
    <comment ref="D53" authorId="0">
      <text>
        <r>
          <t xml:space="preserve">Tarnwick Track Record Workbook (June 30, 2026) (Deal Cash Flows C52)</t>
        </r>
      </text>
    </comment>
    <comment ref="D54" authorId="0">
      <text>
        <r>
          <t xml:space="preserve">Tarnwick Track Record Workbook (June 30, 2026) (Deal Cash Flows C53)</t>
        </r>
      </text>
    </comment>
    <comment ref="D55" authorId="0">
      <text>
        <r>
          <t xml:space="preserve">Tarnwick Track Record Workbook (June 30, 2026) (Deal Cash Flows C54)</t>
        </r>
      </text>
    </comment>
    <comment ref="D56" authorId="0">
      <text>
        <r>
          <t xml:space="preserve">Tarnwick Track Record Workbook (June 30, 2026) (Deal Cash Flows C55)</t>
        </r>
      </text>
    </comment>
    <comment ref="D57" authorId="0">
      <text>
        <r>
          <t xml:space="preserve">Tarnwick Track Record Workbook (June 30, 2026) (Deal Cash Flows C56)</t>
        </r>
      </text>
    </comment>
    <comment ref="D58" authorId="0">
      <text>
        <r>
          <t xml:space="preserve">Tarnwick Track Record Workbook (June 30, 2026) (Deal Cash Flows C57)</t>
        </r>
      </text>
    </comment>
    <comment ref="D59" authorId="0">
      <text>
        <r>
          <t xml:space="preserve">Tarnwick Track Record Workbook (June 30, 2026) (Deal Cash Flows C58)</t>
        </r>
      </text>
    </comment>
    <comment ref="D6" authorId="0">
      <text>
        <r>
          <t xml:space="preserve">Tarnwick Track Record Workbook (June 30, 2026) (Deal Cash Flows C5)</t>
        </r>
      </text>
    </comment>
    <comment ref="D60" authorId="0">
      <text>
        <r>
          <t xml:space="preserve">Tarnwick Track Record Workbook (June 30, 2026) (Deal Cash Flows C59)</t>
        </r>
      </text>
    </comment>
    <comment ref="D61" authorId="0">
      <text>
        <r>
          <t xml:space="preserve">Tarnwick Track Record Workbook (June 30, 2026) (Deal Cash Flows C60)</t>
        </r>
      </text>
    </comment>
    <comment ref="D62" authorId="0">
      <text>
        <r>
          <t xml:space="preserve">Tarnwick Track Record Workbook (June 30, 2026) (Deal Cash Flows C61)</t>
        </r>
      </text>
    </comment>
    <comment ref="D63" authorId="0">
      <text>
        <r>
          <t xml:space="preserve">Tarnwick Track Record Workbook (June 30, 2026) (Deal Cash Flows C62)</t>
        </r>
      </text>
    </comment>
    <comment ref="D64" authorId="0">
      <text>
        <r>
          <t xml:space="preserve">Tarnwick Track Record Workbook (June 30, 2026) (Deal Cash Flows C63)</t>
        </r>
      </text>
    </comment>
    <comment ref="D65" authorId="0">
      <text>
        <r>
          <t xml:space="preserve">Tarnwick Track Record Workbook (June 30, 2026) (Deal Cash Flows C64)</t>
        </r>
      </text>
    </comment>
    <comment ref="D66" authorId="0">
      <text>
        <r>
          <t xml:space="preserve">Tarnwick Track Record Workbook (June 30, 2026) (Deal Cash Flows C65)</t>
        </r>
      </text>
    </comment>
    <comment ref="D67" authorId="0">
      <text>
        <r>
          <t xml:space="preserve">Tarnwick Track Record Workbook (June 30, 2026) (Deal Cash Flows C66)</t>
        </r>
      </text>
    </comment>
    <comment ref="D68" authorId="0">
      <text>
        <r>
          <t xml:space="preserve">Tarnwick Track Record Workbook (June 30, 2026) (Deal Cash Flows C67)</t>
        </r>
      </text>
    </comment>
    <comment ref="D69" authorId="0">
      <text>
        <r>
          <t xml:space="preserve">Tarnwick Track Record Workbook (June 30, 2026) (Deal Cash Flows C68)</t>
        </r>
      </text>
    </comment>
    <comment ref="D7" authorId="0">
      <text>
        <r>
          <t xml:space="preserve">Tarnwick Track Record Workbook (June 30, 2026) (Deal Cash Flows C6)</t>
        </r>
      </text>
    </comment>
    <comment ref="D70" authorId="0">
      <text>
        <r>
          <t xml:space="preserve">Tarnwick Track Record Workbook (June 30, 2026) (Deal Cash Flows C69)</t>
        </r>
      </text>
    </comment>
    <comment ref="D71" authorId="0">
      <text>
        <r>
          <t xml:space="preserve">Tarnwick Track Record Workbook (June 30, 2026) (Deal Cash Flows C70)</t>
        </r>
      </text>
    </comment>
    <comment ref="D72" authorId="0">
      <text>
        <r>
          <t xml:space="preserve">Tarnwick Track Record Workbook (June 30, 2026) (Deal Cash Flows C71)</t>
        </r>
      </text>
    </comment>
    <comment ref="D73" authorId="0">
      <text>
        <r>
          <t xml:space="preserve">Tarnwick Track Record Workbook (June 30, 2026) (Deal Cash Flows C72)</t>
        </r>
      </text>
    </comment>
    <comment ref="D74" authorId="0">
      <text>
        <r>
          <t xml:space="preserve">Tarnwick Track Record Workbook (June 30, 2026) (Deal Cash Flows C73)</t>
        </r>
      </text>
    </comment>
    <comment ref="D75" authorId="0">
      <text>
        <r>
          <t xml:space="preserve">Tarnwick Track Record Workbook (June 30, 2026) (Deal Cash Flows C74)</t>
        </r>
      </text>
    </comment>
    <comment ref="D76" authorId="0">
      <text>
        <r>
          <t xml:space="preserve">Tarnwick Track Record Workbook (June 30, 2026) (Deal Cash Flows C75)</t>
        </r>
      </text>
    </comment>
    <comment ref="D77" authorId="0">
      <text>
        <r>
          <t xml:space="preserve">Tarnwick Track Record Workbook (June 30, 2026) (Deal Cash Flows C76)</t>
        </r>
      </text>
    </comment>
    <comment ref="D78" authorId="0">
      <text>
        <r>
          <t xml:space="preserve">Tarnwick Track Record Workbook (June 30, 2026) (Deal Cash Flows C77)</t>
        </r>
      </text>
    </comment>
    <comment ref="D79" authorId="0">
      <text>
        <r>
          <t xml:space="preserve">Tarnwick Track Record Workbook (June 30, 2026) (Deal Cash Flows C78)</t>
        </r>
      </text>
    </comment>
    <comment ref="D8" authorId="0">
      <text>
        <r>
          <t xml:space="preserve">Tarnwick Track Record Workbook (June 30, 2026) (Deal Cash Flows C7)</t>
        </r>
      </text>
    </comment>
    <comment ref="D80" authorId="0">
      <text>
        <r>
          <t xml:space="preserve">Tarnwick Track Record Workbook (June 30, 2026) (Deal Cash Flows C79)</t>
        </r>
      </text>
    </comment>
    <comment ref="D81" authorId="0">
      <text>
        <r>
          <t xml:space="preserve">Tarnwick Track Record Workbook (June 30, 2026) (Deal Cash Flows C80)</t>
        </r>
      </text>
    </comment>
    <comment ref="D82" authorId="0">
      <text>
        <r>
          <t xml:space="preserve">Tarnwick Track Record Workbook (June 30, 2026) (Deal Cash Flows C81)</t>
        </r>
      </text>
    </comment>
    <comment ref="D9" authorId="0">
      <text>
        <r>
          <t xml:space="preserve">Tarnwick Track Record Workbook (June 30, 2026) (Deal Cash Flows C8)</t>
        </r>
      </text>
    </comment>
    <comment ref="F10" authorId="0">
      <text>
        <r>
          <t xml:space="preserve">Tarnwick Track Record Workbook (June 30, 2026) (Deal Cash Flows E9)</t>
        </r>
      </text>
    </comment>
    <comment ref="F11" authorId="0">
      <text>
        <r>
          <t xml:space="preserve">Tarnwick Track Record Workbook (June 30, 2026) (Deal Cash Flows E10)</t>
        </r>
      </text>
    </comment>
    <comment ref="F12" authorId="0">
      <text>
        <r>
          <t xml:space="preserve">Tarnwick Track Record Workbook (June 30, 2026) (Deal Cash Flows E11)</t>
        </r>
      </text>
    </comment>
    <comment ref="F13" authorId="0">
      <text>
        <r>
          <t xml:space="preserve">Tarnwick Track Record Workbook (June 30, 2026) (Deal Cash Flows E12)</t>
        </r>
      </text>
    </comment>
    <comment ref="F14" authorId="0">
      <text>
        <r>
          <t xml:space="preserve">Tarnwick Track Record Workbook (June 30, 2026) (Deal Cash Flows E13)</t>
        </r>
      </text>
    </comment>
    <comment ref="F15" authorId="0">
      <text>
        <r>
          <t xml:space="preserve">Tarnwick Track Record Workbook (June 30, 2026) (Deal Cash Flows E14)</t>
        </r>
      </text>
    </comment>
    <comment ref="F16" authorId="0">
      <text>
        <r>
          <t xml:space="preserve">Tarnwick Track Record Workbook (June 30, 2026) (Deal Cash Flows E15)</t>
        </r>
      </text>
    </comment>
    <comment ref="F17" authorId="0">
      <text>
        <r>
          <t xml:space="preserve">Tarnwick Track Record Workbook (June 30, 2026) (Deal Cash Flows E16)</t>
        </r>
      </text>
    </comment>
    <comment ref="F18" authorId="0">
      <text>
        <r>
          <t xml:space="preserve">Tarnwick Track Record Workbook (June 30, 2026) (Deal Cash Flows E17)</t>
        </r>
      </text>
    </comment>
    <comment ref="F19" authorId="0">
      <text>
        <r>
          <t xml:space="preserve">Tarnwick Track Record Workbook (June 30, 2026) (Deal Cash Flows E18)</t>
        </r>
      </text>
    </comment>
    <comment ref="F20" authorId="0">
      <text>
        <r>
          <t xml:space="preserve">Tarnwick Track Record Workbook (June 30, 2026) (Deal Cash Flows E19)</t>
        </r>
      </text>
    </comment>
    <comment ref="F21" authorId="0">
      <text>
        <r>
          <t xml:space="preserve">Tarnwick Track Record Workbook (June 30, 2026) (Deal Cash Flows E20)</t>
        </r>
      </text>
    </comment>
    <comment ref="F22" authorId="0">
      <text>
        <r>
          <t xml:space="preserve">Tarnwick Track Record Workbook (June 30, 2026) (Deal Cash Flows E21)</t>
        </r>
      </text>
    </comment>
    <comment ref="F23" authorId="0">
      <text>
        <r>
          <t xml:space="preserve">Tarnwick Track Record Workbook (June 30, 2026) (Deal Cash Flows E22)</t>
        </r>
      </text>
    </comment>
    <comment ref="F24" authorId="0">
      <text>
        <r>
          <t xml:space="preserve">Tarnwick Track Record Workbook (June 30, 2026) (Deal Cash Flows E23)</t>
        </r>
      </text>
    </comment>
    <comment ref="F25" authorId="0">
      <text>
        <r>
          <t xml:space="preserve">Tarnwick Track Record Workbook (June 30, 2026) (Deal Cash Flows E24)</t>
        </r>
      </text>
    </comment>
    <comment ref="F26" authorId="0">
      <text>
        <r>
          <t xml:space="preserve">Tarnwick Track Record Workbook (June 30, 2026) (Deal Cash Flows E25)</t>
        </r>
      </text>
    </comment>
    <comment ref="F27" authorId="0">
      <text>
        <r>
          <t xml:space="preserve">Tarnwick Track Record Workbook (June 30, 2026) (Deal Cash Flows E26)</t>
        </r>
      </text>
    </comment>
    <comment ref="F28" authorId="0">
      <text>
        <r>
          <t xml:space="preserve">Tarnwick Track Record Workbook (June 30, 2026) (Deal Cash Flows E27)</t>
        </r>
      </text>
    </comment>
    <comment ref="F29" authorId="0">
      <text>
        <r>
          <t xml:space="preserve">Tarnwick Track Record Workbook (June 30, 2026) (Deal Cash Flows E28)</t>
        </r>
      </text>
    </comment>
    <comment ref="F30" authorId="0">
      <text>
        <r>
          <t xml:space="preserve">Tarnwick Track Record Workbook (June 30, 2026) (Deal Cash Flows E29)</t>
        </r>
      </text>
    </comment>
    <comment ref="F31" authorId="0">
      <text>
        <r>
          <t xml:space="preserve">Tarnwick Track Record Workbook (June 30, 2026) (Deal Cash Flows E30)</t>
        </r>
      </text>
    </comment>
    <comment ref="F32" authorId="0">
      <text>
        <r>
          <t xml:space="preserve">Tarnwick Track Record Workbook (June 30, 2026) (Deal Cash Flows E31)</t>
        </r>
      </text>
    </comment>
    <comment ref="F33" authorId="0">
      <text>
        <r>
          <t xml:space="preserve">Tarnwick Track Record Workbook (June 30, 2026) (Deal Cash Flows E32)</t>
        </r>
      </text>
    </comment>
    <comment ref="F34" authorId="0">
      <text>
        <r>
          <t xml:space="preserve">Tarnwick Track Record Workbook (June 30, 2026) (Deal Cash Flows E33)</t>
        </r>
      </text>
    </comment>
    <comment ref="F35" authorId="0">
      <text>
        <r>
          <t xml:space="preserve">Tarnwick Track Record Workbook (June 30, 2026) (Deal Cash Flows E34)</t>
        </r>
      </text>
    </comment>
    <comment ref="F36" authorId="0">
      <text>
        <r>
          <t xml:space="preserve">Tarnwick Track Record Workbook (June 30, 2026) (Deal Cash Flows E35)</t>
        </r>
      </text>
    </comment>
    <comment ref="F37" authorId="0">
      <text>
        <r>
          <t xml:space="preserve">Tarnwick Track Record Workbook (June 30, 2026) (Deal Cash Flows E36)</t>
        </r>
      </text>
    </comment>
    <comment ref="F38" authorId="0">
      <text>
        <r>
          <t xml:space="preserve">Tarnwick Track Record Workbook (June 30, 2026) (Deal Cash Flows E37)</t>
        </r>
      </text>
    </comment>
    <comment ref="F39" authorId="0">
      <text>
        <r>
          <t xml:space="preserve">Tarnwick Track Record Workbook (June 30, 2026) (Deal Cash Flows E38)</t>
        </r>
      </text>
    </comment>
    <comment ref="F40" authorId="0">
      <text>
        <r>
          <t xml:space="preserve">Tarnwick Track Record Workbook (June 30, 2026) (Deal Cash Flows E39)</t>
        </r>
      </text>
    </comment>
    <comment ref="F41" authorId="0">
      <text>
        <r>
          <t xml:space="preserve">Tarnwick Track Record Workbook (June 30, 2026) (Deal Cash Flows E40)</t>
        </r>
      </text>
    </comment>
    <comment ref="F42" authorId="0">
      <text>
        <r>
          <t xml:space="preserve">Tarnwick Track Record Workbook (June 30, 2026) (Deal Cash Flows E41)</t>
        </r>
      </text>
    </comment>
    <comment ref="F43" authorId="0">
      <text>
        <r>
          <t xml:space="preserve">Tarnwick Track Record Workbook (June 30, 2026) (Deal Cash Flows E42)</t>
        </r>
      </text>
    </comment>
    <comment ref="F44" authorId="0">
      <text>
        <r>
          <t xml:space="preserve">Tarnwick Track Record Workbook (June 30, 2026) (Deal Cash Flows E43)</t>
        </r>
      </text>
    </comment>
    <comment ref="F45" authorId="0">
      <text>
        <r>
          <t xml:space="preserve">Tarnwick Track Record Workbook (June 30, 2026) (Deal Cash Flows E44)</t>
        </r>
      </text>
    </comment>
    <comment ref="F46" authorId="0">
      <text>
        <r>
          <t xml:space="preserve">Tarnwick Track Record Workbook (June 30, 2026) (Deal Cash Flows E45)</t>
        </r>
      </text>
    </comment>
    <comment ref="F47" authorId="0">
      <text>
        <r>
          <t xml:space="preserve">Tarnwick Track Record Workbook (June 30, 2026) (Deal Cash Flows E46)</t>
        </r>
      </text>
    </comment>
    <comment ref="F48" authorId="0">
      <text>
        <r>
          <t xml:space="preserve">Tarnwick Track Record Workbook (June 30, 2026) (Deal Cash Flows E47)</t>
        </r>
      </text>
    </comment>
    <comment ref="F49" authorId="0">
      <text>
        <r>
          <t xml:space="preserve">Tarnwick Track Record Workbook (June 30, 2026) (Deal Cash Flows E48)</t>
        </r>
      </text>
    </comment>
    <comment ref="F50" authorId="0">
      <text>
        <r>
          <t xml:space="preserve">Tarnwick Track Record Workbook (June 30, 2026) (Deal Cash Flows E49)</t>
        </r>
      </text>
    </comment>
    <comment ref="F51" authorId="0">
      <text>
        <r>
          <t xml:space="preserve">Tarnwick Track Record Workbook (June 30, 2026) (Deal Cash Flows E50)</t>
        </r>
      </text>
    </comment>
    <comment ref="F52" authorId="0">
      <text>
        <r>
          <t xml:space="preserve">Tarnwick Track Record Workbook (June 30, 2026) (Deal Cash Flows E51)</t>
        </r>
      </text>
    </comment>
    <comment ref="F53" authorId="0">
      <text>
        <r>
          <t xml:space="preserve">Tarnwick Track Record Workbook (June 30, 2026) (Deal Cash Flows E52)</t>
        </r>
      </text>
    </comment>
    <comment ref="F54" authorId="0">
      <text>
        <r>
          <t xml:space="preserve">Tarnwick Track Record Workbook (June 30, 2026) (Deal Cash Flows E53)</t>
        </r>
      </text>
    </comment>
    <comment ref="F55" authorId="0">
      <text>
        <r>
          <t xml:space="preserve">Tarnwick Track Record Workbook (June 30, 2026) (Deal Cash Flows E54)</t>
        </r>
      </text>
    </comment>
    <comment ref="F56" authorId="0">
      <text>
        <r>
          <t xml:space="preserve">Tarnwick Track Record Workbook (June 30, 2026) (Deal Cash Flows E55)</t>
        </r>
      </text>
    </comment>
    <comment ref="F57" authorId="0">
      <text>
        <r>
          <t xml:space="preserve">Tarnwick Track Record Workbook (June 30, 2026) (Deal Cash Flows E56)</t>
        </r>
      </text>
    </comment>
    <comment ref="F58" authorId="0">
      <text>
        <r>
          <t xml:space="preserve">Tarnwick Track Record Workbook (June 30, 2026) (Deal Cash Flows E57)</t>
        </r>
      </text>
    </comment>
    <comment ref="F59" authorId="0">
      <text>
        <r>
          <t xml:space="preserve">Tarnwick Track Record Workbook (June 30, 2026) (Deal Cash Flows E58)</t>
        </r>
      </text>
    </comment>
    <comment ref="F6" authorId="0">
      <text>
        <r>
          <t xml:space="preserve">Tarnwick Track Record Workbook (June 30, 2026) (Deal Cash Flows E5)</t>
        </r>
      </text>
    </comment>
    <comment ref="F60" authorId="0">
      <text>
        <r>
          <t xml:space="preserve">Tarnwick Track Record Workbook (June 30, 2026) (Deal Cash Flows E59)</t>
        </r>
      </text>
    </comment>
    <comment ref="F61" authorId="0">
      <text>
        <r>
          <t xml:space="preserve">Tarnwick Track Record Workbook (June 30, 2026) (Deal Cash Flows E60)</t>
        </r>
      </text>
    </comment>
    <comment ref="F62" authorId="0">
      <text>
        <r>
          <t xml:space="preserve">Tarnwick Track Record Workbook (June 30, 2026) (Deal Cash Flows E61)</t>
        </r>
      </text>
    </comment>
    <comment ref="F63" authorId="0">
      <text>
        <r>
          <t xml:space="preserve">Tarnwick Track Record Workbook (June 30, 2026) (Deal Cash Flows E62)</t>
        </r>
      </text>
    </comment>
    <comment ref="F64" authorId="0">
      <text>
        <r>
          <t xml:space="preserve">Tarnwick Track Record Workbook (June 30, 2026) (Deal Cash Flows E63)</t>
        </r>
      </text>
    </comment>
    <comment ref="F65" authorId="0">
      <text>
        <r>
          <t xml:space="preserve">Tarnwick Track Record Workbook (June 30, 2026) (Deal Cash Flows E64)</t>
        </r>
      </text>
    </comment>
    <comment ref="F66" authorId="0">
      <text>
        <r>
          <t xml:space="preserve">Tarnwick Track Record Workbook (June 30, 2026) (Deal Cash Flows E65)</t>
        </r>
      </text>
    </comment>
    <comment ref="F67" authorId="0">
      <text>
        <r>
          <t xml:space="preserve">Tarnwick Track Record Workbook (June 30, 2026) (Deal Cash Flows E66)</t>
        </r>
      </text>
    </comment>
    <comment ref="F68" authorId="0">
      <text>
        <r>
          <t xml:space="preserve">Tarnwick Track Record Workbook (June 30, 2026) (Deal Cash Flows E67)</t>
        </r>
      </text>
    </comment>
    <comment ref="F69" authorId="0">
      <text>
        <r>
          <t xml:space="preserve">Tarnwick Track Record Workbook (June 30, 2026) (Deal Cash Flows E68)</t>
        </r>
      </text>
    </comment>
    <comment ref="F7" authorId="0">
      <text>
        <r>
          <t xml:space="preserve">Tarnwick Track Record Workbook (June 30, 2026) (Deal Cash Flows E6)</t>
        </r>
      </text>
    </comment>
    <comment ref="F70" authorId="0">
      <text>
        <r>
          <t xml:space="preserve">Tarnwick Track Record Workbook (June 30, 2026) (Deal Cash Flows E69)</t>
        </r>
      </text>
    </comment>
    <comment ref="F71" authorId="0">
      <text>
        <r>
          <t xml:space="preserve">Tarnwick Track Record Workbook (June 30, 2026) (Deal Cash Flows E70)</t>
        </r>
      </text>
    </comment>
    <comment ref="F72" authorId="0">
      <text>
        <r>
          <t xml:space="preserve">Tarnwick Track Record Workbook (June 30, 2026) (Deal Cash Flows E71)</t>
        </r>
      </text>
    </comment>
    <comment ref="F73" authorId="0">
      <text>
        <r>
          <t xml:space="preserve">Tarnwick Track Record Workbook (June 30, 2026) (Deal Cash Flows E72)</t>
        </r>
      </text>
    </comment>
    <comment ref="F74" authorId="0">
      <text>
        <r>
          <t xml:space="preserve">Tarnwick Track Record Workbook (June 30, 2026) (Deal Cash Flows E73)</t>
        </r>
      </text>
    </comment>
    <comment ref="F75" authorId="0">
      <text>
        <r>
          <t xml:space="preserve">Tarnwick Track Record Workbook (June 30, 2026) (Deal Cash Flows E74)</t>
        </r>
      </text>
    </comment>
    <comment ref="F76" authorId="0">
      <text>
        <r>
          <t xml:space="preserve">Tarnwick Track Record Workbook (June 30, 2026) (Deal Cash Flows E75)</t>
        </r>
      </text>
    </comment>
    <comment ref="F77" authorId="0">
      <text>
        <r>
          <t xml:space="preserve">Tarnwick Track Record Workbook (June 30, 2026) (Deal Cash Flows E76)</t>
        </r>
      </text>
    </comment>
    <comment ref="F78" authorId="0">
      <text>
        <r>
          <t xml:space="preserve">Tarnwick Track Record Workbook (June 30, 2026) (Deal Cash Flows E77)</t>
        </r>
      </text>
    </comment>
    <comment ref="F79" authorId="0">
      <text>
        <r>
          <t xml:space="preserve">Tarnwick Track Record Workbook (June 30, 2026) (Deal Cash Flows E78)</t>
        </r>
      </text>
    </comment>
    <comment ref="F8" authorId="0">
      <text>
        <r>
          <t xml:space="preserve">Tarnwick Track Record Workbook (June 30, 2026) (Deal Cash Flows E7)</t>
        </r>
      </text>
    </comment>
    <comment ref="F80" authorId="0">
      <text>
        <r>
          <t xml:space="preserve">Tarnwick Track Record Workbook (June 30, 2026) (Deal Cash Flows E79)</t>
        </r>
      </text>
    </comment>
    <comment ref="F81" authorId="0">
      <text>
        <r>
          <t xml:space="preserve">Tarnwick Track Record Workbook (June 30, 2026) (Deal Cash Flows E80)</t>
        </r>
      </text>
    </comment>
    <comment ref="F82" authorId="0">
      <text>
        <r>
          <t xml:space="preserve">Tarnwick Track Record Workbook (June 30, 2026) (Deal Cash Flows E81)</t>
        </r>
      </text>
    </comment>
    <comment ref="F9" authorId="0">
      <text>
        <r>
          <t xml:space="preserve">Tarnwick Track Record Workbook (June 30, 2026) (Deal Cash Flows E8)</t>
        </r>
      </text>
    </comment>
  </commentList>
</comments>
</file>

<file path=xl/comments21.xml><?xml version="1.0" encoding="utf-8"?>
<comments xmlns="http://schemas.openxmlformats.org/spreadsheetml/2006/main">
  <authors>
    <author>Compound</author>
  </authors>
  <commentList>
    <comment ref="C10" authorId="0">
      <text>
        <r>
          <t xml:space="preserve">Cited for C10:C11
Valuation Policy and Pellston Q2 2026 Valuation Memo p. 2</t>
        </r>
      </text>
    </comment>
    <comment ref="C12" authorId="0">
      <text>
        <r>
          <t xml:space="preserve">Valuation Policy and Pellston Q2 2026 Valuation Memo p. 2</t>
        </r>
      </text>
    </comment>
    <comment ref="C13" authorId="0">
      <text>
        <r>
          <t xml:space="preserve">Tarnwick Track Record Workbook (June 30, 2026) (Deal Summary E34)</t>
        </r>
      </text>
    </comment>
    <comment ref="C16" authorId="0">
      <text>
        <r>
          <t xml:space="preserve">Valuation Policy and Pellston Q2 2026 Valuation Memo p. 2</t>
        </r>
      </text>
    </comment>
    <comment ref="C17" authorId="0">
      <text>
        <r>
          <t xml:space="preserve">Valuation Policy and Pellston Q2 2026 Valuation Memo p. 2</t>
        </r>
      </text>
    </comment>
    <comment ref="C18" authorId="0">
      <text>
        <r>
          <t xml:space="preserve">Valuation Policy and Pellston Q2 2026 Valuation Memo p. 2</t>
        </r>
      </text>
    </comment>
    <comment ref="C19" authorId="0">
      <text>
        <r>
          <t xml:space="preserve">Valuation Policy and Pellston Q2 2026 Valuation Memo p. 2</t>
        </r>
      </text>
    </comment>
    <comment ref="C20" authorId="0">
      <text>
        <r>
          <t xml:space="preserve">Valuation Policy and Pellston Q2 2026 Valuation Memo p. 2</t>
        </r>
      </text>
    </comment>
    <comment ref="C21" authorId="0">
      <text>
        <r>
          <t xml:space="preserve">Valuation Policy and Pellston Q2 2026 Valuation Memo p. 2</t>
        </r>
      </text>
    </comment>
    <comment ref="C22" authorId="0">
      <text>
        <r>
          <t xml:space="preserve">Valuation Policy and Pellston Q2 2026 Valuation Memo p. 2</t>
        </r>
      </text>
    </comment>
    <comment ref="C23" authorId="0">
      <text>
        <r>
          <t xml:space="preserve">Valuation Policy and Pellston Q2 2026 Valuation Memo p. 2</t>
        </r>
      </text>
    </comment>
    <comment ref="C24" authorId="0">
      <text>
        <r>
          <t xml:space="preserve">Valuation Policy and Pellston Q2 2026 Valuation Memo p. 2</t>
        </r>
      </text>
    </comment>
    <comment ref="C25" authorId="0">
      <text>
        <r>
          <t xml:space="preserve">Valuation Policy and Pellston Q2 2026 Valuation Memo p. 2</t>
        </r>
      </text>
    </comment>
    <comment ref="C26" authorId="0">
      <text>
        <r>
          <t xml:space="preserve">Valuation Policy and Pellston Q2 2026 Valuation Memo p. 2</t>
        </r>
      </text>
    </comment>
    <comment ref="C27" authorId="0">
      <text>
        <r>
          <t xml:space="preserve">Valuation Policy and Pellston Q2 2026 Valuation Memo p. 2</t>
        </r>
      </text>
    </comment>
    <comment ref="C28" authorId="0">
      <text>
        <r>
          <t xml:space="preserve">Cited for C28:C29
Valuation Policy and Pellston Q2 2026 Valuation Memo p. 2</t>
        </r>
      </text>
    </comment>
    <comment ref="C32" authorId="0">
      <text>
        <r>
          <t xml:space="preserve">Valuation Policy and Pellston Q2 2026 Valuation Memo p. 2</t>
        </r>
      </text>
    </comment>
    <comment ref="C33" authorId="0">
      <text>
        <r>
          <t xml:space="preserve">Valuation Policy and Pellston Q2 2026 Valuation Memo p. 2</t>
        </r>
      </text>
    </comment>
    <comment ref="C34" authorId="0">
      <text>
        <r>
          <t xml:space="preserve">Valuation Policy and Pellston Q2 2026 Valuation Memo p. 2</t>
        </r>
      </text>
    </comment>
    <comment ref="C35" authorId="0">
      <text>
        <r>
          <t xml:space="preserve">Valuation Policy and Pellston Q2 2026 Valuation Memo p. 2</t>
        </r>
      </text>
    </comment>
    <comment ref="C36" authorId="0">
      <text>
        <r>
          <t xml:space="preserve">Valuation Policy and Pellston Q2 2026 Valuation Memo p. 2</t>
        </r>
      </text>
    </comment>
    <comment ref="C37" authorId="0">
      <text>
        <r>
          <t xml:space="preserve">Valuation Policy and Pellston Q2 2026 Valuation Memo p. 2</t>
        </r>
      </text>
    </comment>
    <comment ref="C38" authorId="0">
      <text>
        <r>
          <t xml:space="preserve">Valuation Policy and Pellston Q2 2026 Valuation Memo p. 2</t>
        </r>
      </text>
    </comment>
    <comment ref="C41" authorId="0">
      <text>
        <r>
          <t xml:space="preserve">Tarnwick Track Record Workbook (June 30, 2026) (Operating Metrics C21)</t>
        </r>
      </text>
    </comment>
    <comment ref="C42" authorId="0">
      <text>
        <r>
          <t xml:space="preserve">Tarnwick Track Record Workbook (June 30, 2026) (Operating Metrics E21)</t>
        </r>
      </text>
    </comment>
    <comment ref="C43" authorId="0">
      <text>
        <r>
          <t xml:space="preserve">Tarnwick Track Record Workbook (June 30, 2026) (Operating Metrics F21)</t>
        </r>
      </text>
    </comment>
    <comment ref="C44" authorId="0">
      <text>
        <r>
          <t xml:space="preserve">Tarnwick Track Record Workbook (June 30, 2026) (Operating Metrics G21)</t>
        </r>
      </text>
    </comment>
    <comment ref="C45" authorId="0">
      <text>
        <r>
          <t xml:space="preserve">Tarnwick Track Record Workbook (June 30, 2026) (Operating Metrics H21)</t>
        </r>
      </text>
    </comment>
    <comment ref="C46" authorId="0">
      <text>
        <r>
          <t xml:space="preserve">Tarnwick Track Record Workbook (June 30, 2026) (Operating Metrics K21)</t>
        </r>
      </text>
    </comment>
    <comment ref="C49" authorId="0">
      <text>
        <r>
          <t xml:space="preserve">Tarnwick Track Record Workbook (June 30, 2026) (Fund Summary F8)</t>
        </r>
      </text>
    </comment>
    <comment ref="C50" authorId="0">
      <text>
        <r>
          <t xml:space="preserve">Tarnwick Track Record Workbook (June 30, 2026) (Fund Summary G8)</t>
        </r>
      </text>
    </comment>
    <comment ref="C51" authorId="0">
      <text>
        <r>
          <t xml:space="preserve">Tarnwick Track Record Workbook (June 30, 2026) (Fund Summary H8)</t>
        </r>
      </text>
    </comment>
    <comment ref="C52" authorId="0">
      <text>
        <r>
          <t xml:space="preserve">Tarnwick Track Record Workbook (June 30, 2026) (Fund Summary J8)</t>
        </r>
      </text>
    </comment>
    <comment ref="C53" authorId="0">
      <text>
        <r>
          <t xml:space="preserve">Tarnwick Track Record Workbook (June 30, 2026) (Fund Summary L8)</t>
        </r>
      </text>
    </comment>
    <comment ref="C54" authorId="0">
      <text>
        <r>
          <t xml:space="preserve">Tarnwick Track Record Workbook (June 30, 2026) (Fund Summary M8)</t>
        </r>
      </text>
    </comment>
    <comment ref="C55" authorId="0">
      <text>
        <r>
          <t xml:space="preserve">Tarnwick Track Record Workbook (June 30, 2026) (Fund Summary N8)</t>
        </r>
      </text>
    </comment>
    <comment ref="C56" authorId="0">
      <text>
        <r>
          <t xml:space="preserve">Tarnwick Track Record Workbook (June 30, 2026) (Fund Summary O8)</t>
        </r>
      </text>
    </comment>
    <comment ref="C57" authorId="0">
      <text>
        <r>
          <t xml:space="preserve">Tarnwick Track Record Workbook (June 30, 2026) (Fund Summary Q8)</t>
        </r>
      </text>
    </comment>
    <comment ref="C58" authorId="0">
      <text>
        <r>
          <t xml:space="preserve">Tarnwick Track Record Workbook (June 30, 2026) (Fund Summary R8)</t>
        </r>
      </text>
    </comment>
    <comment ref="C59" authorId="0">
      <text>
        <r>
          <t xml:space="preserve">Tarnwick Track Record Workbook (June 30, 2026) (Fund Summary W8)</t>
        </r>
      </text>
    </comment>
    <comment ref="C60" authorId="0">
      <text>
        <r>
          <t xml:space="preserve">Fund IV - Quarterly Report Q2 2026 p. 1</t>
        </r>
      </text>
    </comment>
    <comment ref="C61" authorId="0">
      <text>
        <r>
          <t xml:space="preserve">Tarnwick Track Record Workbook (June 30, 2026) (Deal Summary J34)</t>
        </r>
      </text>
    </comment>
    <comment ref="C62" authorId="0">
      <text>
        <r>
          <t xml:space="preserve">Fund IV - Quarterly Report Q2 2026 p. 1</t>
        </r>
      </text>
    </comment>
    <comment ref="C63" authorId="0">
      <text>
        <r>
          <t xml:space="preserve">Tarnwick Track Record Workbook (June 30, 2026) (Deal Summary H35)</t>
        </r>
      </text>
    </comment>
    <comment ref="C64" authorId="0">
      <text>
        <r>
          <t xml:space="preserve">Tarnwick Track Record Workbook (June 30, 2026) (Deal Summary I35)</t>
        </r>
      </text>
    </comment>
    <comment ref="C65" authorId="0">
      <text>
        <r>
          <t xml:space="preserve">Tarnwick Track Record Workbook (June 30, 2026) (Operating Metrics I22)</t>
        </r>
      </text>
    </comment>
    <comment ref="C68" authorId="0">
      <text>
        <r>
          <t xml:space="preserve">Fund V LPA Terms Summary (Draft, September 2026) p. 1</t>
        </r>
      </text>
    </comment>
    <comment ref="C69" authorId="0">
      <text>
        <r>
          <t xml:space="preserve">Fund V LPA Terms Summary (Draft, September 2026) p. 1</t>
        </r>
      </text>
    </comment>
    <comment ref="C7" authorId="0">
      <text>
        <r>
          <t xml:space="preserve">Valuation Policy and Pellston Q2 2026 Valuation Memo p. 2</t>
        </r>
      </text>
    </comment>
    <comment ref="C70" authorId="0">
      <text>
        <r>
          <t xml:space="preserve">Fund V LPA Terms Summary (Draft, September 2026) p. 1</t>
        </r>
      </text>
    </comment>
    <comment ref="C73" authorId="0">
      <text>
        <r>
          <t xml:space="preserve">Team and Carry Allocation (Carry Allocation C2)</t>
        </r>
      </text>
    </comment>
    <comment ref="C74" authorId="0">
      <text>
        <r>
          <t xml:space="preserve">Team and Carry Allocation (Carry Allocation C4)</t>
        </r>
      </text>
    </comment>
    <comment ref="C75" authorId="0">
      <text>
        <r>
          <t xml:space="preserve">Team and Carry Allocation (Carry Allocation C5)</t>
        </r>
      </text>
    </comment>
    <comment ref="C8" authorId="0">
      <text>
        <r>
          <t xml:space="preserve">Cited for C8:C9
Valuation Policy and Pellston Q2 2026 Valuation Memo p. 2</t>
        </r>
      </text>
    </comment>
    <comment ref="D79" authorId="0">
      <text>
        <r>
          <t xml:space="preserve">Cited for C79:D79
Tarnwick Track Record Workbook (June 30, 2026) (LP Cash Flows B91:E91)</t>
        </r>
      </text>
    </comment>
    <comment ref="D80" authorId="0">
      <text>
        <r>
          <t xml:space="preserve">Cited for C80:D80
Tarnwick Track Record Workbook (June 30, 2026) (LP Cash Flows B92:E92)</t>
        </r>
      </text>
    </comment>
    <comment ref="D81" authorId="0">
      <text>
        <r>
          <t xml:space="preserve">Cited for C81:D81
Tarnwick Track Record Workbook (June 30, 2026) (LP Cash Flows B93:E93)</t>
        </r>
      </text>
    </comment>
    <comment ref="D82" authorId="0">
      <text>
        <r>
          <t xml:space="preserve">Cited for C82:D82
Tarnwick Track Record Workbook (June 30, 2026) (LP Cash Flows B94:E94)</t>
        </r>
      </text>
    </comment>
    <comment ref="D83" authorId="0">
      <text>
        <r>
          <t xml:space="preserve">Cited for C83:D83
Tarnwick Track Record Workbook (June 30, 2026) (LP Cash Flows B95:E95)</t>
        </r>
      </text>
    </comment>
    <comment ref="D84" authorId="0">
      <text>
        <r>
          <t xml:space="preserve">Cited for C84:D84
Tarnwick Track Record Workbook (June 30, 2026) (LP Cash Flows B96:E96)</t>
        </r>
      </text>
    </comment>
    <comment ref="D85" authorId="0">
      <text>
        <r>
          <t xml:space="preserve">Cited for C85:D85
Tarnwick Track Record Workbook (June 30, 2026) (LP Cash Flows B97:E97)</t>
        </r>
      </text>
    </comment>
    <comment ref="D86" authorId="0">
      <text>
        <r>
          <t xml:space="preserve">Cited for C86:D86
Tarnwick Track Record Workbook (June 30, 2026) (LP Cash Flows B98:E98)</t>
        </r>
      </text>
    </comment>
    <comment ref="D87" authorId="0">
      <text>
        <r>
          <t xml:space="preserve">Cited for C87:D87
Tarnwick Track Record Workbook (June 30, 2026) (LP Cash Flows B99:E99)</t>
        </r>
      </text>
    </comment>
    <comment ref="D88" authorId="0">
      <text>
        <r>
          <t xml:space="preserve">Cited for C88:D88
Tarnwick Track Record Workbook (June 30, 2026) (LP Cash Flows B100:E100)</t>
        </r>
      </text>
    </comment>
    <comment ref="D89" authorId="0">
      <text>
        <r>
          <t xml:space="preserve">Cited for C89:D89
Tarnwick Track Record Workbook (June 30, 2026) (LP Cash Flows B101:E101)</t>
        </r>
      </text>
    </comment>
    <comment ref="D90" authorId="0">
      <text>
        <r>
          <t xml:space="preserve">Cited for C90:D90
Tarnwick Track Record Workbook (June 30, 2026) (LP Cash Flows B102:E102)</t>
        </r>
      </text>
    </comment>
    <comment ref="D91" authorId="0">
      <text>
        <r>
          <t xml:space="preserve">Cited for C91:D91
Tarnwick Track Record Workbook (June 30, 2026) (LP Cash Flows B103:E103)</t>
        </r>
      </text>
    </comment>
    <comment ref="D92" authorId="0">
      <text>
        <r>
          <t xml:space="preserve">Cited for C92:D92
Tarnwick Track Record Workbook (June 30, 2026) (LP Cash Flows B104:E104)</t>
        </r>
      </text>
    </comment>
    <comment ref="D93" authorId="0">
      <text>
        <r>
          <t xml:space="preserve">Cited for C93:D93
Tarnwick Track Record Workbook (June 30, 2026) (LP Cash Flows B105:E105)</t>
        </r>
      </text>
    </comment>
    <comment ref="D94" authorId="0">
      <text>
        <r>
          <t xml:space="preserve">Cited for C94:D94
Tarnwick Track Record Workbook (June 30, 2026) (LP Cash Flows B106:E106)</t>
        </r>
      </text>
    </comment>
    <comment ref="D95" authorId="0">
      <text>
        <r>
          <t xml:space="preserve">Cited for C95:D95
Tarnwick Track Record Workbook (June 30, 2026) (LP Cash Flows B107:E107)</t>
        </r>
      </text>
    </comment>
    <comment ref="D96" authorId="0">
      <text>
        <r>
          <t xml:space="preserve">Cited for C96:D96
Tarnwick Track Record Workbook (June 30, 2026) (LP Cash Flows B108:E108)</t>
        </r>
      </text>
    </comment>
    <comment ref="D97" authorId="0">
      <text>
        <r>
          <t xml:space="preserve">Cited for C97:D97
Tarnwick Track Record Workbook (June 30, 2026) (LP Cash Flows B109:E109)</t>
        </r>
      </text>
    </comment>
    <comment ref="D98" authorId="0">
      <text>
        <r>
          <t xml:space="preserve">Cited for C98:D98
Tarnwick Track Record Workbook (June 30, 2026) (LP Cash Flows B110:E110)</t>
        </r>
      </text>
    </comment>
  </commentList>
</comments>
</file>

<file path=xl/comments22.xml><?xml version="1.0" encoding="utf-8"?>
<comments xmlns="http://schemas.openxmlformats.org/spreadsheetml/2006/main">
  <authors>
    <author>Compound</author>
  </authors>
  <commentList>
    <comment ref="C17" authorId="0">
      <text>
        <r>
          <t xml:space="preserve">Cited for C17:C18
Tarnwick Track Record Workbook (June 30, 2026) (Deal Summary A23:M33)</t>
        </r>
      </text>
    </comment>
    <comment ref="C7" authorId="0">
      <text>
        <r>
          <t xml:space="preserve">Cited for C7:C13
Tarnwick Track Record Workbook (June 30, 2026) (Deal Summary A23:M33)</t>
        </r>
      </text>
    </comment>
    <comment ref="C72" authorId="0">
      <text>
        <r>
          <t xml:space="preserve">Cited for C72:C73
Fund V LPA Terms Summary (Draft, September 2026) p. 1</t>
        </r>
      </text>
    </comment>
    <comment ref="C74" authorId="0">
      <text>
        <r>
          <t xml:space="preserve">Cited for C74:C75
Fund V LPA Terms Summary (Draft, September 2026) p. 1</t>
        </r>
      </text>
    </comment>
    <comment ref="C76" authorId="0">
      <text>
        <r>
          <t xml:space="preserve">Fund V LPA Terms Summary (Draft, September 2026) p. 1</t>
        </r>
      </text>
    </comment>
    <comment ref="C77" authorId="0">
      <text>
        <r>
          <t xml:space="preserve">Fund V LPA Terms Summary (Draft, September 2026) p. 1</t>
        </r>
      </text>
    </comment>
    <comment ref="C78" authorId="0">
      <text>
        <r>
          <t xml:space="preserve">Fund V LPA Terms Summary (Draft, September 2026) p. 1</t>
        </r>
      </text>
    </comment>
    <comment ref="C79" authorId="0">
      <text>
        <r>
          <t xml:space="preserve">Fund V LPA Terms Summary (Draft, September 2026) p. 1</t>
        </r>
      </text>
    </comment>
    <comment ref="C80" authorId="0">
      <text>
        <r>
          <t xml:space="preserve">Fund V LPA Terms Summary (Draft, September 2026) p. 1</t>
        </r>
      </text>
    </comment>
    <comment ref="C81" authorId="0">
      <text>
        <r>
          <t xml:space="preserve">Tarnwick Track Record Workbook (June 30, 2026) (Fees and Expenses A4:H45)</t>
        </r>
      </text>
    </comment>
    <comment ref="C82" authorId="0">
      <text>
        <r>
          <t xml:space="preserve">Fund IV - Quarterly Report Q2 2026 p. 2</t>
        </r>
      </text>
    </comment>
    <comment ref="C83" authorId="0">
      <text>
        <r>
          <t xml:space="preserve">Tarnwick Track Record Workbook (June 30, 2026) (Fund Summary A4:W8)</t>
        </r>
      </text>
    </comment>
    <comment ref="C84" authorId="0">
      <text>
        <r>
          <t xml:space="preserve">Funds III and IV - Audited Financial Statements Summary FY2023-FY2025 p. 3</t>
        </r>
      </text>
    </comment>
    <comment ref="C85" authorId="0">
      <text>
        <r>
          <t xml:space="preserve">Cited for C85:C88
Fund V LPA Terms Summary (Draft, September 2026) p. 1</t>
        </r>
      </text>
    </comment>
    <comment ref="C89" authorId="0">
      <text>
        <r>
          <t xml:space="preserve">Tarnwick Track Record Analysis (Sub Line D26)</t>
        </r>
      </text>
    </comment>
    <comment ref="D17" authorId="0">
      <text>
        <r>
          <t xml:space="preserve">Cited for D17:D18
Tarnwick Track Record Workbook (June 30, 2026) (Credit Facility A5:H15)</t>
        </r>
      </text>
    </comment>
    <comment ref="D7" authorId="0">
      <text>
        <r>
          <t xml:space="preserve">Cited for D7:D13
Tarnwick Track Record Workbook (June 30, 2026) (Credit Facility A5:H15)</t>
        </r>
      </text>
    </comment>
    <comment ref="G17" authorId="0">
      <text>
        <r>
          <t xml:space="preserve">Cited for F17:G18
Tarnwick Track Record Workbook (June 30, 2026) (Deal Summary A23:M33)</t>
        </r>
      </text>
    </comment>
    <comment ref="G7" authorId="0">
      <text>
        <r>
          <t xml:space="preserve">Cited for E7:G13
Tarnwick Track Record Workbook (June 30, 2026) (Deal Summary A23:M33)</t>
        </r>
      </text>
    </comment>
    <comment ref="H23" authorId="0">
      <text>
        <r>
          <t xml:space="preserve">Cited for C23:H26
Tarnwick Track Record Workbook (June 30, 2026) (Fund Summary A4:W8)</t>
        </r>
      </text>
    </comment>
    <comment ref="I31" authorId="0">
      <text>
        <r>
          <t xml:space="preserve">Cited for C31:I68
Tarnwick Track Record Workbook (June 30, 2026) (Fees and Expenses A4:H45)</t>
        </r>
      </text>
    </comment>
    <comment ref="I7" authorId="0">
      <text>
        <r>
          <t xml:space="preserve">Cited for H7:I13
Tarnwick Track Record Workbook (June 30, 2026) (LP Cash Flows A57:F89)</t>
        </r>
      </text>
    </comment>
  </commentList>
</comments>
</file>

<file path=xl/sharedStrings.xml><?xml version="1.0" encoding="utf-8"?>
<sst xmlns="http://schemas.openxmlformats.org/spreadsheetml/2006/main" count="1688" uniqueCount="1688">
  <si>
    <t>Fund Summary: Recomputed vs Manager vs PPM</t>
  </si>
  <si>
    <t>US$ millions, as of June 30, 2026. Recomputed from the Deal Cash Flows (gross) and LP Cash Flows (net) tabs of the Track Record Workbook; tied to the manager's Fund Summary tab and the PPM excerpt, Section IV.</t>
  </si>
  <si>
    <t>US$ millions</t>
  </si>
  <si>
    <t>Fund I</t>
  </si>
  <si>
    <t>Fund II</t>
  </si>
  <si>
    <t>Fund III</t>
  </si>
  <si>
    <t>Fund IV</t>
  </si>
  <si>
    <t>All funds</t>
  </si>
  <si>
    <t>RECOMPUTED FROM CASH FLOWS</t>
  </si>
  <si>
    <t>Invested capital</t>
  </si>
  <si>
    <t>Total value (realized + unrealized)</t>
  </si>
  <si>
    <t>Gross MOIC</t>
  </si>
  <si>
    <t>Gross IRR</t>
  </si>
  <si>
    <t>LP contributions</t>
  </si>
  <si>
    <t>LP distributions</t>
  </si>
  <si>
    <t>LP NAV</t>
  </si>
  <si>
    <t>Net TVPI</t>
  </si>
  <si>
    <t>Net DPI</t>
  </si>
  <si>
    <t>Net RVPI</t>
  </si>
  <si>
    <t>Net IRR (with facility)</t>
  </si>
  <si>
    <t>Gross-to-net spread, IRR (% pts)</t>
  </si>
  <si>
    <t>Gross-to-net spread, multiple (x)</t>
  </si>
  <si>
    <t>MANAGER: TRACK RECORD WORKBOOK, FUND SUMMARY TAB</t>
  </si>
  <si>
    <t>PPM EXCERPT, SECTION IV (PAGE 3)</t>
  </si>
  <si>
    <t>DIFFERENCE: RECOMPUTED LESS MANAGER</t>
  </si>
  <si>
    <t>DIFFERENCE: RECOMPUTED LESS PPM</t>
  </si>
  <si>
    <t>TIE-OUT</t>
  </si>
  <si>
    <t>Tolerance, US$ millions</t>
  </si>
  <si>
    <t>&lt;&lt; Half the last displayed digit: manager tab shows $0.1M</t>
  </si>
  <si>
    <t>Tolerance, multiples (x)</t>
  </si>
  <si>
    <t>&lt;&lt; PPM and manager show multiples to 0.01x</t>
  </si>
  <si>
    <t>Tolerance, IRR</t>
  </si>
  <si>
    <t>&lt;&lt; PPM and manager show IRRs to 0.1%</t>
  </si>
  <si>
    <t>Figures outside tolerance vs manager</t>
  </si>
  <si>
    <t>Figures outside tolerance vs PPM</t>
  </si>
  <si>
    <t>Status</t>
  </si>
  <si>
    <t>Subscription Facility: Net IRR With and Without (Funds III and IV)</t>
  </si>
  <si>
    <t>US$ millions. The manager does not report net IRR without the facility (DDQ 7.9). ILPA method: each facility-funded LP contribution is moved back to the facility draw date, at the amount drawn, excluding facility interest; distributions and NAV as reported.</t>
  </si>
  <si>
    <t>NET IRR WITH AND WITHOUT THE FACILITY</t>
  </si>
  <si>
    <t>Net IRR with facility (as reported)</t>
  </si>
  <si>
    <t>Net IRR without facility (ILPA)</t>
  </si>
  <si>
    <t>IRR uplift from facility (% pts)</t>
  </si>
  <si>
    <t>&lt;&lt; Fund IV ex-facility IRR drops below the PPM's 2021 upper-quartile breakpoint</t>
  </si>
  <si>
    <t>Net TVPI with facility</t>
  </si>
  <si>
    <t>Net TVPI without facility (contributions ex-interest)</t>
  </si>
  <si>
    <t>Net TVPI change from facility (x)</t>
  </si>
  <si>
    <t>&lt;&lt; Fund III shows a gain only because of the $8.9M shortfall in row 52; Fund IV gives up 0.07x to interest</t>
  </si>
  <si>
    <t>Facility interest paid (cash)</t>
  </si>
  <si>
    <t>LP contributions moved to draw date (count)</t>
  </si>
  <si>
    <t>Amount moved (as drawn, ex-interest)</t>
  </si>
  <si>
    <t>&lt;&lt; Fund IV draws still outstanding at Jun-30-2026 (not yet called) stay out, consistent with NAV reported net of the facility</t>
  </si>
  <si>
    <t>FACILITY USAGE</t>
  </si>
  <si>
    <t>Facility size</t>
  </si>
  <si>
    <t>Limit in fund LPA (% of commitments)</t>
  </si>
  <si>
    <t>Limit in fund LPA (days per draw)</t>
  </si>
  <si>
    <t>Number of draws</t>
  </si>
  <si>
    <t>Total drawn</t>
  </si>
  <si>
    <t>Average days outstanding (simple)</t>
  </si>
  <si>
    <t>Average days outstanding (dollar-weighted)</t>
  </si>
  <si>
    <t>Maximum days outstanding</t>
  </si>
  <si>
    <t>Peak balance outstanding</t>
  </si>
  <si>
    <t>Date peak first reached</t>
  </si>
  <si>
    <t>Commitments</t>
  </si>
  <si>
    <t>Peak balance (% of commitments)</t>
  </si>
  <si>
    <t>Peak balance vs facility size (x)</t>
  </si>
  <si>
    <t>Peak balance in excess of LPA limit</t>
  </si>
  <si>
    <t>&lt;&lt; Fund IV peak is within its $460M facility (upsized from $250M in March 2022) and its 40% LPA limit; balance ties to audited FS at each year end</t>
  </si>
  <si>
    <t>Facility size (% of commitments)</t>
  </si>
  <si>
    <t>ILPA Principles 3.0 guideline (% of commitments)</t>
  </si>
  <si>
    <t>ILPA Principles 3.0 guideline (days per draw)</t>
  </si>
  <si>
    <t>Peak balance in excess of ILPA guideline</t>
  </si>
  <si>
    <t>&lt;&lt; Fund IV's facility (40% of commitments) and peak are about twice ILPA's 20%, and most draws ran past 180 days; Fund III stayed inside ILPA (15%, 90 days)</t>
  </si>
  <si>
    <t>Draws outstanding longer than ILPA guideline (count)</t>
  </si>
  <si>
    <t>FIRST CAPITAL CALL VS FIRST INVESTMENT</t>
  </si>
  <si>
    <t>Initial closing</t>
  </si>
  <si>
    <t>First facility draw</t>
  </si>
  <si>
    <t>First investment</t>
  </si>
  <si>
    <t>First LP capital call (LP Cash Flows)</t>
  </si>
  <si>
    <t>Date of initial capital call (manager Fund Summary)</t>
  </si>
  <si>
    <t>Days from first investment to first LP call</t>
  </si>
  <si>
    <t>Days from initial closing to first LP call</t>
  </si>
  <si>
    <t>Investments made before first LP call (count)</t>
  </si>
  <si>
    <t>Capital invested before first LP call</t>
  </si>
  <si>
    <t>CROSS-CHECKS</t>
  </si>
  <si>
    <t>Fund IV facility balance, recomputed from draws</t>
  </si>
  <si>
    <t>Fund IV facility borrowings, audited financial statements</t>
  </si>
  <si>
    <t>Difference</t>
  </si>
  <si>
    <t>Fund III final draw: amount drawn plus interest</t>
  </si>
  <si>
    <t>Fund III final draw: LP capital call that repaid it</t>
  </si>
  <si>
    <t>Shortfall not funded by an LP call</t>
  </si>
  <si>
    <t>Fund III net IRR ex-facility, alternative (call less interest)</t>
  </si>
  <si>
    <t>&lt;&lt; Fund III called 100% of commitments; the last draw was not fully repaid by LP calls, so 'amount drawn' adds contributions LPs did not make</t>
  </si>
  <si>
    <t>Public Market Equivalent vs Russell 2000 Total Return</t>
  </si>
  <si>
    <t>US$ millions. Kaplan-Schoar PME and direct alpha on the net LP cash flows as reported (with facility). Each flow is compounded to June 30, 2026 by the ratio of the index level at June 30, 2026 to the level at the flow's month end.</t>
  </si>
  <si>
    <t>Index series</t>
  </si>
  <si>
    <t>Russell 2000 Total Return index (^RUTTR), month-end closes</t>
  </si>
  <si>
    <t>&lt;&lt; Manager has not prepared PME comparisons (DDQ 14.6)</t>
  </si>
  <si>
    <t>Source</t>
  </si>
  <si>
    <t>Yahoo Finance monthly history; saved in the drive under seo/fund-due-diligence/Market data/</t>
  </si>
  <si>
    <t>Date range used</t>
  </si>
  <si>
    <t>First month</t>
  </si>
  <si>
    <t>Last month</t>
  </si>
  <si>
    <t>Month ends</t>
  </si>
  <si>
    <t>KAPLAN-SCHOAR PME</t>
  </si>
  <si>
    <t>LP NAV, June 30, 2026</t>
  </si>
  <si>
    <t>Contributions compounded at index</t>
  </si>
  <si>
    <t>Distributions compounded at index</t>
  </si>
  <si>
    <t>Kaplan-Schoar PME (x)</t>
  </si>
  <si>
    <t>&lt;&lt; Above 1.0x means LPs did better than the same dollars in the Russell 2000 TR on the same dates</t>
  </si>
  <si>
    <t>Outperformance vs index (PME less 1.0x)</t>
  </si>
  <si>
    <t>DIRECT ALPHA</t>
  </si>
  <si>
    <t>Direct alpha (annual, IRR of index-compounded flows)</t>
  </si>
  <si>
    <t>&lt;&lt; Gredil, Griffiths and Stucke direct alpha; continuous version is LN(1 + this)</t>
  </si>
  <si>
    <t>Fund's first cash flow</t>
  </si>
  <si>
    <t>Index level at first cash flow month end</t>
  </si>
  <si>
    <t>Index level at June 30, 2026</t>
  </si>
  <si>
    <t>Quartile Check: PPM First-Quartile Claim for Funds III and IV</t>
  </si>
  <si>
    <t>Benchmark breakpoints are manager-provided and illustrative: PPM footnote 4, third-party North American buyout benchmark by vintage as of March 31, 2026; Tarnwick figures as of June 30, 2026.</t>
  </si>
  <si>
    <t>BENCHMARK BREAKPOINTS (MANAGER-PROVIDED, ILLUSTRATIVE)</t>
  </si>
  <si>
    <t>Vintage</t>
  </si>
  <si>
    <t>Net IRR: upper quartile</t>
  </si>
  <si>
    <t>Net IRR: median</t>
  </si>
  <si>
    <t>Net IRR: lower quartile</t>
  </si>
  <si>
    <t>Net TVPI: upper quartile</t>
  </si>
  <si>
    <t>Net TVPI: median</t>
  </si>
  <si>
    <t>Net TVPI: lower quartile</t>
  </si>
  <si>
    <t>PPM claimed quartile (net IRR)</t>
  </si>
  <si>
    <t>Second</t>
  </si>
  <si>
    <t>First</t>
  </si>
  <si>
    <t>TARNWICK RANK AGAINST THE BREAKPOINTS</t>
  </si>
  <si>
    <t>Net IRR with facility</t>
  </si>
  <si>
    <t>Quartile</t>
  </si>
  <si>
    <t>Net IRR without facility</t>
  </si>
  <si>
    <t>PPM claim holds on all three?</t>
  </si>
  <si>
    <t>&lt;&lt; Funds I and II used no subscription facility, so net IRR is the same with and without</t>
  </si>
  <si>
    <t>&lt;&lt; Fund IV is first quartile only on net IRR with the facility</t>
  </si>
  <si>
    <t>PPM Headline Reconciliation: "Fund III: 3.6x gross MOIC on realized investments"</t>
  </si>
  <si>
    <t>US$ millions. The headline covers the 7 fully exited Fund III deals only; this tab bridges it to Fund III across all 11 deals (gross and net) and to Funds I to IV together.</t>
  </si>
  <si>
    <t>FUND III INVESTMENTS (TRACK RECORD WORKBOOK, DEAL SUMMARY TAB)</t>
  </si>
  <si>
    <t>Company</t>
  </si>
  <si>
    <t>Investment date</t>
  </si>
  <si>
    <t>Exit date</t>
  </si>
  <si>
    <t>Invested</t>
  </si>
  <si>
    <t>Realized</t>
  </si>
  <si>
    <t>Unrealized</t>
  </si>
  <si>
    <t>Total value</t>
  </si>
  <si>
    <t>In headline?</t>
  </si>
  <si>
    <t>Why left out of the headline</t>
  </si>
  <si>
    <t>Bracken Fluid Systems</t>
  </si>
  <si>
    <t>Lowrie Facility Services</t>
  </si>
  <si>
    <t>Castine Testing Labs</t>
  </si>
  <si>
    <t>Ordway Packaging</t>
  </si>
  <si>
    <t>Corliss Staffing</t>
  </si>
  <si>
    <t>Unrealized: held at fair value well below cost</t>
  </si>
  <si>
    <t>Fennimore Data Services</t>
  </si>
  <si>
    <t>Halvard Precision</t>
  </si>
  <si>
    <t>Marlow Print Solutions</t>
  </si>
  <si>
    <t>Quarry Hill Logistics</t>
  </si>
  <si>
    <t>Brightwater Compliance</t>
  </si>
  <si>
    <t>Unrealized: held at fair value (PPM: 'remaining investments ... held at fair value')</t>
  </si>
  <si>
    <t>Tamsin Environmental</t>
  </si>
  <si>
    <t>Fund III total</t>
  </si>
  <si>
    <t>RECONCILIATION</t>
  </si>
  <si>
    <t>Basis</t>
  </si>
  <si>
    <t>Deals</t>
  </si>
  <si>
    <t>Net IRR</t>
  </si>
  <si>
    <t>Net IRR ex-facility</t>
  </si>
  <si>
    <t>PPM headline, as stated (p.2)</t>
  </si>
  <si>
    <t>PPM realized table (p.3)</t>
  </si>
  <si>
    <t>Recomputed: Fund III realized deals</t>
  </si>
  <si>
    <t>of which Bracken Fluid Systems</t>
  </si>
  <si>
    <t>Fund III realized ex-Bracken</t>
  </si>
  <si>
    <t>Fund III unrealized deals</t>
  </si>
  <si>
    <t>Fund III, all deals</t>
  </si>
  <si>
    <t>Funds I to IV, all deals (pooled)</t>
  </si>
  <si>
    <t>PPM realized (3.63x) less Fund III all deals</t>
  </si>
  <si>
    <t>PPM realized (3.63x) less Funds I to IV pooled</t>
  </si>
  <si>
    <t>Deal Cash Flows (input)</t>
  </si>
  <si>
    <t>US$ millions. Gross investment cash flows by deal: investments negative, realizations and June 30, 2026 fair value positive. Source: Track Record Workbook, Deal Cash Flows tab (rows mirror the source rows).</t>
  </si>
  <si>
    <t>Fund</t>
  </si>
  <si>
    <t>Date</t>
  </si>
  <si>
    <t>Type</t>
  </si>
  <si>
    <t>Amount</t>
  </si>
  <si>
    <t>Fund III realized (PPM set)</t>
  </si>
  <si>
    <t>Fund III unrealized</t>
  </si>
  <si>
    <t>Source cell</t>
  </si>
  <si>
    <t>Ashby Commercial Cleaning</t>
  </si>
  <si>
    <t>Investment</t>
  </si>
  <si>
    <t>Deal Cash Flows!A5:E5</t>
  </si>
  <si>
    <t>Realization</t>
  </si>
  <si>
    <t>Deal Cash Flows!A6:E6</t>
  </si>
  <si>
    <t>Penrose Valve</t>
  </si>
  <si>
    <t>Deal Cash Flows!A7:E7</t>
  </si>
  <si>
    <t>Deal Cash Flows!A8:E8</t>
  </si>
  <si>
    <t>Tolland Route Services</t>
  </si>
  <si>
    <t>Deal Cash Flows!A9:E9</t>
  </si>
  <si>
    <t>Deal Cash Flows!A10:E10</t>
  </si>
  <si>
    <t>Brisco Metal Finishing</t>
  </si>
  <si>
    <t>Deal Cash Flows!A11:E11</t>
  </si>
  <si>
    <t>Deal Cash Flows!A12:E12</t>
  </si>
  <si>
    <t>Hartigan Records Management</t>
  </si>
  <si>
    <t>Deal Cash Flows!A13:E13</t>
  </si>
  <si>
    <t>Deal Cash Flows!A14:E14</t>
  </si>
  <si>
    <t>Wexcombe Signal</t>
  </si>
  <si>
    <t>Deal Cash Flows!A15:E15</t>
  </si>
  <si>
    <t>Deal Cash Flows!A16:E16</t>
  </si>
  <si>
    <t>Dunmore Freight Audit</t>
  </si>
  <si>
    <t>Deal Cash Flows!A17:E17</t>
  </si>
  <si>
    <t>Deal Cash Flows!A18:E18</t>
  </si>
  <si>
    <t>Coldharbor Plastics</t>
  </si>
  <si>
    <t>Deal Cash Flows!A19:E19</t>
  </si>
  <si>
    <t>Deal Cash Flows!A20:E20</t>
  </si>
  <si>
    <t>Merrion Lab Services</t>
  </si>
  <si>
    <t>Deal Cash Flows!A21:E21</t>
  </si>
  <si>
    <t>Deal Cash Flows!A22:E22</t>
  </si>
  <si>
    <t>Glenrock Packaging</t>
  </si>
  <si>
    <t>Deal Cash Flows!A23:E23</t>
  </si>
  <si>
    <t>Deal Cash Flows!A24:E24</t>
  </si>
  <si>
    <t>Sutter Field Services</t>
  </si>
  <si>
    <t>Deal Cash Flows!A25:E25</t>
  </si>
  <si>
    <t>Deal Cash Flows!A26:E26</t>
  </si>
  <si>
    <t>Ravelston Data</t>
  </si>
  <si>
    <t>Deal Cash Flows!A27:E27</t>
  </si>
  <si>
    <t>Deal Cash Flows!A28:E28</t>
  </si>
  <si>
    <t>Brennan Print Group</t>
  </si>
  <si>
    <t>Deal Cash Flows!A29:E29</t>
  </si>
  <si>
    <t>Deal Cash Flows!A30:E30</t>
  </si>
  <si>
    <t>Pemberton Controls</t>
  </si>
  <si>
    <t>Deal Cash Flows!A31:E31</t>
  </si>
  <si>
    <t>Deal Cash Flows!A32:E32</t>
  </si>
  <si>
    <t>Larchmont Compliance</t>
  </si>
  <si>
    <t>Deal Cash Flows!A33:E33</t>
  </si>
  <si>
    <t>Deal Cash Flows!A34:E34</t>
  </si>
  <si>
    <t>Hollis Building Services</t>
  </si>
  <si>
    <t>Deal Cash Flows!A35:E35</t>
  </si>
  <si>
    <t>Deal Cash Flows!A36:E36</t>
  </si>
  <si>
    <t>Otterburn Specialty Chemicals</t>
  </si>
  <si>
    <t>Deal Cash Flows!A37:E37</t>
  </si>
  <si>
    <t>Deal Cash Flows!A38:E38</t>
  </si>
  <si>
    <t>Wycliffe Home Health</t>
  </si>
  <si>
    <t>Deal Cash Flows!A39:E39</t>
  </si>
  <si>
    <t>Unrealized value (fair value)</t>
  </si>
  <si>
    <t>Deal Cash Flows!A40:E40</t>
  </si>
  <si>
    <t>Deal Cash Flows!A41:E41</t>
  </si>
  <si>
    <t>Deal Cash Flows!A42:E42</t>
  </si>
  <si>
    <t>Deal Cash Flows!A43:E43</t>
  </si>
  <si>
    <t>Deal Cash Flows!A44:E44</t>
  </si>
  <si>
    <t>Deal Cash Flows!A45:E45</t>
  </si>
  <si>
    <t>Deal Cash Flows!A46:E46</t>
  </si>
  <si>
    <t>Deal Cash Flows!A47:E47</t>
  </si>
  <si>
    <t>Deal Cash Flows!A48:E48</t>
  </si>
  <si>
    <t>Deal Cash Flows!A49:E49</t>
  </si>
  <si>
    <t>Deal Cash Flows!A50:E50</t>
  </si>
  <si>
    <t>Deal Cash Flows!A51:E51</t>
  </si>
  <si>
    <t>Deal Cash Flows!A52:E52</t>
  </si>
  <si>
    <t>Deal Cash Flows!A53:E53</t>
  </si>
  <si>
    <t>Deal Cash Flows!A54:E54</t>
  </si>
  <si>
    <t>Deal Cash Flows!A55:E55</t>
  </si>
  <si>
    <t>Deal Cash Flows!A56:E56</t>
  </si>
  <si>
    <t>Deal Cash Flows!A57:E57</t>
  </si>
  <si>
    <t>Deal Cash Flows!A58:E58</t>
  </si>
  <si>
    <t>Deal Cash Flows!A59:E59</t>
  </si>
  <si>
    <t>Deal Cash Flows!A60:E60</t>
  </si>
  <si>
    <t>Deal Cash Flows!A61:E61</t>
  </si>
  <si>
    <t>Deal Cash Flows!A62:E62</t>
  </si>
  <si>
    <t>Pellston Software Services</t>
  </si>
  <si>
    <t>Deal Cash Flows!A63:E63</t>
  </si>
  <si>
    <t>Deal Cash Flows!A64:E64</t>
  </si>
  <si>
    <t>Avery Road Testing</t>
  </si>
  <si>
    <t>Deal Cash Flows!A65:E65</t>
  </si>
  <si>
    <t>Partial realization</t>
  </si>
  <si>
    <t>Deal Cash Flows!A66:E66</t>
  </si>
  <si>
    <t>Deal Cash Flows!A67:E67</t>
  </si>
  <si>
    <t>Kittredge Building Products</t>
  </si>
  <si>
    <t>Deal Cash Flows!A68:E68</t>
  </si>
  <si>
    <t>Deal Cash Flows!A69:E69</t>
  </si>
  <si>
    <t>Sable Point Healthcare Billing</t>
  </si>
  <si>
    <t>Deal Cash Flows!A70:E70</t>
  </si>
  <si>
    <t>Deal Cash Flows!A71:E71</t>
  </si>
  <si>
    <t>Norwood Fleet Services</t>
  </si>
  <si>
    <t>Deal Cash Flows!A72:E72</t>
  </si>
  <si>
    <t>Deal Cash Flows!A73:E73</t>
  </si>
  <si>
    <t>Calder Industrial Controls</t>
  </si>
  <si>
    <t>Deal Cash Flows!A74:E74</t>
  </si>
  <si>
    <t>Deal Cash Flows!A75:E75</t>
  </si>
  <si>
    <t>Esmond Insurance Services</t>
  </si>
  <si>
    <t>Deal Cash Flows!A76:E76</t>
  </si>
  <si>
    <t>Deal Cash Flows!A77:E77</t>
  </si>
  <si>
    <t>Highmoor Cold Chain</t>
  </si>
  <si>
    <t>Deal Cash Flows!A78:E78</t>
  </si>
  <si>
    <t>Deal Cash Flows!A79:E79</t>
  </si>
  <si>
    <t>Graywell Learning</t>
  </si>
  <si>
    <t>Deal Cash Flows!A80:E80</t>
  </si>
  <si>
    <t>Deal Cash Flows!A81:E81</t>
  </si>
  <si>
    <t>LP Cash Flows (input)</t>
  </si>
  <si>
    <t>US$ millions. Aggregate limited partners: contributions negative, distributions positive, NAV at June 30, 2026 after accrued carry. Source: Track Record Workbook, LP Cash Flows tab. Columns G to Q compute the ex-facility (ILPA) and index-adjusted (PME) flows.</t>
  </si>
  <si>
    <t>Type of flow</t>
  </si>
  <si>
    <t>Description</t>
  </si>
  <si>
    <t>LP amount</t>
  </si>
  <si>
    <t>Facility repayment (1 = yes)</t>
  </si>
  <si>
    <t>Facility draw date</t>
  </si>
  <si>
    <t>Amount drawn</t>
  </si>
  <si>
    <t>Facility interest</t>
  </si>
  <si>
    <t>Date ex-facility</t>
  </si>
  <si>
    <t>Amount ex-facility</t>
  </si>
  <si>
    <t>Alt: call less interest</t>
  </si>
  <si>
    <t>Month end</t>
  </si>
  <si>
    <t>R2K TR level</t>
  </si>
  <si>
    <t>Index factor to Jun-26</t>
  </si>
  <si>
    <t>Index-adjusted amount</t>
  </si>
  <si>
    <t>Capital call</t>
  </si>
  <si>
    <t>Investments, management fee and fund expenses</t>
  </si>
  <si>
    <t>LP Cash Flows!A5:E5</t>
  </si>
  <si>
    <t>LP Cash Flows!A6:E6</t>
  </si>
  <si>
    <t>LP Cash Flows!A7:E7</t>
  </si>
  <si>
    <t>LP Cash Flows!A8:E8</t>
  </si>
  <si>
    <t>LP Cash Flows!A9:E9</t>
  </si>
  <si>
    <t>LP Cash Flows!A10:E10</t>
  </si>
  <si>
    <t>LP Cash Flows!A11:E11</t>
  </si>
  <si>
    <t>LP Cash Flows!A12:E12</t>
  </si>
  <si>
    <t>LP Cash Flows!A13:E13</t>
  </si>
  <si>
    <t>LP Cash Flows!A14:E14</t>
  </si>
  <si>
    <t>LP Cash Flows!A15:E15</t>
  </si>
  <si>
    <t>LP Cash Flows!A16:E16</t>
  </si>
  <si>
    <t>LP Cash Flows!A17:E17</t>
  </si>
  <si>
    <t>LP Cash Flows!A18:E18</t>
  </si>
  <si>
    <t>LP Cash Flows!A19:E19</t>
  </si>
  <si>
    <t>LP Cash Flows!A20:E20</t>
  </si>
  <si>
    <t>Cash distribution</t>
  </si>
  <si>
    <t>Realization proceeds, net of fees and expenses withheld</t>
  </si>
  <si>
    <t>LP Cash Flows!A21:E21</t>
  </si>
  <si>
    <t>LP Cash Flows!A22:E22</t>
  </si>
  <si>
    <t>LP Cash Flows!A23:E23</t>
  </si>
  <si>
    <t>LP Cash Flows!A24:E24</t>
  </si>
  <si>
    <t>LP Cash Flows!A25:E25</t>
  </si>
  <si>
    <t>LP Cash Flows!A26:E26</t>
  </si>
  <si>
    <t>LP Cash Flows!A27:E27</t>
  </si>
  <si>
    <t>LP Cash Flows!A28:E28</t>
  </si>
  <si>
    <t>NAV</t>
  </si>
  <si>
    <t>Net asset value after accrued carried interest</t>
  </si>
  <si>
    <t>LP Cash Flows!A29:E29</t>
  </si>
  <si>
    <t>LP Cash Flows!A31:E31</t>
  </si>
  <si>
    <t>LP Cash Flows!A32:E32</t>
  </si>
  <si>
    <t>LP Cash Flows!A33:E33</t>
  </si>
  <si>
    <t>LP Cash Flows!A34:E34</t>
  </si>
  <si>
    <t>LP Cash Flows!A35:E35</t>
  </si>
  <si>
    <t>LP Cash Flows!A36:E36</t>
  </si>
  <si>
    <t>LP Cash Flows!A37:E37</t>
  </si>
  <si>
    <t>LP Cash Flows!A38:E38</t>
  </si>
  <si>
    <t>LP Cash Flows!A39:E39</t>
  </si>
  <si>
    <t>LP Cash Flows!A40:E40</t>
  </si>
  <si>
    <t>LP Cash Flows!A41:E41</t>
  </si>
  <si>
    <t>LP Cash Flows!A42:E42</t>
  </si>
  <si>
    <t>LP Cash Flows!A43:E43</t>
  </si>
  <si>
    <t>LP Cash Flows!A44:E44</t>
  </si>
  <si>
    <t>LP Cash Flows!A45:E45</t>
  </si>
  <si>
    <t>LP Cash Flows!A46:E46</t>
  </si>
  <si>
    <t>LP Cash Flows!A47:E47</t>
  </si>
  <si>
    <t>LP Cash Flows!A48:E48</t>
  </si>
  <si>
    <t>LP Cash Flows!A49:E49</t>
  </si>
  <si>
    <t>LP Cash Flows!A50:E50</t>
  </si>
  <si>
    <t>LP Cash Flows!A51:E51</t>
  </si>
  <si>
    <t>LP Cash Flows!A52:E52</t>
  </si>
  <si>
    <t>LP Cash Flows!A53:E53</t>
  </si>
  <si>
    <t>LP Cash Flows!A54:E54</t>
  </si>
  <si>
    <t>LP Cash Flows!A55:E55</t>
  </si>
  <si>
    <t>Management fee and fund expenses</t>
  </si>
  <si>
    <t>LP Cash Flows!A57:E57</t>
  </si>
  <si>
    <t>LP Cash Flows!A58:E58</t>
  </si>
  <si>
    <t>Repayment of subscription facility (investments, fees and expenses)</t>
  </si>
  <si>
    <t>LP Cash Flows!A59:E59</t>
  </si>
  <si>
    <t>LP Cash Flows!A60:E60</t>
  </si>
  <si>
    <t>LP Cash Flows!A61:E61</t>
  </si>
  <si>
    <t>LP Cash Flows!A62:E62</t>
  </si>
  <si>
    <t>LP Cash Flows!A63:E63</t>
  </si>
  <si>
    <t>LP Cash Flows!A64:E64</t>
  </si>
  <si>
    <t>LP Cash Flows!A65:E65</t>
  </si>
  <si>
    <t>LP Cash Flows!A66:E66</t>
  </si>
  <si>
    <t>LP Cash Flows!A67:E67</t>
  </si>
  <si>
    <t>LP Cash Flows!A68:E68</t>
  </si>
  <si>
    <t>LP Cash Flows!A69:E69</t>
  </si>
  <si>
    <t>LP Cash Flows!A70:E70</t>
  </si>
  <si>
    <t>LP Cash Flows!A71:E71</t>
  </si>
  <si>
    <t>LP Cash Flows!A72:E72</t>
  </si>
  <si>
    <t>LP Cash Flows!A73:E73</t>
  </si>
  <si>
    <t>LP Cash Flows!A74:E74</t>
  </si>
  <si>
    <t>LP Cash Flows!A75:E75</t>
  </si>
  <si>
    <t>LP Cash Flows!A76:E76</t>
  </si>
  <si>
    <t>LP Cash Flows!A77:E77</t>
  </si>
  <si>
    <t>LP Cash Flows!A78:E78</t>
  </si>
  <si>
    <t>LP Cash Flows!A79:E79</t>
  </si>
  <si>
    <t>LP Cash Flows!A80:E80</t>
  </si>
  <si>
    <t>LP Cash Flows!A81:E81</t>
  </si>
  <si>
    <t>LP Cash Flows!A82:E82</t>
  </si>
  <si>
    <t>LP Cash Flows!A83:E83</t>
  </si>
  <si>
    <t>LP Cash Flows!A84:E84</t>
  </si>
  <si>
    <t>LP Cash Flows!A85:E85</t>
  </si>
  <si>
    <t>LP Cash Flows!A86:E86</t>
  </si>
  <si>
    <t>LP Cash Flows!A87:E87</t>
  </si>
  <si>
    <t>LP Cash Flows!A88:E88</t>
  </si>
  <si>
    <t>LP Cash Flows!A89:E89</t>
  </si>
  <si>
    <t>LP Cash Flows!A91:E91</t>
  </si>
  <si>
    <t>LP Cash Flows!A92:E92</t>
  </si>
  <si>
    <t>LP Cash Flows!A93:E93</t>
  </si>
  <si>
    <t>LP Cash Flows!A94:E94</t>
  </si>
  <si>
    <t>LP Cash Flows!A95:E95</t>
  </si>
  <si>
    <t>LP Cash Flows!A96:E96</t>
  </si>
  <si>
    <t>LP Cash Flows!A97:E97</t>
  </si>
  <si>
    <t>LP Cash Flows!A98:E98</t>
  </si>
  <si>
    <t>LP Cash Flows!A99:E99</t>
  </si>
  <si>
    <t>LP Cash Flows!A100:E100</t>
  </si>
  <si>
    <t>LP Cash Flows!A101:E101</t>
  </si>
  <si>
    <t>LP Cash Flows!A102:E102</t>
  </si>
  <si>
    <t>LP Cash Flows!A103:E103</t>
  </si>
  <si>
    <t>LP Cash Flows!A104:E104</t>
  </si>
  <si>
    <t>LP Cash Flows!A105:E105</t>
  </si>
  <si>
    <t>LP Cash Flows!A106:E106</t>
  </si>
  <si>
    <t>LP Cash Flows!A107:E107</t>
  </si>
  <si>
    <t>LP Cash Flows!A108:E108</t>
  </si>
  <si>
    <t>LP Cash Flows!A109:E109</t>
  </si>
  <si>
    <t>LP Cash Flows!A110:E110</t>
  </si>
  <si>
    <t>Credit Facility (input)</t>
  </si>
  <si>
    <t>US$ millions. Subscription facility draws and repayments, Funds III and IV. Source: Track Record Workbook, Credit Facility tab. Column J computes the balance outstanding after each draw.</t>
  </si>
  <si>
    <t>Draw date</t>
  </si>
  <si>
    <t>Use of proceeds</t>
  </si>
  <si>
    <t>Repaid (capital call date)</t>
  </si>
  <si>
    <t>Days outstanding</t>
  </si>
  <si>
    <t>Interest paid</t>
  </si>
  <si>
    <t>Interest rate</t>
  </si>
  <si>
    <t>Balance after draw</t>
  </si>
  <si>
    <t>Credit Facility!A5:H5</t>
  </si>
  <si>
    <t>Credit Facility!A6:H6</t>
  </si>
  <si>
    <t>Credit Facility!A7:H7</t>
  </si>
  <si>
    <t>Credit Facility!A8:H8</t>
  </si>
  <si>
    <t>Credit Facility!A9:H9</t>
  </si>
  <si>
    <t>Credit Facility!A10:H10</t>
  </si>
  <si>
    <t>Credit Facility!A11:H11</t>
  </si>
  <si>
    <t>Credit Facility!A12:H12</t>
  </si>
  <si>
    <t>Credit Facility!A13:H13</t>
  </si>
  <si>
    <t>Credit Facility!A14:H14</t>
  </si>
  <si>
    <t>Credit Facility!A15:H15</t>
  </si>
  <si>
    <t>Credit Facility!A17:H17</t>
  </si>
  <si>
    <t>Investment, management fee and fund expenses</t>
  </si>
  <si>
    <t>Credit Facility!A18:H18</t>
  </si>
  <si>
    <t>Credit Facility!A19:H19</t>
  </si>
  <si>
    <t>Credit Facility!A20:H20</t>
  </si>
  <si>
    <t>Credit Facility!A21:H21</t>
  </si>
  <si>
    <t>Credit Facility!A22:H22</t>
  </si>
  <si>
    <t>Credit Facility!A23:H23</t>
  </si>
  <si>
    <t>Credit Facility!A24:H24</t>
  </si>
  <si>
    <t>Credit Facility!A25:H25</t>
  </si>
  <si>
    <t>Credit Facility!A26:H26</t>
  </si>
  <si>
    <t>Credit Facility!A27:H27</t>
  </si>
  <si>
    <t>Credit Facility!A28:H28</t>
  </si>
  <si>
    <t>Credit Facility!A29:H29</t>
  </si>
  <si>
    <t>Credit Facility!A30:H30</t>
  </si>
  <si>
    <t>Credit Facility!A31:H31</t>
  </si>
  <si>
    <t>Credit Facility!A32:H32</t>
  </si>
  <si>
    <t>Credit Facility!A33:H33</t>
  </si>
  <si>
    <t>Credit Facility!A34:H34</t>
  </si>
  <si>
    <t>Outstanding</t>
  </si>
  <si>
    <t>Credit Facility!A35:H35</t>
  </si>
  <si>
    <t>Credit Facility!A36:H36</t>
  </si>
  <si>
    <t>Credit Facility!A37:H37</t>
  </si>
  <si>
    <t>Credit Facility!A38:H38</t>
  </si>
  <si>
    <t>Russell 2000 Total Return Index (input)</t>
  </si>
  <si>
    <t>Month-end closing levels of the Russell 2000 Total Return index (Yahoo Finance symbol ^RUTTR), June 2010 to June 2026, from Yahoo Finance monthly history saved at seo/fund-due-diligence/Market data/Russell 2000 Total Return (RUTTR) monthly - Yahoo Finance.json.</t>
  </si>
  <si>
    <t>Index level</t>
  </si>
  <si>
    <t>Valuation date</t>
  </si>
  <si>
    <t>Deal MOIC Dispersion and Loss Ratio</t>
  </si>
  <si>
    <t>US$ millions, gross, as of June 30, 2026. Unrealized deals at their June 30, 2026 marks. Buckets include the lower bound and exclude the upper bound (a 2.00x deal sits in 2.0x to 3.0x).</t>
  </si>
  <si>
    <t>From (x)</t>
  </si>
  <si>
    <t>To (x)</t>
  </si>
  <si>
    <t>Total</t>
  </si>
  <si>
    <t>PORTFOLIO</t>
  </si>
  <si>
    <t>Number of deals</t>
  </si>
  <si>
    <t>Gain / (loss)</t>
  </si>
  <si>
    <t>Gross MOIC (x)</t>
  </si>
  <si>
    <t>DEAL MOIC DISTRIBUTION: NUMBER OF DEALS</t>
  </si>
  <si>
    <t>Below 1.0x</t>
  </si>
  <si>
    <t>1.0x to 2.0x</t>
  </si>
  <si>
    <t>2.0x to 3.0x</t>
  </si>
  <si>
    <t>3.0x to 5.0x</t>
  </si>
  <si>
    <t>Above 5.0x</t>
  </si>
  <si>
    <t>Total deals</t>
  </si>
  <si>
    <t>DEAL MOIC DISTRIBUTION: INVESTED CAPITAL</t>
  </si>
  <si>
    <t>Total invested capital</t>
  </si>
  <si>
    <t>DEAL MOIC DISTRIBUTION: % OF INVESTED CAPITAL</t>
  </si>
  <si>
    <t>DEAL MOIC STATISTICS</t>
  </si>
  <si>
    <t>Median deal MOIC (x)</t>
  </si>
  <si>
    <t>Cost-weighted mean deal MOIC (x)</t>
  </si>
  <si>
    <t>Simple mean deal MOIC (x)</t>
  </si>
  <si>
    <t>Standard deviation of deal MOIC (x, sample)</t>
  </si>
  <si>
    <t>Lowest deal MOIC (x)</t>
  </si>
  <si>
    <t>Highest deal MOIC (x)</t>
  </si>
  <si>
    <t>LOSS RATIO</t>
  </si>
  <si>
    <t>Loss threshold: deals marked below (x)</t>
  </si>
  <si>
    <t>Number of deals below 1.0x</t>
  </si>
  <si>
    <t>Invested capital in deals below 1.0x</t>
  </si>
  <si>
    <t>Value of deals below 1.0x</t>
  </si>
  <si>
    <t>Capital lost (cost less value)</t>
  </si>
  <si>
    <t>Loss ratio: cost below 1.0x / invested capital (%)</t>
  </si>
  <si>
    <t>Capital loss ratio: capital lost / invested capital (%)</t>
  </si>
  <si>
    <t>Value Creation Bridge: Fund III Realized Deals</t>
  </si>
  <si>
    <t>US$ millions. Source: Track Record Workbook, Operating Metrics tab (rows 5 to 11); fund ownership treated as 100%, exit net debt includes transaction costs at exit. Each deal's equity gain = revenue growth + margin expansion + multiple expansion + net debt paydown.</t>
  </si>
  <si>
    <t>OPERATING INPUTS</t>
  </si>
  <si>
    <t>Entry</t>
  </si>
  <si>
    <t>Exit</t>
  </si>
  <si>
    <t>Revenue</t>
  </si>
  <si>
    <t>EBITDA margin</t>
  </si>
  <si>
    <t>EBITDA</t>
  </si>
  <si>
    <t>EV / EBITDA (x)</t>
  </si>
  <si>
    <t>Enterprise value</t>
  </si>
  <si>
    <t>Net debt</t>
  </si>
  <si>
    <t>Equity invested</t>
  </si>
  <si>
    <t>Net debt (incl. exit costs)</t>
  </si>
  <si>
    <t>Equity proceeds</t>
  </si>
  <si>
    <t>Operating Metrics!A5:O5</t>
  </si>
  <si>
    <t>Operating Metrics!A6:O6</t>
  </si>
  <si>
    <t>Operating Metrics!A7:O7</t>
  </si>
  <si>
    <t>Operating Metrics!A8:O8</t>
  </si>
  <si>
    <t>Operating Metrics!A9:O9</t>
  </si>
  <si>
    <t>Operating Metrics!A10:O10</t>
  </si>
  <si>
    <t>Operating Metrics!A11:O11</t>
  </si>
  <si>
    <t>EQUITY GAIN BRIDGE</t>
  </si>
  <si>
    <t>Revenue growth</t>
  </si>
  <si>
    <t>Margin expansion</t>
  </si>
  <si>
    <t>Multiple expansion</t>
  </si>
  <si>
    <t>Net debt paydown</t>
  </si>
  <si>
    <t>Total bridge</t>
  </si>
  <si>
    <t>Equity gain (proceeds less cost)</t>
  </si>
  <si>
    <t>Check: bridge less gain</t>
  </si>
  <si>
    <t>Gain per Deal Summary</t>
  </si>
  <si>
    <t>Check: vs Deal Summary</t>
  </si>
  <si>
    <t>Deal MOIC (x)</t>
  </si>
  <si>
    <t>Total: seven realized deals</t>
  </si>
  <si>
    <t>Excluding Bracken (six deals)</t>
  </si>
  <si>
    <t>Bracken Fluid Systems alone</t>
  </si>
  <si>
    <t>SHARE OF EQUITY GAIN (%)</t>
  </si>
  <si>
    <t>Bracken share of each driver (%)</t>
  </si>
  <si>
    <t>Deal Returns: Funds I to IV</t>
  </si>
  <si>
    <t>US$ millions, gross (before fees, expenses and carry), as of June 30, 2026. Unrealized deals at fair value. MOIC and IRR recomputed from the Deal Cash Flows tab and checked against the manager's reported figures.</t>
  </si>
  <si>
    <t>Sector</t>
  </si>
  <si>
    <t>Deal lead</t>
  </si>
  <si>
    <t>Realized value</t>
  </si>
  <si>
    <t>Unrealized value</t>
  </si>
  <si>
    <t>MOIC bucket</t>
  </si>
  <si>
    <t>Reported MOIC</t>
  </si>
  <si>
    <t>Reported IRR</t>
  </si>
  <si>
    <t>MOIC diff.</t>
  </si>
  <si>
    <t>IRR diff.</t>
  </si>
  <si>
    <t>Business services</t>
  </si>
  <si>
    <t>Ellis</t>
  </si>
  <si>
    <t>Deal Summary!A5:M5; Deal Cash Flows rows 5-6</t>
  </si>
  <si>
    <t>Industrial</t>
  </si>
  <si>
    <t>Okafor</t>
  </si>
  <si>
    <t>Deal Summary!A6:M6; Deal Cash Flows rows 7-8</t>
  </si>
  <si>
    <t>Deal Summary!A7:M7; Deal Cash Flows rows 9-10</t>
  </si>
  <si>
    <t>Deal Summary!A8:M8; Deal Cash Flows rows 11-12</t>
  </si>
  <si>
    <t>Deal Summary!A9:M9; Deal Cash Flows rows 13-14</t>
  </si>
  <si>
    <t>Industrial technology</t>
  </si>
  <si>
    <t>Deal Summary!A10:M10; Deal Cash Flows rows 15-16</t>
  </si>
  <si>
    <t>Deal Summary!A11:M11; Deal Cash Flows rows 17-18</t>
  </si>
  <si>
    <t>Deal Summary!A12:M12; Deal Cash Flows rows 19-20</t>
  </si>
  <si>
    <t>Testing and inspection</t>
  </si>
  <si>
    <t>Deal Summary!A13:M13; Deal Cash Flows rows 21-22</t>
  </si>
  <si>
    <t>Deal Summary!A14:M14; Deal Cash Flows rows 23-24</t>
  </si>
  <si>
    <t>Deal Summary!A15:M15; Deal Cash Flows rows 25-26</t>
  </si>
  <si>
    <t>Deal Summary!A16:M16; Deal Cash Flows rows 27-28</t>
  </si>
  <si>
    <t>Deal Summary!A17:M17; Deal Cash Flows rows 29-30</t>
  </si>
  <si>
    <t>Deal Summary!A18:M18; Deal Cash Flows rows 31-32</t>
  </si>
  <si>
    <t>Deal Summary!A19:M19; Deal Cash Flows rows 33-34</t>
  </si>
  <si>
    <t>Deal Summary!A20:M20; Deal Cash Flows rows 35-36</t>
  </si>
  <si>
    <t>Achterberg</t>
  </si>
  <si>
    <t>Deal Summary!A21:M21; Deal Cash Flows rows 37-38</t>
  </si>
  <si>
    <t>Healthcare services</t>
  </si>
  <si>
    <t>Calloway</t>
  </si>
  <si>
    <t>Deal Summary!A22:M22; Deal Cash Flows rows 39-40</t>
  </si>
  <si>
    <t>Deal Summary!A23:M23; Deal Cash Flows rows 41-42</t>
  </si>
  <si>
    <t>Deal Summary!A24:M24; Deal Cash Flows rows 43-44</t>
  </si>
  <si>
    <t>Deal Summary!A25:M25; Deal Cash Flows rows 45-46</t>
  </si>
  <si>
    <t>Deal Summary!A26:M26; Deal Cash Flows rows 47-48</t>
  </si>
  <si>
    <t>Deal Summary!A27:M27; Deal Cash Flows rows 49-50</t>
  </si>
  <si>
    <t>Deal Summary!A28:M28; Deal Cash Flows rows 51-52</t>
  </si>
  <si>
    <t>Deal Summary!A29:M29; Deal Cash Flows rows 53-54</t>
  </si>
  <si>
    <t>Deal Summary!A30:M30; Deal Cash Flows rows 55-56</t>
  </si>
  <si>
    <t>Deal Summary!A31:M31; Deal Cash Flows rows 57-58</t>
  </si>
  <si>
    <t>Software</t>
  </si>
  <si>
    <t>Deal Summary!A32:M32; Deal Cash Flows rows 59-60</t>
  </si>
  <si>
    <t>Environmental services</t>
  </si>
  <si>
    <t>Deal Summary!A33:M33; Deal Cash Flows rows 61-62</t>
  </si>
  <si>
    <t>IT services</t>
  </si>
  <si>
    <t>Deal Summary!A34:M34; Deal Cash Flows rows 63-64</t>
  </si>
  <si>
    <t>Partially realized</t>
  </si>
  <si>
    <t>Deal Summary!A35:M35; Deal Cash Flows rows 65-67</t>
  </si>
  <si>
    <t>Deal Summary!A36:M36; Deal Cash Flows rows 68-69</t>
  </si>
  <si>
    <t>Deal Summary!A37:M37; Deal Cash Flows rows 70-71</t>
  </si>
  <si>
    <t>Deal Summary!A38:M38; Deal Cash Flows rows 72-73</t>
  </si>
  <si>
    <t>Deal Summary!A39:M39; Deal Cash Flows rows 74-75</t>
  </si>
  <si>
    <t>Deal Summary!A40:M40; Deal Cash Flows rows 76-77</t>
  </si>
  <si>
    <t>Logistics</t>
  </si>
  <si>
    <t>Deal Summary!A41:M41; Deal Cash Flows rows 78-79</t>
  </si>
  <si>
    <t>Education services</t>
  </si>
  <si>
    <t>Deal Summary!A42:M42; Deal Cash Flows rows 80-81</t>
  </si>
  <si>
    <t>Total Funds I to IV</t>
  </si>
  <si>
    <t>Deal Cash Flows (source extract)</t>
  </si>
  <si>
    <t>US$ millions. Gross investment cash flows; investments negative, realizations positive; unrealized value at June 30, 2026 as terminal value. Source: Track Record Workbook (June 30, 2026), Deal Cash Flows tab.</t>
  </si>
  <si>
    <t>Deal Cash Flows!C5, E5</t>
  </si>
  <si>
    <t>Deal Cash Flows!C6, E6</t>
  </si>
  <si>
    <t>Deal Cash Flows!C7, E7</t>
  </si>
  <si>
    <t>Deal Cash Flows!C8, E8</t>
  </si>
  <si>
    <t>Deal Cash Flows!C9, E9</t>
  </si>
  <si>
    <t>Deal Cash Flows!C10, E10</t>
  </si>
  <si>
    <t>Deal Cash Flows!C11, E11</t>
  </si>
  <si>
    <t>Deal Cash Flows!C12, E12</t>
  </si>
  <si>
    <t>Deal Cash Flows!C13, E13</t>
  </si>
  <si>
    <t>Deal Cash Flows!C14, E14</t>
  </si>
  <si>
    <t>Deal Cash Flows!C15, E15</t>
  </si>
  <si>
    <t>Deal Cash Flows!C16, E16</t>
  </si>
  <si>
    <t>Deal Cash Flows!C17, E17</t>
  </si>
  <si>
    <t>Deal Cash Flows!C18, E18</t>
  </si>
  <si>
    <t>Deal Cash Flows!C19, E19</t>
  </si>
  <si>
    <t>Deal Cash Flows!C20, E20</t>
  </si>
  <si>
    <t>Deal Cash Flows!C21, E21</t>
  </si>
  <si>
    <t>Deal Cash Flows!C22, E22</t>
  </si>
  <si>
    <t>Deal Cash Flows!C23, E23</t>
  </si>
  <si>
    <t>Deal Cash Flows!C24, E24</t>
  </si>
  <si>
    <t>Deal Cash Flows!C25, E25</t>
  </si>
  <si>
    <t>Deal Cash Flows!C26, E26</t>
  </si>
  <si>
    <t>Deal Cash Flows!C27, E27</t>
  </si>
  <si>
    <t>Deal Cash Flows!C28, E28</t>
  </si>
  <si>
    <t>Deal Cash Flows!C29, E29</t>
  </si>
  <si>
    <t>Deal Cash Flows!C30, E30</t>
  </si>
  <si>
    <t>Deal Cash Flows!C31, E31</t>
  </si>
  <si>
    <t>Deal Cash Flows!C32, E32</t>
  </si>
  <si>
    <t>Deal Cash Flows!C33, E33</t>
  </si>
  <si>
    <t>Deal Cash Flows!C34, E34</t>
  </si>
  <si>
    <t>Deal Cash Flows!C35, E35</t>
  </si>
  <si>
    <t>Deal Cash Flows!C36, E36</t>
  </si>
  <si>
    <t>Deal Cash Flows!C37, E37</t>
  </si>
  <si>
    <t>Deal Cash Flows!C38, E38</t>
  </si>
  <si>
    <t>Deal Cash Flows!C39, E39</t>
  </si>
  <si>
    <t>Deal Cash Flows!C40, E40</t>
  </si>
  <si>
    <t>Deal Cash Flows!C41, E41</t>
  </si>
  <si>
    <t>Deal Cash Flows!C42, E42</t>
  </si>
  <si>
    <t>Deal Cash Flows!C43, E43</t>
  </si>
  <si>
    <t>Deal Cash Flows!C44, E44</t>
  </si>
  <si>
    <t>Deal Cash Flows!C45, E45</t>
  </si>
  <si>
    <t>Deal Cash Flows!C46, E46</t>
  </si>
  <si>
    <t>Deal Cash Flows!C47, E47</t>
  </si>
  <si>
    <t>Deal Cash Flows!C48, E48</t>
  </si>
  <si>
    <t>Deal Cash Flows!C49, E49</t>
  </si>
  <si>
    <t>Deal Cash Flows!C50, E50</t>
  </si>
  <si>
    <t>Deal Cash Flows!C51, E51</t>
  </si>
  <si>
    <t>Deal Cash Flows!C52, E52</t>
  </si>
  <si>
    <t>Deal Cash Flows!C53, E53</t>
  </si>
  <si>
    <t>Deal Cash Flows!C54, E54</t>
  </si>
  <si>
    <t>Deal Cash Flows!C55, E55</t>
  </si>
  <si>
    <t>Deal Cash Flows!C56, E56</t>
  </si>
  <si>
    <t>Deal Cash Flows!C57, E57</t>
  </si>
  <si>
    <t>Deal Cash Flows!C58, E58</t>
  </si>
  <si>
    <t>Deal Cash Flows!C59, E59</t>
  </si>
  <si>
    <t>Deal Cash Flows!C60, E60</t>
  </si>
  <si>
    <t>Deal Cash Flows!C61, E61</t>
  </si>
  <si>
    <t>Deal Cash Flows!C62, E62</t>
  </si>
  <si>
    <t>Deal Cash Flows!C63, E63</t>
  </si>
  <si>
    <t>Deal Cash Flows!C64, E64</t>
  </si>
  <si>
    <t>Deal Cash Flows!C65, E65</t>
  </si>
  <si>
    <t>Deal Cash Flows!C66, E66</t>
  </si>
  <si>
    <t>Deal Cash Flows!C67, E67</t>
  </si>
  <si>
    <t>Deal Cash Flows!C68, E68</t>
  </si>
  <si>
    <t>Deal Cash Flows!C69, E69</t>
  </si>
  <si>
    <t>Deal Cash Flows!C70, E70</t>
  </si>
  <si>
    <t>Deal Cash Flows!C71, E71</t>
  </si>
  <si>
    <t>Deal Cash Flows!C72, E72</t>
  </si>
  <si>
    <t>Deal Cash Flows!C73, E73</t>
  </si>
  <si>
    <t>Deal Cash Flows!C74, E74</t>
  </si>
  <si>
    <t>Deal Cash Flows!C75, E75</t>
  </si>
  <si>
    <t>Deal Cash Flows!C76, E76</t>
  </si>
  <si>
    <t>Deal Cash Flows!C77, E77</t>
  </si>
  <si>
    <t>Deal Cash Flows!C78, E78</t>
  </si>
  <si>
    <t>Deal Cash Flows!C79, E79</t>
  </si>
  <si>
    <t>Deal Cash Flows!C80, E80</t>
  </si>
  <si>
    <t>Deal Cash Flows!C81, E81</t>
  </si>
  <si>
    <t>Mark as Presented: Pellston Software Services, June 30, 2026</t>
  </si>
  <si>
    <t>US$ millions. The manager's Q2 2026 valuation rebuilt from its inputs and checked against the valuation memo and the track record workbook.</t>
  </si>
  <si>
    <t>RUN-RATE EBITDA BUILD AND VALUATION</t>
  </si>
  <si>
    <t>Rebuilt</t>
  </si>
  <si>
    <t>Memo (p.2)</t>
  </si>
  <si>
    <t>Track record</t>
  </si>
  <si>
    <t>Notes</t>
  </si>
  <si>
    <t>Organic LTM adjusted EBITDA</t>
  </si>
  <si>
    <t>(+) Acquired businesses, full twelve months</t>
  </si>
  <si>
    <t>LTM adjusted EBITDA, pro forma ($M)</t>
  </si>
  <si>
    <t>(+) Identified cost synergies not yet achieved</t>
  </si>
  <si>
    <t>Run-rate adjusted EBITDA ($M)</t>
  </si>
  <si>
    <t>EV / EBITDA multiple applied (x)</t>
  </si>
  <si>
    <t>Enterprise value ($M)</t>
  </si>
  <si>
    <t>(-) Net debt</t>
  </si>
  <si>
    <t>Equity value, 100% owned ($M)</t>
  </si>
  <si>
    <t>&lt;&lt; Difference column: rebuilt less memo</t>
  </si>
  <si>
    <t>MOIC (x)</t>
  </si>
  <si>
    <t>&lt;&lt; Memo rounds to 2.4x; quarterly report shows 2.42x</t>
  </si>
  <si>
    <t>PELLSTON IN FUND IV</t>
  </si>
  <si>
    <t>Q2 report</t>
  </si>
  <si>
    <t>Pellston fair value</t>
  </si>
  <si>
    <t>Fund IV portfolio fair value (unrealized value)</t>
  </si>
  <si>
    <t>Pellston % of portfolio fair value</t>
  </si>
  <si>
    <t>&lt;&lt; Quarterly report 'share of NAV' is share of portfolio fair value</t>
  </si>
  <si>
    <t>Fund IV LP NAV, after accrued carried interest</t>
  </si>
  <si>
    <t>Pellston % of LP NAV</t>
  </si>
  <si>
    <t>Pellston unrealized gain (fair value less cost)</t>
  </si>
  <si>
    <t>Fund IV cost of unrealized investments</t>
  </si>
  <si>
    <t>&lt;&lt; Invested capital less Avery cost sold (70% of $100M); 30% retained stake kept at cost</t>
  </si>
  <si>
    <t>Fund IV unrealized gain ($M)</t>
  </si>
  <si>
    <t>Pellston % of Fund IV unrealized gain</t>
  </si>
  <si>
    <t>Re-mark: Pellston at Peer Multiples</t>
  </si>
  <si>
    <t>US$ millions. LP case applies the peer median to LTM EBITDA pro forma for acquisitions; grids span the peer low to the mark. Equity value floored at zero.</t>
  </si>
  <si>
    <t>LP CASE: PEER MEDIAN ON LTM PRO FORMA EBITDA</t>
  </si>
  <si>
    <t>LP case</t>
  </si>
  <si>
    <t>Manager's mark</t>
  </si>
  <si>
    <t>Change</t>
  </si>
  <si>
    <t>EBITDA basis ($M): LTM pro forma (LP case) vs run-rate (mark)</t>
  </si>
  <si>
    <t>EV / EBITDA multiple (x): peer median vs applied</t>
  </si>
  <si>
    <t>Equity value ($M)</t>
  </si>
  <si>
    <t>Change in equity value vs mark (%)</t>
  </si>
  <si>
    <t>MULTIPLE PREMIUM IN THE MARK</t>
  </si>
  <si>
    <t>Multiple (x)</t>
  </si>
  <si>
    <t>Premium (turns)</t>
  </si>
  <si>
    <t>Premium (%)</t>
  </si>
  <si>
    <t>Multiple applied in the mark</t>
  </si>
  <si>
    <t>vs. peer median</t>
  </si>
  <si>
    <t>vs. highest peer (Peer A)</t>
  </si>
  <si>
    <t>vs. lowest peer (Peer F)</t>
  </si>
  <si>
    <t>vs. entry multiple (June 2021)</t>
  </si>
  <si>
    <t>vs. prior quarter (Q1 2026)</t>
  </si>
  <si>
    <t>Peer median per memo</t>
  </si>
  <si>
    <t>Difference vs. computed median</t>
  </si>
  <si>
    <t>EQUITY VALUE GRID ($M)</t>
  </si>
  <si>
    <t>Peer low</t>
  </si>
  <si>
    <t>Peer median</t>
  </si>
  <si>
    <t>Peer high</t>
  </si>
  <si>
    <t>Prior qtr</t>
  </si>
  <si>
    <t>Mark</t>
  </si>
  <si>
    <t>EBITDA basis</t>
  </si>
  <si>
    <t>Organic LTM (excl. acquisitions)</t>
  </si>
  <si>
    <t>LTM pro forma for acquisitions</t>
  </si>
  <si>
    <t>Run-rate with synergies</t>
  </si>
  <si>
    <t>MOIC GRID (x)</t>
  </si>
  <si>
    <t>Fund IV Impact: Manager's Mark vs. LP Case</t>
  </si>
  <si>
    <t>US$ millions. LP case re-marks Pellston only; all other holdings at the manager's values. Carry: 20% over an 8% preferred return, full catch-up, whole-of-fund.</t>
  </si>
  <si>
    <t>GROSS (INVESTMENT LEVEL)</t>
  </si>
  <si>
    <t>Reported</t>
  </si>
  <si>
    <t>Mark less reported</t>
  </si>
  <si>
    <t>Other investments at fair value</t>
  </si>
  <si>
    <t>Total value ($M)</t>
  </si>
  <si>
    <t>NET TO LIMITED PARTNERS</t>
  </si>
  <si>
    <t>LP contributions (incl. fees)</t>
  </si>
  <si>
    <t>LP NAV before accrued carried interest</t>
  </si>
  <si>
    <t>&lt;&lt; LP NAV plus accrued carry; LP case moves by the full change in Pellston value</t>
  </si>
  <si>
    <t>LP profit before carried interest</t>
  </si>
  <si>
    <t>Preferred return to clear (8% compounded from call dates)</t>
  </si>
  <si>
    <t>Accrued carried interest</t>
  </si>
  <si>
    <t>&lt;&lt; MIN(20% of profit, profit above the preferred return): full catch-up reached in both cases</t>
  </si>
  <si>
    <t>LP NAV after accrued carried interest ($M)</t>
  </si>
  <si>
    <t>&lt;&lt; Rebuilt mark ties to reported LP NAV</t>
  </si>
  <si>
    <t>Change in Pellston value</t>
  </si>
  <si>
    <t>Less: change in accrued carried interest</t>
  </si>
  <si>
    <t>Change in LP NAV ($M)</t>
  </si>
  <si>
    <t>Net TVPI (x)</t>
  </si>
  <si>
    <t>Net RVPI (x)</t>
  </si>
  <si>
    <t>Net DPI (x)</t>
  </si>
  <si>
    <t>Net IRR (%)</t>
  </si>
  <si>
    <t>&lt;&lt; XIRR on LP Cash Flows tab dates, NAV as terminal value</t>
  </si>
  <si>
    <t>FUND IV LP CASH FLOWS: NET IRR AND PREFERRED RETURN</t>
  </si>
  <si>
    <t>Years to valuation</t>
  </si>
  <si>
    <t>Compounded at 8%</t>
  </si>
  <si>
    <t>LP value needed to clear the 8% preferred return</t>
  </si>
  <si>
    <t>Less: contributions net of distributions</t>
  </si>
  <si>
    <t>Preferred return to clear ($M)</t>
  </si>
  <si>
    <t>Inputs and Sources</t>
  </si>
  <si>
    <t>US$ millions unless stated. Every input is taken from the manager's data room; source column gives file, tab and cell or page.</t>
  </si>
  <si>
    <t>Files: Valuation memo = 04 Financials/Valuation Policy and Pellston Q2 2026 Valuation Memo.pdf; Track Record Workbook = 03 Track Record/Tarnwick Track Record Workbook (June 30, 2026).xlsx; Q2 report = 04 Financials/Fund IV - Quarterly Report Q2 2026.pdf; carry = 06 Team/Team and Carry Allocation.xlsx; LPA = 01 Offering/Fund V LPA Terms Summary (Draft, September 2026).pdf.</t>
  </si>
  <si>
    <t>Input</t>
  </si>
  <si>
    <t>Value</t>
  </si>
  <si>
    <t>Unit</t>
  </si>
  <si>
    <t>Source (file, tab and cell, or page)</t>
  </si>
  <si>
    <t>PELLSTON AT ENTRY (JUNE 2021)</t>
  </si>
  <si>
    <t>Entry enterprise value</t>
  </si>
  <si>
    <t>$M</t>
  </si>
  <si>
    <t>Valuation Policy and Pellston Q2 2026 Valuation Memo.pdf, p.2 (Background)</t>
  </si>
  <si>
    <t>Entry EV / LTM adjusted EBITDA</t>
  </si>
  <si>
    <t>x</t>
  </si>
  <si>
    <t>Entry LTM adjusted EBITDA</t>
  </si>
  <si>
    <t>Entry equity invested</t>
  </si>
  <si>
    <t>Entry debt (cash at entry not disclosed)</t>
  </si>
  <si>
    <t>Four add-on acquisitions, combined price (term-loan funded)</t>
  </si>
  <si>
    <t>date</t>
  </si>
  <si>
    <t>Track Record Workbook, Deal Summary!E34</t>
  </si>
  <si>
    <t>PELLSTON Q2 2026 VALUATION MEMO</t>
  </si>
  <si>
    <t>Organic LTM adjusted EBITDA (excl. acquisitions)</t>
  </si>
  <si>
    <t>Valuation Policy and Pellston Q2 2026 Valuation Memo.pdf, p.2 (EBITDA build)</t>
  </si>
  <si>
    <t>Acquired businesses, full twelve months</t>
  </si>
  <si>
    <t>LTM adjusted EBITDA, pro forma for acquisitions (reported)</t>
  </si>
  <si>
    <t>Identified cost synergies not yet achieved</t>
  </si>
  <si>
    <t>Run-rate adjusted EBITDA (reported)</t>
  </si>
  <si>
    <t>EV / EBITDA multiple applied</t>
  </si>
  <si>
    <t>Valuation Policy and Pellston Q2 2026 Valuation Memo.pdf, p.2 (Valuation)</t>
  </si>
  <si>
    <t>Enterprise value (reported)</t>
  </si>
  <si>
    <t>Equity value, 100% Fund IV ownership (reported)</t>
  </si>
  <si>
    <t>Multiple of invested capital (reported)</t>
  </si>
  <si>
    <t>Premium to peer median stated by deal team</t>
  </si>
  <si>
    <t>Valuation Policy and Pellston Q2 2026 Valuation Memo.pdf, p.2 (Multiple)</t>
  </si>
  <si>
    <t>Prior quarter (Q1 2026) multiple</t>
  </si>
  <si>
    <t>Prior quarter (Q1 2026) run-rate EBITDA</t>
  </si>
  <si>
    <t>COMPARABLE PUBLIC COMPANIES: EV / LTM EBITDA (MEMO P.2)</t>
  </si>
  <si>
    <t>Peer A</t>
  </si>
  <si>
    <t>Valuation Policy and Pellston Q2 2026 Valuation Memo.pdf, p.2 (Comparable companies)</t>
  </si>
  <si>
    <t>Peer B</t>
  </si>
  <si>
    <t>Peer C</t>
  </si>
  <si>
    <t>Peer D</t>
  </si>
  <si>
    <t>Peer E</t>
  </si>
  <si>
    <t>Peer F</t>
  </si>
  <si>
    <t>Peer median (reported)</t>
  </si>
  <si>
    <t>CROSS-CHECK: TRACK RECORD WORKBOOK, OPERATING METRICS ROW 21</t>
  </si>
  <si>
    <t>Valuation EBITDA</t>
  </si>
  <si>
    <t>Track Record Workbook, Operating Metrics!C21</t>
  </si>
  <si>
    <t>EV / EBITDA applied</t>
  </si>
  <si>
    <t>Track Record Workbook, Operating Metrics!E21</t>
  </si>
  <si>
    <t>Track Record Workbook, Operating Metrics!F21</t>
  </si>
  <si>
    <t>Track Record Workbook, Operating Metrics!G21</t>
  </si>
  <si>
    <t>Equity value (100%)</t>
  </si>
  <si>
    <t>Track Record Workbook, Operating Metrics!H21</t>
  </si>
  <si>
    <t>Track Record Workbook, Operating Metrics!K21</t>
  </si>
  <si>
    <t>FUND IV AT JUNE 30, 2026</t>
  </si>
  <si>
    <t>Track Record Workbook, Fund Summary!F8</t>
  </si>
  <si>
    <t>Track Record Workbook, Fund Summary!G8</t>
  </si>
  <si>
    <t>Unrealized value (portfolio fair value)</t>
  </si>
  <si>
    <t>Track Record Workbook, Fund Summary!H8</t>
  </si>
  <si>
    <t>Gross MOIC (reported)</t>
  </si>
  <si>
    <t>Track Record Workbook, Fund Summary!J8</t>
  </si>
  <si>
    <t>Track Record Workbook, Fund Summary!L8</t>
  </si>
  <si>
    <t>Track Record Workbook, Fund Summary!M8</t>
  </si>
  <si>
    <t>LP NAV, after accrued carried interest</t>
  </si>
  <si>
    <t>Track Record Workbook, Fund Summary!N8</t>
  </si>
  <si>
    <t>Net TVPI (reported)</t>
  </si>
  <si>
    <t>Track Record Workbook, Fund Summary!O8</t>
  </si>
  <si>
    <t>Net RVPI (reported)</t>
  </si>
  <si>
    <t>Track Record Workbook, Fund Summary!Q8</t>
  </si>
  <si>
    <t>Net IRR (reported)</t>
  </si>
  <si>
    <t>%</t>
  </si>
  <si>
    <t>Track Record Workbook, Fund Summary!R8</t>
  </si>
  <si>
    <t>Track Record Workbook, Fund Summary!W8</t>
  </si>
  <si>
    <t>Subscription facility outstanding incl. accrued interest</t>
  </si>
  <si>
    <t>Fund IV - Quarterly Report Q2 2026.pdf, p.1 (Fund performance)</t>
  </si>
  <si>
    <t>Track Record Workbook, Deal Summary!J34</t>
  </si>
  <si>
    <t>Pellston % of NAV (reported, Q2 2026 report)</t>
  </si>
  <si>
    <t>Fund IV - Quarterly Report Q2 2026.pdf, p.1 (Schedule of investments)</t>
  </si>
  <si>
    <t>Avery Road Testing invested capital</t>
  </si>
  <si>
    <t>Track Record Workbook, Deal Summary!H35</t>
  </si>
  <si>
    <t>Avery Road Testing realized value</t>
  </si>
  <si>
    <t>Track Record Workbook, Deal Summary!I35</t>
  </si>
  <si>
    <t>Avery Road Testing stake retained</t>
  </si>
  <si>
    <t>Track Record Workbook, Operating Metrics!I22</t>
  </si>
  <si>
    <t>FUND IV CARRIED INTEREST TERMS</t>
  </si>
  <si>
    <t>Carried interest</t>
  </si>
  <si>
    <t>User instruction; Fund V LPA Terms Summary (Draft), p.1, Fund IV column</t>
  </si>
  <si>
    <t>Preferred return (compounded annually from LP call date)</t>
  </si>
  <si>
    <t>GP catch-up (whole-of-fund waterfall)</t>
  </si>
  <si>
    <t>GOVERNANCE: FUND IV CARRY ALLOCATION</t>
  </si>
  <si>
    <t>Margaret Ellis (Valuation Committee chair)</t>
  </si>
  <si>
    <t>Team and Carry Allocation.xlsx, Carry Allocation!C2</t>
  </si>
  <si>
    <t>Ruth Calloway (Pellston deal lead, committee member)</t>
  </si>
  <si>
    <t>Team and Carry Allocation.xlsx, Carry Allocation!C4</t>
  </si>
  <si>
    <t>Simon Achterberg (committee member)</t>
  </si>
  <si>
    <t>Team and Carry Allocation.xlsx, Carry Allocation!C5</t>
  </si>
  <si>
    <t>FUND IV AGGREGATE LP CASH FLOWS (CONTRIBUTIONS NEGATIVE)</t>
  </si>
  <si>
    <t>Track Record Workbook, LP Cash Flows!B91:E91</t>
  </si>
  <si>
    <t>Track Record Workbook, LP Cash Flows!B92:E92</t>
  </si>
  <si>
    <t>Track Record Workbook, LP Cash Flows!B93:E93</t>
  </si>
  <si>
    <t>Track Record Workbook, LP Cash Flows!B94:E94</t>
  </si>
  <si>
    <t>Track Record Workbook, LP Cash Flows!B95:E95</t>
  </si>
  <si>
    <t>Track Record Workbook, LP Cash Flows!B96:E96</t>
  </si>
  <si>
    <t>Track Record Workbook, LP Cash Flows!B97:E97</t>
  </si>
  <si>
    <t>Track Record Workbook, LP Cash Flows!B98:E98</t>
  </si>
  <si>
    <t>Track Record Workbook, LP Cash Flows!B99:E99</t>
  </si>
  <si>
    <t>Track Record Workbook, LP Cash Flows!B100:E100</t>
  </si>
  <si>
    <t>Track Record Workbook, LP Cash Flows!B101:E101</t>
  </si>
  <si>
    <t>Track Record Workbook, LP Cash Flows!B102:E102</t>
  </si>
  <si>
    <t>Track Record Workbook, LP Cash Flows!B103:E103</t>
  </si>
  <si>
    <t>Track Record Workbook, LP Cash Flows!B104:E104</t>
  </si>
  <si>
    <t>Track Record Workbook, LP Cash Flows!B105:E105</t>
  </si>
  <si>
    <t>Track Record Workbook, LP Cash Flows!B106:E106</t>
  </si>
  <si>
    <t>Track Record Workbook, LP Cash Flows!B107:E107</t>
  </si>
  <si>
    <t>Track Record Workbook, LP Cash Flows!B108:E108</t>
  </si>
  <si>
    <t>Track Record Workbook, LP Cash Flows!B109:E109</t>
  </si>
  <si>
    <t>NAV after accrued carried interest</t>
  </si>
  <si>
    <t>Track Record Workbook, LP Cash Flows!B110:E110</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</si>
  <si>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</si>
  <si>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</si>
  <si>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</si>
  <si>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</si>
  <si>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</si>
  <si>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</si>
  <si>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</si>
  <si>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</si>
  <si>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</si>
  <si>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</si>
  <si>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</si>
  <si>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</si>
  <si>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</si>
  <si>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</si>
  <si>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</si>
  <si>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</si>
  <si>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</si>
  <si>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</si>
  <si>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</si>
  <si>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</si>
  <si>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</si>
  <si>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</si>
  <si>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</si>
  <si>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</si>
  <si>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</si>
  <si>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</si>
  <si>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</si>
  <si>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</si>
  <si>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</si>
  <si>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</si>
  <si>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</si>
  <si>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</si>
  <si>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</si>
  <si>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</si>
  <si>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</si>
  <si>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</si>
  <si>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</si>
  <si>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</si>
  <si>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</si>
  <si>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</si>
  <si>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</si>
  <si>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</si>
  <si>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</si>
  <si>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</si>
  <si>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</si>
  <si>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</si>
  <si>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</si>
  <si>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</si>
  <si>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</si>
  <si>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</si>
  <si>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</si>
  <si>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</si>
  <si>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Fund V Terms against ILPA Principles 3.0 and Funds III and IV</t>
  </si>
  <si>
    <t>Fund V draft terms (September 2026) as stated in the LPA Terms Summary. ILPA points quoted from ILPA Principles 3.0 (June 2019) with page numbers. Assessment: In line or Below ILPA; Worse than Fund IV where Fund V's term is weaker for LPs than Fund IV's.</t>
  </si>
  <si>
    <t>Term</t>
  </si>
  <si>
    <t>Fund V (proposed)</t>
  </si>
  <si>
    <t>Fund IV (2021)</t>
  </si>
  <si>
    <t>Fund III (2017)</t>
  </si>
  <si>
    <t>ILPA Principles 3.0 (quoted)</t>
  </si>
  <si>
    <t>Assessment</t>
  </si>
  <si>
    <t>LP's ask</t>
  </si>
  <si>
    <t>ECONOMICS</t>
  </si>
  <si>
    <t>Management fee, investment period</t>
  </si>
  <si>
    <t>2.0% of commitments; investment period runs 5 years from final closing (final closing up to 15 months after first)</t>
  </si>
  <si>
    <t>2.0% of commitments; 5 years from initial closing</t>
  </si>
  <si>
    <t>“GPs managing one or more predecessor funds should consider basing the initial management fees for any follow-on fund on invested rather than committed capital.” (p. 12)
“The term of the investment period should be clearly and appropriately defined in the fund documents, to avoid ambiguities that may unnecessarily prolong the investment period and result in excessive management fees being charged to the partnership.” (p. 12)</t>
  </si>
  <si>
    <t>Worse than Fund IV</t>
  </si>
  <si>
    <t>Start the investment period, and the commitment-based fee, at initial closing as in Funds III and IV; seek a lower rate on commitments above Fund IV's $1.15B.</t>
  </si>
  <si>
    <t>LPA Terms Summary (Sep 2026), p. 1; DDQ 2.1</t>
  </si>
  <si>
    <t>Management fee step-down</t>
  </si>
  <si>
    <t>1.5% of net invested capital after the investment period</t>
  </si>
  <si>
    <t>1.75% of net invested capital</t>
  </si>
  <si>
    <t>1.5% of net invested capital</t>
  </si>
  <si>
    <t>“Following the end of the investment period, the management fee should step down to a percentage of unrealized cost.” (p. 12)</t>
  </si>
  <si>
    <t>In line</t>
  </si>
  <si>
    <t>Accept; confirm net invested capital is reduced for write-downs and realized cost.</t>
  </si>
  <si>
    <t>LPA Terms Summary (Sep 2026), p. 1</t>
  </si>
  <si>
    <t>Fee offsets</t>
  </si>
  <si>
    <t>80% of transaction, monitoring and director fees offset against the management fee</t>
  </si>
  <si>
    <t>80% offset</t>
  </si>
  <si>
    <t>“Any portfolio company fees that are charged should be 100% offset against the management fee and subject to standard disclosure.” (p. 13)</t>
  </si>
  <si>
    <t>Below ILPA</t>
  </si>
  <si>
    <t>100% offset, with annual disclosure of every fee paid by portfolio companies, including monitoring and director fees.</t>
  </si>
  <si>
    <t>LPA Terms Summary (Sep 2026), p. 1; Form ADV Part 2A Item 5</t>
  </si>
  <si>
    <t>Broken-deal expenses</t>
  </si>
  <si>
    <t>Borne by the Fund; not allocated to co-investment vehicles</t>
  </si>
  <si>
    <t>Borne by the Fund</t>
  </si>
  <si>
    <t>“To the extent that other vehicles participated in the broken deal, including but not limited to special purpose vehicles, co-investment vehicles, and parallel investment vehicles, in most cases it is appropriate to share broken deal expenses across these entities with the fund on a pro rata basis.” (p. 14)</t>
  </si>
  <si>
    <t>Co-investment and parallel vehicles bear their pro rata share. The SEC's November 2024 deficiency letter cited this practice; the Manager repaid $1.1M.</t>
  </si>
  <si>
    <t>LPA Terms Summary (Sep 2026), p. 1; ODD 4.1; Audited FS Summary, p. 2</t>
  </si>
  <si>
    <t>Preferred return</t>
  </si>
  <si>
    <t>8%, compounded annually, from the date capital is called from LPs</t>
  </si>
  <si>
    <t>8%, from LP call date</t>
  </si>
  <si>
    <t>“in cases where capital is drawn from a bridging or other short-term financing facility collateralized by uncalled LP capital commitments, the preferred return should be calculated from the date capital is at risk, i.e., the date on which the facility is drawn, rather than the date at which the capital is ultimately called from LPs.” (p. 10)</t>
  </si>
  <si>
    <t>Accrue the preferred return from the facility draw date; with 365-day borrowings the clock otherwise starts up to a year late.</t>
  </si>
  <si>
    <t>20%, 100% GP catch-up</t>
  </si>
  <si>
    <t>“To mitigate investor risks, the carried interest calculation should ideally utilize a “hard hurdle” whereby the GP’s carried interest is based only on the portion of profits that exceed the LPs’ preferred return.” (p. 10)</t>
  </si>
  <si>
    <t>Market standard; accept only with a whole-of-fund waterfall.</t>
  </si>
  <si>
    <t>Distribution waterfall</t>
  </si>
  <si>
    <t>Deal-by-deal: realized deal's cost, its pro rata share of fees and expenses and write-downs, then preferred return, catch-up, 80/20</t>
  </si>
  <si>
    <t>Whole-of-fund: all contributed capital and preferred return first</t>
  </si>
  <si>
    <t>Whole-of-fund</t>
  </si>
  <si>
    <t>“A standard all-contributions-plus-preferred-return-back-first, i.e., whole of fund, model is best practice.” (p. 10)
“return of all fees and expenses to date (as opposed to solely the pro rata fees and expenses related to any single realization)” (p. 10)
“For the purposes of a deal-by-deal waterfall, all unrealized investments should be valued at the lower of cost or market.” (p. 10)</t>
  </si>
  <si>
    <t>Whole-of-fund, as in Funds III and IV. Fallback: ILPA form of deal-by-deal (all realized cost, all fees and expenses to date, full write-downs, unrealized at lower of cost or market) with a 30% escrow.</t>
  </si>
  <si>
    <t>LPA Terms Summary (Sep 2026), p. 1; Fund III Carry tab</t>
  </si>
  <si>
    <t>Escrow / holdback of carry</t>
  </si>
  <si>
    <t>None</t>
  </si>
  <si>
    <t>Not applicable</t>
  </si>
  <si>
    <t>“Accrued carried interest should be held in escrow accounts with significant reserves (e.g., 30% of carry distributions or more) and require additional reserves to cover potential clawback liabilities.” (p. 10)</t>
  </si>
  <si>
    <t>30% of every carry distribution held in escrow, plus a 125% NAV-coverage test before release.</t>
  </si>
  <si>
    <t>Clawback</t>
  </si>
  <si>
    <t>End of the Fund's term only; capped at carry received net of taxes paid or payable</t>
  </si>
  <si>
    <t>End of term, net of taxes</t>
  </si>
  <si>
    <t>“All clawback amounts should be gross of taxes paid and paid back no later than two years following recognition of the liability.” (p. 11)
“The clawback period must extend beyond the term of the fund, including liquidation and any provision for LP giveback of distributions.” (p. 11)
“The conditions triggering interim clawbacks should be well defined in fund documents, e.g., at defined intervals and upon specific events such as key person, removal notice date or insufficient NAV coverage.” (p. 11)</t>
  </si>
  <si>
    <t>Interim clawback at key person, removal and NAV-coverage shortfall; gross of tax; survives the term; repaid within two years.</t>
  </si>
  <si>
    <t>Clawback guarantee</t>
  </si>
  <si>
    <t>None; several (not joint) obligation of the GP entity</t>
  </si>
  <si>
    <t>Several guarantees by carry recipients</t>
  </si>
  <si>
    <t>“ILPA strongly encourages joint and several liability of individual GP members as a best practice.” (p. 11)
“In cases where joint and several liability is not provided, a potential substitution would be a creditworthy guarantee of the entire clawback repayment by a substantial parent company, an individual GP member, or a subset of GP members.” (p. 11)</t>
  </si>
  <si>
    <t>Joint and several guarantee by carry recipients, or a creditworthy parent guarantee of the full clawback. Daniel Okafor held 20% of Fund IV carry and retired in 2024.</t>
  </si>
  <si>
    <t>LPA Terms Summary (Sep 2026), p. 1; Team and Carry Allocation</t>
  </si>
  <si>
    <t>GP commitment</t>
  </si>
  <si>
    <t>2% of commitments ($30M at target); up to 50% may be met by management fee waiver</t>
  </si>
  <si>
    <t>2%, in cash</t>
  </si>
  <si>
    <t>“The GP commitment should be contributed in cash as opposed to contributed through the waiver of management fees or via specialized financing facilities.” (p. 17)</t>
  </si>
  <si>
    <t>2% in cash ($30M at target). A 50% fee waiver cuts cash to $15M, below Fund IV's $23M.</t>
  </si>
  <si>
    <t>LPA Terms Summary (Sep 2026), p. 1; DDQ 10.1</t>
  </si>
  <si>
    <t>GOVERNANCE</t>
  </si>
  <si>
    <t>Key persons and key person event</t>
  </si>
  <si>
    <t>Margaret Ellis and Ruth Calloway; event only if both cease to devote substantially all business time</t>
  </si>
  <si>
    <t>Ellis, Okafor, Calloway; any two of the three</t>
  </si>
  <si>
    <t>Ellis, Okafor, Achterberg; any two of the three</t>
  </si>
  <si>
    <t>“Key persons should be the individuals that will determine the investment outcomes of the fund—not solely the founders, regardless of the title they have.” (p. 19)
“The key person should not be so broadly drafted such that departures of individuals reasonably believed to be key people would not trigger the provision.” (p. 19)</t>
  </si>
  <si>
    <t>Name all three Investment Committee members (Ellis, Calloway, Achterberg); trigger on Ellis alone or any two of the three.</t>
  </si>
  <si>
    <t>LPA Terms Summary (Sep 2026), p. 1; DDQ 3.2, 8.1</t>
  </si>
  <si>
    <t>Key person consequence</t>
  </si>
  <si>
    <t>Investment period suspended unless 75% in interest vote to continue within 120 days</t>
  </si>
  <si>
    <t>Automatic suspension; two-thirds to reinstate</t>
  </si>
  <si>
    <t>“should result in an automatic suspension of the investment period, to become permanent within 180 days, unless and until a defined super majority of LPs affirmatively vote to reinstate.” (p. 19)</t>
  </si>
  <si>
    <t>Automatic suspension on the event, permanent after 180 days unless two-thirds vote to reinstate; no new deals, recycling or facility draws while suspended.</t>
  </si>
  <si>
    <t>No-fault suspension of investment period</t>
  </si>
  <si>
    <t>75% in interest</t>
  </si>
  <si>
    <t>Two-thirds in interest</t>
  </si>
  <si>
    <t>“A simple majority in interest of the LPs should have the ability to elect to effectuate an early termination or suspension of the commitment period or the investment period without cause.” (p. 23)</t>
  </si>
  <si>
    <t>Simple majority in interest (ILPA); at minimum, two-thirds as in Fund IV.</t>
  </si>
  <si>
    <t>No-fault GP removal</t>
  </si>
  <si>
    <t>80% in interest, only after the second anniversary of final closing</t>
  </si>
  <si>
    <t>“A super majority, i.e., a vote of two-thirds in interest of LPs, should be sufficient for the no fault removal of the GP or dissolution of the fund.” (p. 20)</t>
  </si>
  <si>
    <t>Two-thirds in interest, available from initial closing, with a meaningful carry reduction on removal.</t>
  </si>
  <si>
    <t>Subscription facility</t>
  </si>
  <si>
    <t>Up to 25% of commitments; each borrowing outstanding up to 365 days</t>
  </si>
  <si>
    <t>Up to 40%; 365 days ($460M facility, upsized from $250M in March 2022)</t>
  </si>
  <si>
    <t>Up to 15%; 90 days</t>
  </si>
  <si>
    <t>“Such lines should be of short duration, e.g., outstanding for no more than 180 days, and limited to a maximum percentage of fund commitments, e.g., 20%.” (p. 10)</t>
  </si>
  <si>
    <t>LPA Terms Summary (Sep 2026), p. 1; Audited FS Summary, p. 3; Fund IV Q2 2026 Report, p. 2; Track Record Analysis, Sub Line; DDQ 7.9</t>
  </si>
  <si>
    <t>Recycling</t>
  </si>
  <si>
    <t>Up to 120% of commitments, through the end of the investment period</t>
  </si>
  <si>
    <t>Up to 115%</t>
  </si>
  <si>
    <t>“The amount of total distributions that are subject to recycling provisions should have either a mutually agreed cap, or a monitoring threshold such that LPs can more accurately project their cash requirements.” (p. 11)
“recycling provisions, including the classification of any unused, recallable distributions, should expire at the end of the fund’s investment period.” (p. 11)</t>
  </si>
  <si>
    <t>Cap at 115%, as in Funds III and IV; keep expiry at the end of the investment period.</t>
  </si>
  <si>
    <t>LPAC</t>
  </si>
  <si>
    <t>Members selected by the GP; approves conflicts, including GP-led secondaries</t>
  </si>
  <si>
    <t>Selected by the GP</t>
  </si>
  <si>
    <t>“the process or rationale by which GPs select LPAC members should be affirmatively and clearly disclosed to all LPs in the fund.” (p. 27)
“No GP should clear its own conflicts under any circumstances.” (p. 28)</t>
  </si>
  <si>
    <t>Disclosed selection rationale and a representative membership; in camera sessions; independent advisor at Fund expense; no deemed consent. Fund II's planned continuation vehicle goes to a GP-selected committee.</t>
  </si>
  <si>
    <t>LPA Terms Summary (Sep 2026), p. 1; PPM, p. 4</t>
  </si>
  <si>
    <t>OTHER CHANGES FROM FUND IV</t>
  </si>
  <si>
    <t>Term extensions</t>
  </si>
  <si>
    <t>10 years plus two 1-year extensions at GP discretion</t>
  </si>
  <si>
    <t>Two 1-year extensions with LPAC consent</t>
  </si>
  <si>
    <t>“Fund term extensions should first be approved by the LPAC and then proceed only with approval of a super majority of LP interests in the fund.” (p. 17)</t>
  </si>
  <si>
    <t>LPAC consent, then a super majority of LPs, as in Fund IV; no fees during extensions.</t>
  </si>
  <si>
    <t>Organizational expenses cap</t>
  </si>
  <si>
    <t>$3.0M; excess offset against the fee</t>
  </si>
  <si>
    <t>$2.0M</t>
  </si>
  <si>
    <t>$1.5M</t>
  </si>
  <si>
    <t>“Increases in organization cost caps for successor funds should not necessarily be linear with growth in fund sizes” (p. 14)</t>
  </si>
  <si>
    <t>$2.0M, as in Fund IV, unless the Manager itemizes the costs behind a 50% increase on a 30% larger fund.</t>
  </si>
  <si>
    <t>Successor fund</t>
  </si>
  <si>
    <t>Permitted once 70% of commitments invested, committed or reserved</t>
  </si>
  <si>
    <t>“must not act as a GP for a separate fund managed by the same firm with substantially equivalent investment objectives and policies until after the investment period ends, or the fund is invested, expended, committed or reserved for investments and expenses.” (p. 19)</t>
  </si>
  <si>
    <t>75%, as in Funds III and IV.</t>
  </si>
  <si>
    <t>Fund III: Deal-by-Deal vs Whole-of-Fund Carried Interest</t>
  </si>
  <si>
    <t>US$ millions. Fund III's actual realized deals and LP cash flows run through Fund V's draft deal-by-deal waterfall as written, against the whole-of-fund carry actually paid.</t>
  </si>
  <si>
    <t>KEY RESULTS</t>
  </si>
  <si>
    <t>Carry paid to the GP through March 31, 2025: deal-by-deal (Fund V as written)</t>
  </si>
  <si>
    <t>Carry paid to the GP through March 31, 2025: whole-of-fund (Fund III actual)</t>
  </si>
  <si>
    <t>Extra carry paid under deal-by-deal</t>
  </si>
  <si>
    <t>Carry paid before LPs had their capital back: deal-by-deal</t>
  </si>
  <si>
    <t>Carry paid before LPs had their capital back: whole-of-fund</t>
  </si>
  <si>
    <t>Date LPs had their capital back: deal-by-deal</t>
  </si>
  <si>
    <t>Date LPs had their capital back: whole-of-fund</t>
  </si>
  <si>
    <t>Peak excess of cumulative deal-by-deal carry over whole-of-fund</t>
  </si>
  <si>
    <t>30% escrow balance at March 31, 2025 (no releases)</t>
  </si>
  <si>
    <t>Escrow held against the carry paid before LPs had their capital back</t>
  </si>
  <si>
    <t>ASSUMPTIONS</t>
  </si>
  <si>
    <t>Preferred return (compounded annually)</t>
  </si>
  <si>
    <t>Carried interest (100% GP catch-up)</t>
  </si>
  <si>
    <t>Escrow share of carry (ILPA example)</t>
  </si>
  <si>
    <t>Day count for compounding</t>
  </si>
  <si>
    <t>LP capital to recover (all called by December 2020)</t>
  </si>
  <si>
    <t>Fund III invested capital (pro rata base)</t>
  </si>
  <si>
    <t>Write-downs of impaired investments applied at each date</t>
  </si>
  <si>
    <t>FUND III FEES AND EXPENSES BY YEAR</t>
  </si>
  <si>
    <t>Year</t>
  </si>
  <si>
    <t>Management fee (net)</t>
  </si>
  <si>
    <t>Fund expenses</t>
  </si>
  <si>
    <t>Total fees and expenses</t>
  </si>
  <si>
    <t>Accrual midpoint for preferred return</t>
  </si>
  <si>
    <t>DEAL-BY-DEAL WATERFALL ON EACH REALIZATION</t>
  </si>
  <si>
    <t>LP call date</t>
  </si>
  <si>
    <t>Realization date</t>
  </si>
  <si>
    <t>Pro rata share</t>
  </si>
  <si>
    <t>Fees and expenses to date</t>
  </si>
  <si>
    <t>Write-downs at date</t>
  </si>
  <si>
    <t>Basis returned first</t>
  </si>
  <si>
    <t>Preferred return on basis</t>
  </si>
  <si>
    <t>Distributable proceeds</t>
  </si>
  <si>
    <t>Return of basis</t>
  </si>
  <si>
    <t>Preferred return paid</t>
  </si>
  <si>
    <t>GP catch-up</t>
  </si>
  <si>
    <t>GP 20% of residual</t>
  </si>
  <si>
    <t>Carry: deal-by-deal</t>
  </si>
  <si>
    <t>Carry: whole-of-fund (actual)</t>
  </si>
  <si>
    <t>LP cumulative distributions: deal-by-deal</t>
  </si>
  <si>
    <t>LP cumulative distributions: whole-of-fund</t>
  </si>
  <si>
    <t>Carry before capital back: deal-by-deal</t>
  </si>
  <si>
    <t>Carry before capital back: whole-of-fund</t>
  </si>
  <si>
    <t>CUMULATIVE CARRY BY YEAR</t>
  </si>
  <si>
    <t>Year ended December 31</t>
  </si>
  <si>
    <t>Carry paid in year: deal-by-deal</t>
  </si>
  <si>
    <t>Carry paid in year: whole-of-fund</t>
  </si>
  <si>
    <t>Cumulative carry: deal-by-deal</t>
  </si>
  <si>
    <t>Cumulative carry: whole-of-fund</t>
  </si>
  <si>
    <t>Deal-by-deal less whole-of-fund</t>
  </si>
  <si>
    <t>30% escrow balance (no releases)</t>
  </si>
  <si>
    <t>Deal-by-deal carry released to GP after escrow</t>
  </si>
  <si>
    <t>LP capital contributed</t>
  </si>
  <si>
    <t>NOTES</t>
  </si>
  <si>
    <t>1. Deal-by-deal basis as written in the Fund V terms summary (p. 1): the realized deal's cost plus its pro rata share (cost / $655M invested) of fund fees and expenses to date and of write-downs of impaired investments; 8% compounded preferred return from the LP call date; 100% GP catch-up; then 80/20.</t>
  </si>
  <si>
    <t>2. Distributable proceeds are the LP distribution plus GP carry actually paid at each exit (proceeds net of fees and expenses withheld). LP call dates are the subscription facility repayment dates; pref on fees accrues from each year's midpoint.</t>
  </si>
  <si>
    <t>3. Historical marks for Corliss Staffing and Marlow Print Solutions are not in the data room; their June 30, 2026 write-downs ($65M) are applied at every date. This raises the LP basis, so the deal-by-deal carry shown is a floor.</t>
  </si>
  <si>
    <t>4. Whole-of-fund carry is the GP carried interest column of Fund III's LP Cash Flows. 2026 is through June 30, 2026. Escrow assumes no release before the end of the period shown.</t>
  </si>
  <si>
    <t>Source Data</t>
  </si>
  <si>
    <t>US$ millions. Extract from the Tarnwick Track Record Workbook (June 30, 2026) and the Fund V LPA Terms Summary (September 2026). Inputs only; calculations are on the analysis tabs.</t>
  </si>
  <si>
    <t>FUND III REALIZED INVESTMENTS</t>
  </si>
  <si>
    <t>LP call date (facility repaid)</t>
  </si>
  <si>
    <t>LP distribution</t>
  </si>
  <si>
    <t>GP carried interest</t>
  </si>
  <si>
    <t>Deal Summary; Credit Facility; LP Cash Flows</t>
  </si>
  <si>
    <t>Total realized</t>
  </si>
  <si>
    <t>FUND III IMPAIRED INVESTMENTS, JUNE 30, 2026</t>
  </si>
  <si>
    <t>Fair value</t>
  </si>
  <si>
    <t>Write-down</t>
  </si>
  <si>
    <t>Deal Summary; Credit Facility</t>
  </si>
  <si>
    <t>Total impaired</t>
  </si>
  <si>
    <t>FUND-LEVEL PERFORMANCE, JUNE 30, 2026</t>
  </si>
  <si>
    <t>Realized carried interest</t>
  </si>
  <si>
    <t>Fund Summary</t>
  </si>
  <si>
    <t>FEES AND EXPENSES BY FUND AND YEAR</t>
  </si>
  <si>
    <t>Management fee (gross)</t>
  </si>
  <si>
    <t>Transaction fees received</t>
  </si>
  <si>
    <t>Offset (80%)</t>
  </si>
  <si>
    <t>Fees and Expenses</t>
  </si>
  <si>
    <t>FUND V AND FUND IV TERMS (NUMERIC)</t>
  </si>
  <si>
    <t>Fund V target commitments</t>
  </si>
  <si>
    <t>LPA Terms Summary, p. 1</t>
  </si>
  <si>
    <t>Fund V hard cap</t>
  </si>
  <si>
    <t>Fund V GP commitment (% of commitments)</t>
  </si>
  <si>
    <t>Fund V GP commitment met by fee waiver (maximum)</t>
  </si>
  <si>
    <t>Fund V management fee, investment period</t>
  </si>
  <si>
    <t>Fund V fee offset</t>
  </si>
  <si>
    <t>Fund V preferred return</t>
  </si>
  <si>
    <t>Fund V carried interest</t>
  </si>
  <si>
    <t>Fund IV GP commitment (% of commitments, in cash)</t>
  </si>
  <si>
    <t>Transaction fee rate (% of equity invested)</t>
  </si>
  <si>
    <t>Track Record Workbook, Fees and Expenses (note)</t>
  </si>
  <si>
    <t>Fund IV subscription facility interest since inception</t>
  </si>
  <si>
    <t>Fund IV Quarterly Report Q2 2026, p. 2</t>
  </si>
  <si>
    <t>Fund III date of initial capital call</t>
  </si>
  <si>
    <t>Track Record Workbook, Fund Summary</t>
  </si>
  <si>
    <t>Fund IV subscription facility size (upsized from $250M in March 2022)</t>
  </si>
  <si>
    <t>Audited FS Summary, p. 3</t>
  </si>
  <si>
    <t>Fund IV LPA borrowing limit (% of commitments)</t>
  </si>
  <si>
    <t>Fund IV LPA limit (days per borrowing)</t>
  </si>
  <si>
    <t>Fund III LPA borrowing limit (% of commitments)</t>
  </si>
  <si>
    <t>Fund III LPA limit (days per borrowing)</t>
  </si>
  <si>
    <t>Fund IV peak facility balance (Dec 31, 2022)</t>
  </si>
  <si>
    <t>Track Record Analysis, Sub Line tab</t>
  </si>
  <si>
    <t>DDQ Review: ILPA DDQ 2.0 Response Cross-Checked Against the Data Room</t>
  </si>
  <si>
    <t>Tarnwick Capital Partners V, L.P. One row per DDQ section (1.0 to 20.0). Quotes are verbatim; p./row is the page of the PDF or docx, or the row of the workbook tab, and each carries its source citation.</t>
  </si>
  <si>
    <t>Sec.</t>
  </si>
  <si>
    <t>Topic</t>
  </si>
  <si>
    <t>What ILPA asks</t>
  </si>
  <si>
    <t>What Tarnwick answered (DDQ, quoted)</t>
  </si>
  <si>
    <t>DDQ p.</t>
  </si>
  <si>
    <t>Answer complete?</t>
  </si>
  <si>
    <t>Cross-check</t>
  </si>
  <si>
    <t>What other documents say (quoted)</t>
  </si>
  <si>
    <t>Source 1 (document, section)</t>
  </si>
  <si>
    <t>p./row</t>
  </si>
  <si>
    <t>Source 2 (document, section)</t>
  </si>
  <si>
    <t>LP assessment</t>
  </si>
  <si>
    <t>1.0</t>
  </si>
  <si>
    <t>Firm: General Information</t>
  </si>
  <si>
    <t>Firm name, location, founding, ownership of the management company, AUM and headcount.</t>
  </si>
  <si>
    <t>"Commitments of $2.52 billion across four funds; 31 employees, of whom 14 are investment professionals." Ownership: Ellis 70%, Calloway 15%, Achterberg 15%.</t>
  </si>
  <si>
    <t>Partial</t>
  </si>
  <si>
    <t>Consistent</t>
  </si>
  <si>
    <t>PPM IV: Funds I to IV commitments "Total 2,520". Form ADV Item 5: "Regulatory assets under management: $2.0 billion (December 31, 2025)".</t>
  </si>
  <si>
    <t>PPM Excerpt, Sec. IV Track Record</t>
  </si>
  <si>
    <t>Form ADV Part 1A, Item 5</t>
  </si>
  <si>
    <t>2.0</t>
  </si>
  <si>
    <t>Fund: General Information</t>
  </si>
  <si>
    <t>Target size, hard cap, closing timetable and GP commitment.</t>
  </si>
  <si>
    <t>"Target $1.5 billion; hard cap $1.8 billion. First closing expected in the fourth quarter of 2026; final closing within 15 months of first closing."</t>
  </si>
  <si>
    <t>Complete</t>
  </si>
  <si>
    <t>Qualified</t>
  </si>
  <si>
    <t>LPA Terms Summary: "Investment period 5 years from final closing 5 years from initial closing" (Fund V vs Fund IV).</t>
  </si>
  <si>
    <t>LPA Terms Summary, Investment period</t>
  </si>
  <si>
    <t>The investment period now runs from final closing, so first-close LPs pay 2.0% on commitments for up to 6.25 years, versus 5 years in Fund IV.</t>
  </si>
  <si>
    <t>3.0</t>
  </si>
  <si>
    <t>Succession Planning / Key Persons</t>
  </si>
  <si>
    <t>Key person events, senior team changes and the succession plan.</t>
  </si>
  <si>
    <t>"No key person event has occurred in any Tarnwick fund." Succession: "The Firm intends to promote at least one Principal to Partner during the Fund's investment period."</t>
  </si>
  <si>
    <t>LPA: "Key persons Margaret Ellis and Ruth Calloway" (Fund IV: Ellis, Okafor, Calloway); "Key person event Both key persons cease to devote substantially all business time" (Fund IV: "Any two of the three").</t>
  </si>
  <si>
    <t>LPA Terms Summary, Key persons</t>
  </si>
  <si>
    <t>LPA Terms Summary, Key person event</t>
  </si>
  <si>
    <t>The answer is accurate but the protection is weaker: Achterberg (IC member, inherited Okafor's industrial book) is not a key person, and the event needs both named partners to leave. No named successor to Ellis.</t>
  </si>
  <si>
    <t>4.0</t>
  </si>
  <si>
    <t>Investment Strategy</t>
  </si>
  <si>
    <t>Strategy, target company size, sectors, deal count and concentration limits.</t>
  </si>
  <si>
    <t>"Control buyouts of North American lower-middle and middle-market companies in business services and industrial technology", EV $75M to $400M, 12 to 15 platforms, 15% single-deal cap.</t>
  </si>
  <si>
    <t>Track Record Workbook, Deal Summary: Fund IV includes Highmoor Cold Chain (sector "Logistics", 0.60x) and Graywell Learning ("Education services", 1.12x).</t>
  </si>
  <si>
    <t>Track Record Workbook, Deal Summary tab, row 41</t>
  </si>
  <si>
    <t>Track Record Workbook, Deal Summary tab, row 42</t>
  </si>
  <si>
    <t>Fund IV's two weakest positions sit outside the two stated core sectors: a sign of style drift to test in the reference calls.</t>
  </si>
  <si>
    <t>5.0</t>
  </si>
  <si>
    <t>Co-Investments</t>
  </si>
  <si>
    <t>Co-investment allocation policy, and whether co-investors bear their share of broken-deal expenses.</t>
  </si>
  <si>
    <t>"The Firm does not maintain a written co-investment allocation policy beyond the description in Form ADV." 5.2: "Broken-deal expenses are borne by the Fund, as disclosed in the Memorandum and Form ADV."</t>
  </si>
  <si>
    <t>Incomplete</t>
  </si>
  <si>
    <t>Contradicted</t>
  </si>
  <si>
    <t>ODD 5.1: "Since January 2025, where a co-investment vehicle has been formed before a transaction is abandoned, the vehicle bears its pro rata share." LPA Fund V: "Borne by the Fund; not allocated to co-investment vehicles".</t>
  </si>
  <si>
    <t>ODD Responses, Sec. 5.1 Expense allocation</t>
  </si>
  <si>
    <t>LPA Terms Summary, Broken-deal expenses</t>
  </si>
  <si>
    <t>5.2 does not answer the question. The draft LPA re-adopts the allocation the SEC staff cited in 2024 and conflicts with the Firm's own post-2025 policy.</t>
  </si>
  <si>
    <t>6.0</t>
  </si>
  <si>
    <t>GP-Led Secondaries / Continuation Funds</t>
  </si>
  <si>
    <t>Completed or planned GP-led secondaries, process and conflict management.</t>
  </si>
  <si>
    <t>Wycliffe Home Health to a continuation vehicle in Q4 2026: "The price will be set by a lead secondary investor and supported by a fairness opinion. The Fund II advisory committee will be asked to approve the transaction."</t>
  </si>
  <si>
    <t>PPM VIII: "The General Partner will act on both sides of the transaction and will seek the approval of the Fund II advisory committee, whose members are selected by the General Partner."</t>
  </si>
  <si>
    <t>PPM Excerpt, Sec. VIII Continuation vehicle</t>
  </si>
  <si>
    <t>Track Record Workbook, Deal Summary tab, row 22</t>
  </si>
  <si>
    <t>DDQ omits that the GP sits on both sides and picks the approving LPAC. Wycliffe has been held since March 2017 at 1.25x gross (2.4% gross IRR).</t>
  </si>
  <si>
    <t>7.0</t>
  </si>
  <si>
    <t>Credit Facilities</t>
  </si>
  <si>
    <t>Subscription line policy, predecessor fund usage, and net IRR with and without the line.</t>
  </si>
  <si>
    <t>Up to 25% of commitments, 365 days. 7.9 [No]: "The Firm reports net IRR based on actual limited partner cash flows."</t>
  </si>
  <si>
    <t>Track Record Workbook, Fund Summary: Fund IV initial closing 31-Mar-21, first LP capital call 26-Mar-22. Fund IV Q2 2026 report: "Subscription facility interest 53.2" since inception.</t>
  </si>
  <si>
    <t>Track Record Workbook, Fund Summary tab, row 8</t>
  </si>
  <si>
    <t>Fund IV Quarterly Report Q2 2026, Fees and expenses</t>
  </si>
  <si>
    <t>8.0</t>
  </si>
  <si>
    <t>Investment Process</t>
  </si>
  <si>
    <t>Investment Committee composition, voting and decision process.</t>
  </si>
  <si>
    <t>"Margaret Ellis (chair), Ruth Calloway and Simon Achterberg. Approval of a new investment requires a unanimous vote."</t>
  </si>
  <si>
    <t>Valuation Policy: Valuation Committee "Members: Margaret Ellis (chair), Ruth Calloway and Simon Achterberg." PPM I: the three IC members "lead every investment."</t>
  </si>
  <si>
    <t>Valuation Policy, Governance</t>
  </si>
  <si>
    <t>PPM Excerpt, Sec. I Executive Summary</t>
  </si>
  <si>
    <t>The same three partners lead the deals, approve them and value them. No independent voice in either committee.</t>
  </si>
  <si>
    <t>9.0</t>
  </si>
  <si>
    <t>Team</t>
  </si>
  <si>
    <t>Departures of investment professionals and senior non-investment staff changes.</t>
  </si>
  <si>
    <t>"Chief Financial Officer: Laura Quint (2015 to May 2022); Peter Halloran (June 2022 to August 2025); interim CFO (Controller) September to December 2025; Anna Wexler (January 2026 to date)."</t>
  </si>
  <si>
    <t>ODD 1.2: Halloran "left for a role at a portfolio company of another sponsor. The Controller served as interim CFO until Anna Wexler joined in January 2026." ODD 1.1: "The Chief Compliance Officer role is held by the General Counsel."</t>
  </si>
  <si>
    <t>ODD Responses, Sec. 1.2 CFO turnover</t>
  </si>
  <si>
    <t>ODD Responses, Sec. 1.1 Finance and operations team</t>
  </si>
  <si>
    <t>Three CFOs and an interim in four years; Wexler has been in seat nine months. During the interim, the Controller who prepares carry and waterfall calculations was also the reviewer.</t>
  </si>
  <si>
    <t>10.0</t>
  </si>
  <si>
    <t>Alignment of Interests</t>
  </si>
  <si>
    <t>GP commitment size and funding, and carried interest allocation and vesting.</t>
  </si>
  <si>
    <t>"The commitment will be funded in cash and through a waiver of management fees." Carry: Ellis 40%, Calloway 12%, Achterberg 12%, others 36%.</t>
  </si>
  <si>
    <t>LPA: "GP commitment 2% of commitments ($30M at target); up to 50% may be satisfied by management fee waiver 2%, in cash" (Fund IV in cash).</t>
  </si>
  <si>
    <t>LPA Terms Summary, GP commitment</t>
  </si>
  <si>
    <t>Team and Carry Allocation, Carry Allocation tab, rows 2 to 6</t>
  </si>
  <si>
    <t>11.0</t>
  </si>
  <si>
    <t>Market Environment</t>
  </si>
  <si>
    <t>Current market conditions for the strategy.</t>
  </si>
  <si>
    <t>"Lower middle-market entry multiples remain 2 to 4 turns below the broader buyout market."</t>
  </si>
  <si>
    <t>Pellston memo: entry "11.0x LTM adjusted EBITDA"; mark supported by "recent private market transactions for IT services platforms at 15x to 18x run-rate EBITDA, which the deal team learned of in sale processes it participated in."</t>
  </si>
  <si>
    <t>Pellston Valuation Memo, Multiple</t>
  </si>
  <si>
    <t>Pellston Valuation Memo, Background</t>
  </si>
  <si>
    <t>The entry-discount thesis leans on exit multiple expansion; the largest Fund IV mark already assumes 5.5 turns of expansion on unnamed private comps.</t>
  </si>
  <si>
    <t>12.0</t>
  </si>
  <si>
    <t>Fund Terms</t>
  </si>
  <si>
    <t>Key economic terms and changes from the last two predecessor funds.</t>
  </si>
  <si>
    <t>Deal-by-deal waterfall and partial fee-waiver GP commitment; "Other terms are substantially unchanged from Fund IV."</t>
  </si>
  <si>
    <t>LPA: "Term 10 years, plus two 1-year extensions at GP discretion 10 years, plus two 1-year extensions with LPAC consent"; "Clawback guarantee None; several (not joint) obligation of the GP entity Several guarantees by carry recipients".</t>
  </si>
  <si>
    <t>LPA Terms Summary, Term</t>
  </si>
  <si>
    <t>LPA Terms Summary, Clawback guarantee</t>
  </si>
  <si>
    <t>At least ten terms move against LPs: extensions, clawback guarantee, no carry escrow, key person, no-fault removal (80%, after year 2), no-fault suspension (75%), recycling (120%), successor fund (70%), org cap ($3.0M), broken deal.</t>
  </si>
  <si>
    <t>13.0</t>
  </si>
  <si>
    <t>Firm Governance / Risk / Compliance</t>
  </si>
  <si>
    <t>Most recent regulatory examination; litigation or regulatory action.</t>
  </si>
  <si>
    <t>"The examination was routine and did not result in any material findings." 13.2 [No].</t>
  </si>
  <si>
    <t>ODD 4.1: "The examination resulted in a deficiency letter dated November 12, 2024, identifying that broken-deal expenses incurred from 2019 to 2023 had been allocated entirely to Funds III and IV..." Audited FS: the Manager "reimbursed limited partners of Funds III and IV $1.1 million".</t>
  </si>
  <si>
    <t>ODD Responses, Sec. 4.1 Regulatory examinations</t>
  </si>
  <si>
    <t>Audited FS Summary, Related parties note</t>
  </si>
  <si>
    <t>A deficiency letter that led to a $1.1M reimbursement is a material finding. The DDQ characterization is inaccurate and goes to disclosure credibility.</t>
  </si>
  <si>
    <t>14.0</t>
  </si>
  <si>
    <t>Track Record</t>
  </si>
  <si>
    <t>Bankruptcies, excluded investments, examples below 1.0x, benchmarks.</t>
  </si>
  <si>
    <t>14.5 lists Coldharbor, Brennan, Larchmont and "Highmoor Cold Chain (Fund IV, 0.6x at fair value)". 14.6: Fund III and IV "rank in the first quartile ... as of March 31, 2026."</t>
  </si>
  <si>
    <t>Track Record Workbook: Fund III Corliss Staffing 0.29x and Marlow Print Solutions 0.18x (unrealized). PPM: "Tarnwick net IRR as of June 30, 2026"; 2021-vintage upper-quartile TVPI 1.45x.</t>
  </si>
  <si>
    <t>Track Record Workbook, Deal Summary tab, rows 27 and 30</t>
  </si>
  <si>
    <t>PPM Excerpt, Sec. IV, footnote 4</t>
  </si>
  <si>
    <t>15.0</t>
  </si>
  <si>
    <t>Accounting / Valuation</t>
  </si>
  <si>
    <t>Fund administrator, valuation process and auditor.</t>
  </si>
  <si>
    <t>"Funds I to IV are administered in-house by the Firm's finance team. The Firm intends to appoint a third-party administrator for Fund V." Valuation by the three-partner committee; "The Firm does not use an independent valuation agent."</t>
  </si>
  <si>
    <t>Pellston memo: "The deal team applies 16.5x, a premium of 3.5 turns to the peer median of 13.0x"; run-rate EBITDA includes "Identified cost synergies not yet achieved 3.0". ODD 3.2: "the Committee changed no deal team recommendation by more than 5%."</t>
  </si>
  <si>
    <t>ODD Responses, Sec. 3.2 Changes to valuations</t>
  </si>
  <si>
    <t>16.0</t>
  </si>
  <si>
    <t>Reporting</t>
  </si>
  <si>
    <t>Investor reporting content and timing.</t>
  </si>
  <si>
    <t>"Quarterly reports within 60 days of quarter end and audited financial statements within 120 days of year end. Fund IV adopted the ILPA Reporting Template in 2026."</t>
  </si>
  <si>
    <t>LPA Fund V: "Quarterly reports in the ILPA Reporting Template; annual audited financial statements". Fund IV report: "Prepared by the General Partner. Unaudited."</t>
  </si>
  <si>
    <t>LPA Terms Summary, Reporting</t>
  </si>
  <si>
    <t>Fund IV Quarterly Report Q2 2026, header</t>
  </si>
  <si>
    <t>Consistent. Quarterly figures are GP-prepared with no administrator check until Fund V.</t>
  </si>
  <si>
    <t>17.0</t>
  </si>
  <si>
    <t>Legal</t>
  </si>
  <si>
    <t>Pending or threatened litigation.</t>
  </si>
  <si>
    <t>17.1 [No]: "None."</t>
  </si>
  <si>
    <t>No litigation found in the room. Related regulatory matter: ODD 4.1 deficiency letter of November 12, 2024 (see 13.0).</t>
  </si>
  <si>
    <t>No contradiction. Obtain a litigation representation in the side letter given the 13.0 disclosure gap.</t>
  </si>
  <si>
    <t>18.0</t>
  </si>
  <si>
    <t>Data Security / Technology / Third-Party(s)</t>
  </si>
  <si>
    <t>Cybersecurity breaches or incidents; third-party assurance.</t>
  </si>
  <si>
    <t>18.1 [No]: "The Firm has not experienced a material cybersecurity incident." 18.2: "The Firm has not obtained a SOC 1 or SOC 2 report."</t>
  </si>
  <si>
    <t>ODD 7.1: after a spoofed email, "A $2.4 million wire was released and stopped by the receiving bank before funds were credited; no loss resulted." ODD 10.1: "cyber $2 million; crime $2 million."</t>
  </si>
  <si>
    <t>ODD Responses, Sec. 7.1 Wire controls</t>
  </si>
  <si>
    <t>ODD Responses, Sec. 10.1 Insurance</t>
  </si>
  <si>
    <t>A released $2.4M fraudulent wire is an incident the [No] box should disclose. Crime and cyber cover ($2M each) are below that single attempted loss.</t>
  </si>
  <si>
    <t>19.0</t>
  </si>
  <si>
    <t>Environmental, Social and Governance</t>
  </si>
  <si>
    <t>Responsible investment policy and ESG reporting.</t>
  </si>
  <si>
    <t>"Yes. Adopted in 2022; ESG factors are assessed in due diligence and reported annually for each portfolio company."</t>
  </si>
  <si>
    <t>Not tested</t>
  </si>
  <si>
    <t>No other document in the room addresses ESG; the policy and annual portfolio ESG reports are not in the data room.</t>
  </si>
  <si>
    <t>None in data room</t>
  </si>
  <si>
    <t>Request the policy and the latest annual ESG report.</t>
  </si>
  <si>
    <t>20.0</t>
  </si>
  <si>
    <t>Diversity, Equity and Inclusion</t>
  </si>
  <si>
    <t>Firm diversity metrics (ILPA Diversity Metrics Template).</t>
  </si>
  <si>
    <t>"Provided in the ILPA Diversity Metrics Template on request." Two of three Partners and 6 of 14 investment professionals are women.</t>
  </si>
  <si>
    <t>No other document in the room gives diversity data; the template is not in the data room.</t>
  </si>
  <si>
    <t>Request the completed ILPA Diversity Metrics Template.</t>
  </si>
  <si>
    <t>Operational Red Flags</t>
  </si>
  <si>
    <t>From the ODD responses, Form ADV, audited financial statements, valuation policy and memo, team file and draft LPA terms. Sorted by severity. p./row carries the source citation.</t>
  </si>
  <si>
    <t>#</t>
  </si>
  <si>
    <t>Area</t>
  </si>
  <si>
    <t>Red flag</t>
  </si>
  <si>
    <t>Severity</t>
  </si>
  <si>
    <t>Evidence (quoted)</t>
  </si>
  <si>
    <t>Why it matters to an LP</t>
  </si>
  <si>
    <t>Ask / remediation</t>
  </si>
  <si>
    <t>Mechanism</t>
  </si>
  <si>
    <t>Source 3 (document, section)</t>
  </si>
  <si>
    <t>1</t>
  </si>
  <si>
    <t>Fund administration</t>
  </si>
  <si>
    <t>No independent administrator for Funds I to IV; Fund V administrator not yet appointed or required by the LPA</t>
  </si>
  <si>
    <t>High</t>
  </si>
  <si>
    <t>Form ADV Sched. D 7.B.(1): "Administrator: none". ODD 2.1: capital account, waterfall and carry calculations "are prepared by the Controller and reviewed by the CFO. The Firm is selecting a third-party administrator for Fund V."</t>
  </si>
  <si>
    <t>Capital accounts, NAV and carry for $2.5B of commitments are produced and checked only by the GP. With a deal-by-deal waterfall and no carry escrow in Fund V, a calculation error is paid out before anyone outside the GP sees it.</t>
  </si>
  <si>
    <t>Appoint a named, recognized third-party administrator under a signed engagement (capital accounts, waterfall, carry, cash) before first close; LPA covenant to keep one for the Fund's life; administrator transparency letter to LPs.</t>
  </si>
  <si>
    <t>Condition to closing; LPA change</t>
  </si>
  <si>
    <t>Form ADV Part 1A, Sched. D 7.B.(1)</t>
  </si>
  <si>
    <t>ODD Responses, Sec. 2.1 Administrator</t>
  </si>
  <si>
    <t>Audited FS Summary, Fund administration note</t>
  </si>
  <si>
    <t>2</t>
  </si>
  <si>
    <t>Valuation governance</t>
  </si>
  <si>
    <t>Valuation Committee is the three deal-leading partners; no independent valuation agent; deal recommendations pass unchanged</t>
  </si>
  <si>
    <t>Valuation Policy: members are Ellis, Calloway and Achterberg; "The deal team responsible for an investment prepares its valuation memorandum." ODD 3.2: "In the last eight quarters the Committee changed no deal team recommendation by more than 5%." Form ADV Item 8: "The Firm does not use an independent valuation agent."</t>
  </si>
  <si>
    <t>All holdings are Level 3. Marks drive reported track record, accrued carry ($118.7M in Fund IV) and the Fund V raise; the people who benefit from higher marks set them without challenge.</t>
  </si>
  <si>
    <t>Independent valuation firm to review all positions above 5% of NAV at least annually (positive assurance); add a non-deal, non-carry voting member (CFO or external) to the Valuation Committee; LPAC receives quarterly valuation bridges.</t>
  </si>
  <si>
    <t>LPA change; side letter</t>
  </si>
  <si>
    <t>Form ADV Part 2A, Item 8</t>
  </si>
  <si>
    <t>3</t>
  </si>
  <si>
    <t>Valuation methodology</t>
  </si>
  <si>
    <t>Policy allows run-rate EBITDA with unachieved synergies; Pellston (19% of Fund IV NAV) marked at 16.5x run-rate vs 13.0x peer median</t>
  </si>
  <si>
    <t>Policy: EBITDA "may include the acquired businesses for a full twelve months and cost synergies the deal team expects to achieve within twelve months." Memo: "The deal team applies 16.5x, a premium of 3.5 turns to the peer median of 13.0x"; Committee noted organic EBITDA "was below the $21.8 million at acquisition ... The Committee approved the valuation as proposed."</t>
  </si>
  <si>
    <t>Re-mark Pellston on LTM pro forma EBITDA excluding unachieved synergies, or obtain an independent valuation before first close; amend the policy to exclude unrealized synergies and require named comparables.</t>
  </si>
  <si>
    <t>Condition to closing; side letter</t>
  </si>
  <si>
    <t>Valuation Policy, Methodology</t>
  </si>
  <si>
    <t>Pellston Valuation Memo, Committee discussion</t>
  </si>
  <si>
    <t>4</t>
  </si>
  <si>
    <t>Regulatory history</t>
  </si>
  <si>
    <t>2024 SEC exam produced a deficiency letter and $1.1M reimbursement; DDQ calls it routine with no material findings</t>
  </si>
  <si>
    <t>ODD 4.1: "The examination resulted in a deficiency letter dated November 12, 2024..." Audited FS: the Manager "reimbursed limited partners of Funds III and IV $1.1 million for broken-deal expenses". DDQ 13.1: "The examination was routine and did not result in any material findings."</t>
  </si>
  <si>
    <t>The finding was a fee-and-expense allocation failure in the LP's disfavor, and the Firm's own DDQ understates it. It raises the bar for relying on any other unverified DDQ answer.</t>
  </si>
  <si>
    <t>Provide the deficiency letter, the January 2025 response and the reimbursement calculation; corrected DDQ 13.1 and 13.2; side letter covenant to notify LPs of any SEC exam, deficiency letter or enforcement inquiry within 10 business days.</t>
  </si>
  <si>
    <t>DDQ Response, Sec. 13.1</t>
  </si>
  <si>
    <t>5</t>
  </si>
  <si>
    <t>Expense allocation</t>
  </si>
  <si>
    <t>Draft Fund V LPA re-adopts the broken-deal allocation the SEC cited</t>
  </si>
  <si>
    <t>LPA Fund V: "Broken-deal expenses Borne by the Fund; not allocated to co-investment vehicles". ODD 5.1: since January 2025 a co-investment vehicle formed before abandonment "bears its pro rata share. Where no vehicle has been formed, the fund bears the expense." Form ADV 2A Item 5 names the conflict.</t>
  </si>
  <si>
    <t>Fund V LPs would bear 100% of dead-deal costs on transactions co-investors (including employees) would have joined. The Firm's post-exam fix covers only vehicles already formed.</t>
  </si>
  <si>
    <t>LPA change: broken-deal expenses shared pro rata with every co-investor and co-investment vehicle expected to participate, formed or not; annual expense allocation report to the LPAC.</t>
  </si>
  <si>
    <t>LPA change</t>
  </si>
  <si>
    <t>Form ADV Part 2A, Item 5</t>
  </si>
  <si>
    <t>6</t>
  </si>
  <si>
    <t>Key person and succession</t>
  </si>
  <si>
    <t>Fund V key persons cut to Ellis and Calloway, triggered only if both leave; Achterberg excluded; Ellis controls ownership, carry and both committees</t>
  </si>
  <si>
    <t>LPA: "Key persons Margaret Ellis and Ruth Calloway"; "Key person event Both key persons cease to devote substantially all business time" (Fund IV: "Any two of the three"). Team file: Ellis 40% of Fund V carry; DDQ 1.2: Ellis owns 70%.</t>
  </si>
  <si>
    <t>Ellis could leave without a key person event. Achterberg leads industrials and inherited Okafor's book, yet his departure carries no consequence. The principals joined between 2014 and 2018 and none has been made Partner.</t>
  </si>
  <si>
    <t>Key persons: Ellis, Calloway and Achterberg; event on Ellis ceasing, or any two of the three; written succession plan and principal promotion timetable.</t>
  </si>
  <si>
    <t>7</t>
  </si>
  <si>
    <t>Carry and clawback protection</t>
  </si>
  <si>
    <t>Deal-by-deal waterfall with no escrow, end-of-term clawback net of tax, and no clawback guarantee</t>
  </si>
  <si>
    <t>LPA: carry escrow "None"; "Clawback At the end of the Fund's term only; capped at carried interest received net of taxes paid or payable"; "Clawback guarantee None; several (not joint) obligation of the GP entity" (Fund IV: several guarantees by carry recipients).</t>
  </si>
  <si>
    <t>Carry is paid early on winners and recovery from the GP entity is uncertain if later deals lose. Combined with GP-set marks and no administrator, over-distribution risk sits with LPs.</t>
  </si>
  <si>
    <t>Whole-of-fund waterfall, or 30% carry escrow with interim clawback test; several guarantees from every carry recipient; clawback gross of tax or with a tax-distribution true-up.</t>
  </si>
  <si>
    <t>LPA Terms Summary, Escrow and Clawback</t>
  </si>
  <si>
    <t>8</t>
  </si>
  <si>
    <t>Co-investment allocation</t>
  </si>
  <si>
    <t>No written co-investment allocation policy or offer log; employees and some investors get better terms</t>
  </si>
  <si>
    <t>Medium</t>
  </si>
  <si>
    <t>ODD 6.1: "The Firm does not maintain a log of co-investment offers or a written allocation policy." Form ADV 2A Item 12: "The Firm's employees and certain investors may receive co-investment allocations on terms more favorable than those of the funds, including no management fee or carried interest."</t>
  </si>
  <si>
    <t>Discretionary, unlogged allocation lets favored parties take the best deals at lower cost, and cannot be audited by the LPAC or examiners.</t>
  </si>
  <si>
    <t>Written allocation policy before first close; offer log with annual LPAC reporting; side letter co-investment rights and MFN on co-investment economics.</t>
  </si>
  <si>
    <t>Side letter; condition to closing</t>
  </si>
  <si>
    <t>ODD Responses, Sec. 6.1 Co-investment</t>
  </si>
  <si>
    <t>Form ADV Part 2A, Item 12</t>
  </si>
  <si>
    <t>9</t>
  </si>
  <si>
    <t>Finance team turnover</t>
  </si>
  <si>
    <t>Three CFOs and an interim since May 2022; CCO is dual-hatted with General Counsel</t>
  </si>
  <si>
    <t>DDQ 9.2: Quint to May 2022, Halloran June 2022 to August 2025, interim (Controller) September to December 2025, Wexler from January 2026. ODD 1.1: "The Chief Compliance Officer role is held by the General Counsel." Team file: "Third CFO since 2022".</t>
  </si>
  <si>
    <t>A five-person finance team running in-house administration with no institutional continuity; the CFO has been in seat nine months, and compliance oversight lacks independence from legal.</t>
  </si>
  <si>
    <t>Reference calls with Halloran and Wexler; finance org chart and headcount plan; dedicated CCO hire within 12 months; side letter notice of any CFO, CCO or Controller departure within 10 business days.</t>
  </si>
  <si>
    <t>Side letter</t>
  </si>
  <si>
    <t>DDQ Response, Sec. 9.2</t>
  </si>
  <si>
    <t>Team and Carry Allocation, Team tab, row 10</t>
  </si>
  <si>
    <t>10</t>
  </si>
  <si>
    <t>Segregation of duties</t>
  </si>
  <si>
    <t>Controller prepares carry and waterfall calculations and acted as interim CFO (reviewer) for four months</t>
  </si>
  <si>
    <t>ODD 2.1: calculations "are prepared by the Controller and reviewed by the CFO." ODD 1.2: "The Controller served as interim CFO until Anna Wexler joined in January 2026."</t>
  </si>
  <si>
    <t>From September to December 2025 the same person prepared and reviewed capital accounts and carry, with no administrator as a backstop; Q3 2025 capital accounts were produced in that window.</t>
  </si>
  <si>
    <t>Confirm who reviewed Q3 and Q4 2025 capital accounts and carry; auditor's management letter for FY2025; shadow administration of Fund IV by the new administrator.</t>
  </si>
  <si>
    <t>Condition to closing</t>
  </si>
  <si>
    <t>11</t>
  </si>
  <si>
    <t>Cash controls</t>
  </si>
  <si>
    <t>August 2023 business email compromise: a $2.4M closing wire was released despite dual approval</t>
  </si>
  <si>
    <t>ODD 7.1: "Outgoing wires above $250,000 require two approvals in the bank portal." After a spoofed email, "A $2.4 million wire was released and stopped by the receiving bank before funds were credited; no loss resulted." ODD 2.2: calls and distributions "approved by the CFO and Margaret Ellis."</t>
  </si>
  <si>
    <t>Dual approval did not stop a fraudulent wire; recovery depended on the receiving bank. The DDQ answers [No] to incidents.</t>
  </si>
  <si>
    <t>Written wire and payment policy; incident post-mortem; independent test of call-back controls; for Fund V, administrator to verify and release all payments.</t>
  </si>
  <si>
    <t>ODD Responses, Sec. 2.2 Segregation of duties</t>
  </si>
  <si>
    <t>12</t>
  </si>
  <si>
    <t>Cybersecurity assurance</t>
  </si>
  <si>
    <t>No SOC 1 or SOC 2 for the Firm or its IT provider; cyber and crime cover of $2M each</t>
  </si>
  <si>
    <t>ODD 8.1: "No SOC 1 or SOC 2 report for the Firm or its managed service provider." ODD 10.1: "GP liability (D&amp;O/E&amp;O) $10 million; cyber $2 million; crime $2 million." DDQ 18.1: "The Firm has not experienced a material cybersecurity incident."</t>
  </si>
  <si>
    <t>LP data, bank access and wire instructions sit with an unassured outsourced provider. Insurance would not have covered the 2023 attempted loss in full.</t>
  </si>
  <si>
    <t>SOC 2 Type II for the managed service provider (or an independent cyber assessment) within 12 months; latest penetration test and remediation; raise cyber and crime cover to at least $10M each; 72-hour incident notice.</t>
  </si>
  <si>
    <t>ODD Responses, Sec. 8.1 IT environment</t>
  </si>
  <si>
    <t>DDQ Response, Sec. 18.1</t>
  </si>
  <si>
    <t>13</t>
  </si>
  <si>
    <t>Subscription line and performance reporting</t>
  </si>
  <si>
    <t>Fund IV called no LP capital for 360 days; facility also funds fees; no IRR without the line</t>
  </si>
  <si>
    <t>Track Record Workbook, Fund Summary: Fund IV initial closing 31-Mar-21, first LP call 26-Mar-22. Credit Facility tab: draws for "Management fee and fund expenses". Fund IV report: "Subscription facility interest 53.2". Fund Summary note: net IRR without the facility "is not calculated by the Firm".</t>
  </si>
  <si>
    <t>ILPA Performance Template with net IRR with and without the facility for Funds III and IV; Fund V cap of 15% of commitments and 180 days per draw; no facility use for management fees.</t>
  </si>
  <si>
    <t>Side letter; LPA change</t>
  </si>
  <si>
    <t>Track Record Workbook, Credit Facility tab, rows 17 to 38</t>
  </si>
  <si>
    <t>14</t>
  </si>
  <si>
    <t>Conflicts: continuation vehicle</t>
  </si>
  <si>
    <t>Wycliffe continuation vehicle with the GP on both sides and a GP-selected LPAC; Fund V LPAC would approve GP-led deals the same way</t>
  </si>
  <si>
    <t>PPM VIII: "The General Partner will act on both sides of the transaction and will seek the approval of the Fund II advisory committee, whose members are selected by the General Partner." LPA Fund V LPAC: "selected by the GP; approves conflicts, including GP-led secondaries".</t>
  </si>
  <si>
    <t>Pricing a 2017 asset held at 1.25x while the GP buys it into a new vehicle is a direct conflict; LPAC approval adds little if the GP picks the LPAC.</t>
  </si>
  <si>
    <t>Run the process to ILPA continuation-fund guidance (independent fairness opinion, competitive price discovery, status-quo option); LPAC seat for this LP in Fund V.</t>
  </si>
  <si>
    <t>LPA Terms Summary, LPAC</t>
  </si>
  <si>
    <t>15</t>
  </si>
  <si>
    <t>DDQ disclosure reliability</t>
  </si>
  <si>
    <t>Four DDQ answers are contradicted by the Firm's own documents (broken-deal allocation, regulatory exam, cyber incident, term changes)</t>
  </si>
  <si>
    <t>DDQ 5.2: "Broken-deal expenses are borne by the Fund, as disclosed in the Memorandum and Form ADV." vs ODD 5.1; DDQ 13.1 vs ODD 4.1; DDQ 18.1 vs ODD 7.1; DDQ 12.2 "Other terms are substantially unchanged from Fund IV" vs the LPA comparison.</t>
  </si>
  <si>
    <t>An LP relies on DDQ representations in the subscription process; repeated understatement means each remaining answer needs independent verification.</t>
  </si>
  <si>
    <t>Re-issued DDQ signed by the CCO correcting 5.2, 12.2, 13.1, 13.2, 14.5 and 18.1; side letter representation that the DDQ is accurate in all material respects.</t>
  </si>
  <si>
    <t>DDQ Response, Sec. 5.2</t>
  </si>
  <si>
    <t>DDQ Response, Sec. 12.2</t>
  </si>
  <si>
    <t>16</t>
  </si>
  <si>
    <t>Investor reporting</t>
  </si>
  <si>
    <t>Quarterly reporting is GP-prepared and unaudited, with no administrator review; ILPA reporting template adopted only in 2026</t>
  </si>
  <si>
    <t>Low</t>
  </si>
  <si>
    <t>Fund IV Q2 2026 report: "Prepared by the General Partner. Unaudited." DDQ 16.1: "Fund IV adopted the ILPA Reporting Template in 2026."</t>
  </si>
  <si>
    <t>Quarterly NAV, fee and carry figures reach LPs without independent review until Fund V has an administrator; the gap is mitigated by annual audits and the LPA's ILPA template commitment.</t>
  </si>
  <si>
    <t>Side letter: quarterly ILPA Reporting Template and fee and expense report from first close, reviewed by the administrator; annual capital account statement reconciled by the administrator.</t>
  </si>
  <si>
    <t>DDQ Response, Sec. 16.1</t>
  </si>
  <si>
    <t>Open Items for the Manager</t>
  </si>
  <si>
    <t>Numbered request list for Tarnwick Capital, grouped by workstream. Linked finding refers to the Red Flags (RF) number or DDQ Review section. Timing: Before IC, or Before closing (condition to subscription).</t>
  </si>
  <si>
    <t>Request</t>
  </si>
  <si>
    <t>Linked finding</t>
  </si>
  <si>
    <t>Timing</t>
  </si>
  <si>
    <t>REGULATORY AND COMPLIANCE</t>
  </si>
  <si>
    <t>SEC deficiency letter of November 12, 2024, the Firm's January 2025 response, and any later staff correspondence.</t>
  </si>
  <si>
    <t>RF 4; DDQ 13.0</t>
  </si>
  <si>
    <t>Before IC</t>
  </si>
  <si>
    <t>Calculation of the $1.1M reimbursement (deals, amounts, interest) and the January 2025 expense allocation policy.</t>
  </si>
  <si>
    <t>RF 4, RF 5</t>
  </si>
  <si>
    <t>Re-issued DDQ, signed by the CCO, correcting sections 5.2, 12.2, 13.1, 13.2, 14.5 and 18.1.</t>
  </si>
  <si>
    <t>RF 15</t>
  </si>
  <si>
    <t>Before closing</t>
  </si>
  <si>
    <t>Compliance manual, latest annual compliance review, and plan and timing for a dedicated CCO separate from the General Counsel.</t>
  </si>
  <si>
    <t>RF 9</t>
  </si>
  <si>
    <t>Complete current Form ADV Parts 1A (with Schedule D) and 2A.</t>
  </si>
  <si>
    <t>DDQ 13.0</t>
  </si>
  <si>
    <t>FUND ADMINISTRATION AND FINANCE</t>
  </si>
  <si>
    <t>Name of the Fund V administrator, scope (capital accounts, waterfall, carry, cash), fee and signed engagement letter; timing of shadow administration of Fund IV.</t>
  </si>
  <si>
    <t>RF 1</t>
  </si>
  <si>
    <t>Fund IV accrued carried interest calculation ($118.7M) and Fund III carry distributions 2023 to 2025, with reviewer sign-off.</t>
  </si>
  <si>
    <t>RF 1, RF 7</t>
  </si>
  <si>
    <t>Who prepared and reviewed Q3 and Q4 2025 capital accounts and carry; FY2025 auditor management letters for Funds III and IV.</t>
  </si>
  <si>
    <t>RF 10</t>
  </si>
  <si>
    <t>Finance org chart, CV and references for Anna Wexler, and the reasons for Peter Halloran's departure.</t>
  </si>
  <si>
    <t>VALUATION</t>
  </si>
  <si>
    <t>Pellston: names of the six comparable companies, the private transactions cited at 15x to 18x, and monthly organic EBITDA since acquisition.</t>
  </si>
  <si>
    <t>RF 3</t>
  </si>
  <si>
    <t>Q2 2026 valuation memos for every Fund III and Fund IV holding, including Highmoor, Corliss and Marlow.</t>
  </si>
  <si>
    <t>RF 2</t>
  </si>
  <si>
    <t>Valuation Committee minutes for the last eight quarters, including each change to a deal team recommendation.</t>
  </si>
  <si>
    <t>Willingness to engage an independent valuation firm for annual positive assurance on positions above 5% of NAV.</t>
  </si>
  <si>
    <t>TRACK RECORD AND PERFORMANCE</t>
  </si>
  <si>
    <t>Net IRR with and without the subscription facility for Funds III and IV in the ILPA Performance Template.</t>
  </si>
  <si>
    <t>RF 13; DDQ 7.0</t>
  </si>
  <si>
    <t>Benchmark provider name, with quartiles by net IRR, TVPI and DPI at the same date as Tarnwick's figures, and a PME analysis.</t>
  </si>
  <si>
    <t>DDQ 14.0</t>
  </si>
  <si>
    <t>Explanation of why Corliss Staffing (0.29x) and Marlow Print Solutions (0.18x) were left out of DDQ 14.5.</t>
  </si>
  <si>
    <t>FUND TERMS AND LEGAL</t>
  </si>
  <si>
    <t>17</t>
  </si>
  <si>
    <t>Full draft LPA, with the GP's rationale for each change from Fund IV listed in the LPA Terms Summary.</t>
  </si>
  <si>
    <t>DDQ 12.0</t>
  </si>
  <si>
    <t>18</t>
  </si>
  <si>
    <t>GP position on: key person (add Achterberg; Ellis alone triggers), carry escrow or whole-of-fund waterfall, clawback guarantees, and investment period from initial close.</t>
  </si>
  <si>
    <t>RF 6, RF 7</t>
  </si>
  <si>
    <t>19</t>
  </si>
  <si>
    <t>GP position on sharing broken-deal expenses with all expected co-investors in the LPA.</t>
  </si>
  <si>
    <t>RF 5</t>
  </si>
  <si>
    <t>20</t>
  </si>
  <si>
    <t>Written co-investment allocation policy and the log (or reconstruction) of co-investment offers made by Funds III and IV.</t>
  </si>
  <si>
    <t>RF 8</t>
  </si>
  <si>
    <t>21</t>
  </si>
  <si>
    <t>Wycliffe continuation vehicle: lead investor, fairness opinion provider, LPAC membership, price discovery process and status-quo option.</t>
  </si>
  <si>
    <t>RF 14; DDQ 6.0</t>
  </si>
  <si>
    <t>IT, CYBERSECURITY AND INSURANCE</t>
  </si>
  <si>
    <t>22</t>
  </si>
  <si>
    <t>Managed service provider name and contract, its SOC 2 report or plan to obtain one, and the 2024 to 2026 penetration test reports with remediation status.</t>
  </si>
  <si>
    <t>RF 12</t>
  </si>
  <si>
    <t>23</t>
  </si>
  <si>
    <t>Post-mortem of the August 2023 wire incident and the written wire and payment policy.</t>
  </si>
  <si>
    <t>RF 11</t>
  </si>
  <si>
    <t>24</t>
  </si>
  <si>
    <t>Insurance certificates and plan to raise cyber and crime cover above the $2.4M attempted loss.</t>
  </si>
  <si>
    <t>TEAM AND ALIGNMENT</t>
  </si>
  <si>
    <t>25</t>
  </si>
  <si>
    <t>Split of the $30M GP commitment between cash and fee waiver, and each Partner's personal commitment.</t>
  </si>
  <si>
    <t>DDQ 10.0</t>
  </si>
  <si>
    <t>26</t>
  </si>
  <si>
    <t>Carry vesting schedule, Daniel Okafor's retained Fund IV carry and terms of his senior advisor role.</t>
  </si>
  <si>
    <t>DDQ 3.0, DDQ 10.0</t>
  </si>
  <si>
    <t>27</t>
  </si>
  <si>
    <t>Written succession plan and timetable for promoting a Principal to Partner.</t>
  </si>
  <si>
    <t>RF 6</t>
  </si>
  <si>
    <t>28</t>
  </si>
  <si>
    <t>Responsible investment policy, latest annual ESG report and completed ILPA Diversity Metrics Template.</t>
  </si>
  <si>
    <t>DDQ 19.0, DDQ 20.0</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</si>
  <si>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</si>
  <si>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</si>
  <si>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</si>
  <si>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</si>
  <si>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</si>
  <si>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</si>
  <si>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</si>
  <si>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</si>
  <si>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</si>
  <si>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</si>
  <si>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</si>
  <si>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</si>
  <si>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</si>
  <si>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</si>
  <si>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</si>
  <si>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</si>
  <si>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</si>
  <si>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</si>
  <si>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</si>
  <si>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</si>
  <si>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</si>
  <si>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</si>
  <si>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</si>
  <si>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</si>
  <si>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</si>
  <si>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</si>
  <si>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</si>
  <si>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</si>
  <si>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</si>
  <si>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</si>
  <si>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</si>
  <si>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</si>
  <si>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</si>
  <si>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</si>
  <si>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</si>
  <si>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</si>
  <si>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</si>
  <si>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</si>
  <si>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</si>
  <si>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</si>
  <si>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</si>
  <si>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</si>
  <si>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</si>
  <si>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</si>
  <si>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</si>
  <si>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</si>
  <si>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</si>
  <si>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</si>
  <si>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</si>
  <si>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</si>
  <si>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</si>
  <si>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</si>
  <si>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</si>
  <si>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
  </si>
  <si>
    <t>GP commitment at target</t>
  </si>
  <si>
    <t/>
  </si>
  <si>
    <t/>
  </si>
  <si>
    <t>Fund V target size</t>
  </si>
  <si>
    <t/>
  </si>
  <si>
    <t/>
  </si>
  <si>
    <t>Tarnwick Capital Partners V, L.P.: Fund Due Diligence Summary</t>
  </si>
  <si>
    <t>LP investment committee. $1.5B target buyout fund; proposed commitment $50M, conditional. Funds I to IV as of June 30, 2026, US$ millions. Every figure links to the tabs that follow; sources are cited on those tabs.</t>
  </si>
  <si>
    <t>RECOMMENDATION</t>
  </si>
  <si>
    <t>TRACK RECORD AS THE LP SEES IT</t>
  </si>
  <si>
    <t>KEY FINDINGS</t>
  </si>
  <si>
    <t>CONDITIONS TO CLOSING</t>
  </si>
  <si>
    <t>Commit $50 million to Tarnwick Capital Partners V, conditional on the five conditions to closing below.</t>
  </si>
  <si>
    <t>Funds I to III beat the Russell 2000 and Fund III ranks first quartile on every measure, but the record leans on one exited deal led by a partner who has left, Fund IV trails the index and rests on a Pellston mark the LP case cuts by more than half, and the draft LPA moves terms against LPs. Commit below a full allocation, and only once the terms and remediation below are agreed.</t>
  </si>
  <si>
    <t>Funds I to IV, June 30, 2026</t>
  </si>
  <si>
    <t>Net IRR as reported (with subscription facility)</t>
  </si>
  <si>
    <t>Net IRR without subscription facility (ILPA method)</t>
  </si>
  <si>
    <t>Kaplan-Schoar PME vs Russell 2000 TR (x)</t>
  </si>
  <si>
    <t>Quartile, net IRR ex-facility (manager-provided breakpoints, illustrative)</t>
  </si>
  <si>
    <t>Quartile, net TVPI (manager-provided breakpoints, illustrative)</t>
  </si>
  <si>
    <t>Loss ratio: cost in deals marked below 1.0x</t>
  </si>
  <si>
    <t>Standard deviation of deal MOIC (x)</t>
  </si>
  <si>
    <t>Finding</t>
  </si>
  <si>
    <t>Fund III gross MOIC: PPM realized headline (7 deals) vs all 11 deals</t>
  </si>
  <si>
    <t>Fund III realized MOIC: with vs without Bracken (deal lead left in 2024)</t>
  </si>
  <si>
    <t>Fund IV net IRR: reported vs without the subscription facility</t>
  </si>
  <si>
    <t>Pellston equity value ($M): mark vs peer median on LTM pro forma EBITDA</t>
  </si>
  <si>
    <t>Fund IV net TVPI (x): mark vs LP case</t>
  </si>
  <si>
    <t>Fund IV net IRR: mark vs LP case</t>
  </si>
  <si>
    <t>Fund III carry paid before LPs had capital back ($M): whole-of-fund vs Fund V deal-by-deal</t>
  </si>
  <si>
    <t>Fund V terms (of 21): worse than Fund IV / below ILPA Principles 3.0</t>
  </si>
  <si>
    <t>ODD red flags: high / medium severity</t>
  </si>
  <si>
    <t>DDQ answers contradicted by the data room / open requests to manager</t>
  </si>
  <si>
    <t>LPA economics: whole-of-fund waterfall (fallback: ILPA-form deal-by-deal with 30% escrow), interim clawback gross of tax, joint and several guarantees from carry recipients, GP commitment of 2% in cash.</t>
  </si>
  <si>
    <t>LPA governance: key persons Ellis, Calloway and Achterberg (Ellis alone or any two triggers, automatic suspension); facility capped at 20% of commitments and 180 days; broken-deal costs shared with co-investors.</t>
  </si>
  <si>
    <t>Signed engagement of a named third-party administrator for Fund V before first close, with shadow administration of Fund IV.</t>
  </si>
  <si>
    <t>Independent valuation of Pellston, or a re-mark excluding unachieved synergies; annual independent review of positions above 5% of NAV.</t>
  </si>
  <si>
    <t>Side letter: net IRR with and without the facility; re-issued DDQ (5.2, 12.2, 13.1, 13.2, 14.5, 18.1); co-investment policy and log; SOC 2 in 12 months; higher cyber and crime cover; LPAC seat; notice of regulatory matters and CFO or CCO departures.</t>
  </si>
  <si>
    <t>As presented</t>
  </si>
  <si>
    <t>LP view</t>
  </si>
  <si>
    <t>Tab</t>
  </si>
  <si>
    <t>Sub Line</t>
  </si>
  <si>
    <t>PME</t>
  </si>
  <si>
    <t>Deal Dispersion and Loss</t>
  </si>
  <si>
    <t>PPM Headline</t>
  </si>
  <si>
    <t>Pellston Mark</t>
  </si>
  <si>
    <t>Fund III Carry</t>
  </si>
  <si>
    <t>Terms vs ILPA</t>
  </si>
  <si>
    <t>ODD Red Flags</t>
  </si>
  <si>
    <t>DDQ Review; Request List</t>
  </si>
  <si>
    <t>COMMITMENT SIZING ($M)</t>
  </si>
  <si>
    <t>Proposed commitment</t>
  </si>
  <si>
    <t>Share of Fund V at target</t>
  </si>
  <si>
    <t>Share of Fund V at hard cap</t>
  </si>
  <si>
    <t>Single-investment limit (% of commitments)</t>
  </si>
  <si>
    <t>Most exposure to one deal, look-through</t>
  </si>
  <si>
    <t>Annual fee on the commitment</t>
  </si>
  <si>
    <t>Investment period from final closing (years)</t>
  </si>
  <si>
    <t>Final closing after first closing (months, max)</t>
  </si>
  <si>
    <t>Years at 2.0% for a first-close LP (max)</t>
  </si>
  <si>
    <t>Fees at 2.0% over that period</t>
  </si>
  <si>
    <t>Most of it met by fee waiver</t>
  </si>
  <si>
    <t>Minimum GP cash commitment</t>
  </si>
  <si>
    <t>Proposed commitment / GP minimum cash (x)</t>
  </si>
</sst>
</file>

<file path=xl/styles.xml><?xml version="1.0" encoding="utf-8"?>
<styleSheet xmlns="http://schemas.openxmlformats.org/spreadsheetml/2006/main" xmlns:mc="http://schemas.openxmlformats.org/markup-compatibility/2006" xmlns:x14ac="http://schemas.microsoft.com/office/spreadsheetml/2009/9/ac" mc:Ignorable="x14ac">
  <numFmts count="37">
    <numFmt numFmtId="164" formatCode="#,##0.0_);(#,##0.0);&quot;–&quot;_)"/>
    <numFmt numFmtId="165" formatCode="0.00&quot;x&quot;_);(0.00&quot;x&quot;);&quot;–&quot;_)"/>
    <numFmt numFmtId="166" formatCode="0.0%_);(0.0%);&quot;–&quot;_)"/>
    <numFmt numFmtId="167" formatCode="#,##0.00_);(#,##0.00);&quot;–&quot;_)"/>
    <numFmt numFmtId="168" formatCode="0.000&quot;x&quot;_);(0.000&quot;x&quot;);&quot;–&quot;_)"/>
    <numFmt numFmtId="169" formatCode="0.00%_);(0.00%);&quot;–&quot;_)"/>
    <numFmt numFmtId="170" formatCode="0.000"/>
    <numFmt numFmtId="171" formatCode="0_);(0)"/>
    <numFmt numFmtId="172" formatCode="$#,##0"/>
    <numFmt numFmtId="173" formatCode="dd-mmm-yy"/>
    <numFmt numFmtId="174" formatCode="#,##0_);(#,##0);&quot;–&quot;_)"/>
    <numFmt numFmtId="175" formatCode="mmm yyyy"/>
    <numFmt numFmtId="176" formatCode="0.0&quot;x&quot;"/>
    <numFmt numFmtId="177" formatCode="0.0000"/>
    <numFmt numFmtId="178" formatCode="#,##0.000"/>
    <numFmt numFmtId="179" formatCode="0.0%"/>
    <numFmt numFmtId="180" formatCode="0_);(0);&quot;-&quot;_)"/>
    <numFmt numFmtId="181" formatCode="#,##0.0_);(#,##0.0);&quot;-&quot;_)"/>
    <numFmt numFmtId="182" formatCode="0.00&quot;x&quot;_);(0.00&quot;x&quot;);&quot;-&quot;_)"/>
    <numFmt numFmtId="183" formatCode="0.0&quot;x&quot;_);(0.0&quot;x&quot;);&quot;-&quot;_)"/>
    <numFmt numFmtId="184" formatCode="0.0%_);(0.0%);&quot;-&quot;_)"/>
    <numFmt numFmtId="185" formatCode="0.00&quot;x&quot;;(0.00&quot;x&quot;);&quot;-&quot;"/>
    <numFmt numFmtId="186" formatCode="0.0%;(0.0%);&quot;-&quot;"/>
    <numFmt numFmtId="187" formatCode="0.0&quot;x&quot;_);(0.0&quot;x&quot;);&quot;–&quot;_)"/>
    <numFmt numFmtId="188" formatCode="&quot;EBITDA ($M)&quot;;&quot;EBITDA ($M)&quot;;&quot;EBITDA ($M)&quot;"/>
    <numFmt numFmtId="189" formatCode="0%_);(0%);&quot;–&quot;_)"/>
    <numFmt numFmtId="190" formatCode="0.0&quot; yrs&quot;"/>
    <numFmt numFmtId="191" formatCode="#,##0%"/>
    <numFmt numFmtId="192" formatCode="#,##0.0;(#,##0.0);&quot;–&quot;"/>
    <numFmt numFmtId="193" formatCode="yyyy"/>
    <numFmt numFmtId="194" formatCode="#,##0.00;(#,##0.00);&quot;–&quot;"/>
    <numFmt numFmtId="195" formatCode="#,##0;(#,##0)"/>
    <numFmt numFmtId="196" formatCode="#,##0.0"/>
    <numFmt numFmtId="197" formatCode="0.0%;(0.0%)"/>
    <numFmt numFmtId="198" formatCode="0.00&quot;x&quot;"/>
    <numFmt numFmtId="199" formatCode="#,##0.0;(#,##0.0)"/>
    <numFmt numFmtId="200" formatCode="#,##0.0;(#,##0.0);&quot;-&quot;"/>
  </numFmts>
  <fonts count="27">
    <font>
      <sz val="10"/>
      <color rgb="FF000000"/>
      <name val="Arial"/>
      <family val="2"/>
    </font>
    <font>
      <b/>
      <sz val="14"/>
      <color rgb="FF002060"/>
      <name val="Arial"/>
      <family val="2"/>
    </font>
    <font>
      <i/>
      <sz val="10"/>
      <color rgb="FF646464"/>
      <name val="Arial"/>
      <family val="2"/>
    </font>
    <font>
      <b/>
      <sz val="10"/>
      <color rgb="FF000000"/>
      <name val="Arial"/>
      <family val="2"/>
    </font>
    <font>
      <b/>
      <sz val="10"/>
      <color rgb="FFFFFFFF"/>
      <name val="Arial"/>
      <family val="2"/>
    </font>
    <font>
      <sz val="10"/>
      <color rgb="FF008000"/>
      <name val="Arial"/>
      <family val="2"/>
    </font>
    <font>
      <b/>
      <sz val="10"/>
      <color rgb="FF008000"/>
      <name val="Arial"/>
      <family val="2"/>
    </font>
    <font>
      <sz val="10"/>
      <color rgb="FF0000FF"/>
      <name val="Arial"/>
      <family val="2"/>
    </font>
    <font>
      <b/>
      <sz val="10"/>
      <color rgb="FF0000FF"/>
      <name val="Arial"/>
      <family val="2"/>
    </font>
    <font>
      <b/>
      <u val="singleAccounting"/>
      <sz val="10"/>
      <color rgb="FF000000"/>
      <name val="Arial"/>
      <family val="2"/>
    </font>
    <font>
      <i/>
      <sz val="10"/>
      <color rgb="FF000000"/>
      <name val="Arial"/>
      <family val="2"/>
    </font>
    <font>
      <b/>
      <i/>
      <sz val="10"/>
      <color rgb="FF646464"/>
      <name val="Arial"/>
      <family val="2"/>
    </font>
    <font>
      <i/>
      <sz val="10"/>
      <color rgb="FF008000"/>
      <name val="Arial"/>
      <family val="2"/>
    </font>
    <font>
      <b/>
      <u val="singleAccounting"/>
      <sz val="10"/>
      <color rgb="FF0000FF"/>
      <name val="Arial"/>
      <family val="2"/>
    </font>
    <font>
      <b/>
      <u val="singleAccounting"/>
      <sz val="10"/>
      <color rgb="FF646464"/>
      <name val="Arial"/>
      <family val="2"/>
    </font>
    <font>
      <b/>
      <sz val="10"/>
      <color rgb="FF646464"/>
      <name val="Arial"/>
      <family val="2"/>
    </font>
    <font>
      <sz val="10"/>
      <color rgb="FF646464"/>
      <name val="Arial"/>
      <family val="2"/>
    </font>
    <font>
      <b/>
      <sz val="10"/>
      <color rgb="FF002060"/>
      <name val="Arial"/>
      <family val="2"/>
    </font>
    <font>
      <b/>
      <sz val="10"/>
      <color rgb="FFC00000"/>
      <name val="Arial"/>
      <family val="2"/>
    </font>
    <font>
      <sz val="9"/>
      <color rgb="FF646464"/>
      <name val="Arial"/>
      <family val="2"/>
    </font>
    <font>
      <b/>
      <sz val="10"/>
      <color rgb="FFC65911"/>
      <name val="Arial"/>
      <family val="2"/>
    </font>
    <font>
      <b/>
      <i/>
      <sz val="10"/>
      <color rgb="FF002060"/>
      <name val="Arial"/>
      <family val="2"/>
    </font>
    <font>
      <b/>
      <sz val="9"/>
      <color rgb="FF646464"/>
      <name val="Arial"/>
      <family val="2"/>
    </font>
    <font>
      <b/>
      <u val="singleAccounting"/>
      <sz val="10"/>
      <color rgb="FF008000"/>
      <name val="Arial"/>
      <family val="2"/>
    </font>
    <font>
      <b/>
      <sz val="14"/>
      <color rgb="FF000000"/>
      <name val="Arial"/>
      <family val="2"/>
    </font>
    <font>
      <b/>
      <sz val="12"/>
      <color rgb="FF000000"/>
      <name val="Arial"/>
      <family val="2"/>
    </font>
    <font>
      <b/>
      <sz val="12"/>
      <color rgb="FFC00000"/>
      <name val="Arial"/>
      <family val="2"/>
    </font>
  </fonts>
  <fills count="10">
    <fill>
      <patternFill patternType="none"/>
    </fill>
    <fill>
      <patternFill patternType="gray125"/>
    </fill>
    <fill>
      <patternFill patternType="solid">
        <fgColor rgb="FF002060"/>
        <bgColor indexed="64"/>
      </patternFill>
    </fill>
    <fill>
      <patternFill patternType="solid">
        <fgColor rgb="FFFFFFE0"/>
        <bgColor indexed="64"/>
      </patternFill>
    </fill>
    <fill>
      <patternFill patternType="solid">
        <fgColor rgb="FFB4C6E7"/>
        <bgColor indexed="64"/>
      </patternFill>
    </fill>
    <fill>
      <patternFill patternType="solid">
        <fgColor rgb="FFDDEBF7"/>
        <bgColor indexed="64"/>
      </patternFill>
    </fill>
    <fill>
      <patternFill patternType="solid">
        <fgColor rgb="FFFFE699"/>
        <bgColor indexed="64"/>
      </patternFill>
    </fill>
    <fill>
      <patternFill patternType="solid">
        <fgColor rgb="FFF8CBAD"/>
        <bgColor indexed="64"/>
      </patternFill>
    </fill>
    <fill>
      <patternFill patternType="solid">
        <fgColor rgb="FFE2EFDA"/>
        <bgColor indexed="64"/>
      </patternFill>
    </fill>
    <fill>
      <patternFill patternType="solid">
        <fgColor rgb="FFEDEDED"/>
        <bgColor indexed="64"/>
      </patternFill>
    </fill>
  </fills>
  <borders count="8">
    <border>
      <left/>
      <right/>
      <top/>
      <bottom/>
      <diagonal/>
    </border>
    <border>
      <left/>
      <right/>
      <top/>
      <bottom style="thin"/>
      <diagonal/>
    </border>
    <border>
      <left/>
      <right/>
      <top style="thin"/>
      <bottom/>
      <diagonal/>
    </border>
    <border>
      <left/>
      <right/>
      <top/>
      <bottom style="hair">
        <color rgb="FFA6A6A6"/>
      </bottom>
      <diagonal/>
    </border>
    <border>
      <left/>
      <right/>
      <top/>
      <bottom style="thin">
        <color rgb="FFBFBFBF"/>
      </bottom>
      <diagonal/>
    </border>
    <border>
      <left/>
      <right/>
      <top/>
      <bottom style="thin">
        <color rgb="FF002060"/>
      </bottom>
      <diagonal/>
    </border>
    <border>
      <left/>
      <right/>
      <top style="thin">
        <color rgb="FFBFBFBF"/>
      </top>
      <bottom style="thin">
        <color rgb="FFBFBFBF"/>
      </bottom>
      <diagonal/>
    </border>
    <border>
      <left/>
      <right/>
      <top style="thin">
        <color rgb="FF000000"/>
      </top>
      <bottom/>
      <diagonal/>
    </border>
  </borders>
  <cellStyleXfs count="1">
    <xf borderId="0" fillId="0" fontId="0" numFmtId="0" applyAlignment="1" applyFont="1" applyFill="1"/>
  </cellStyleXfs>
  <cellXfs count="279">
    <xf xfId="0" borderId="0" fillId="0" fontId="0" numFmtId="0"/>
    <xf xfId="0" borderId="0" fillId="0" fontId="1" numFmtId="0" applyFont="1"/>
    <xf xfId="0" borderId="0" fillId="0" fontId="2" numFmtId="0" applyFont="1"/>
    <xf xfId="0" borderId="1" fillId="0" fontId="3" numFmtId="0" applyAlignment="1" applyFont="1">
      <alignment horizontal="left"/>
    </xf>
    <xf xfId="0" borderId="1" fillId="0" fontId="3" numFmtId="0" applyAlignment="1" applyFont="1">
      <alignment horizontal="center"/>
    </xf>
    <xf xfId="0" borderId="0" fillId="2" fontId="4" numFmtId="0" applyFont="1" applyFill="1"/>
    <xf xfId="0" borderId="0" fillId="0" fontId="5" numFmtId="164" applyAlignment="1" applyFont="1">
      <alignment horizontal="right"/>
    </xf>
    <xf xfId="0" borderId="0" fillId="0" fontId="3" numFmtId="0" applyFont="1"/>
    <xf xfId="0" borderId="0" fillId="0" fontId="0" numFmtId="164"/>
    <xf xfId="0" borderId="0" fillId="0" fontId="3" numFmtId="165" applyAlignment="1" applyFont="1">
      <alignment horizontal="right"/>
    </xf>
    <xf xfId="0" borderId="0" fillId="0" fontId="6" numFmtId="166" applyAlignment="1" applyFont="1">
      <alignment horizontal="right"/>
    </xf>
    <xf xfId="0" borderId="0" fillId="0" fontId="0" numFmtId="165" applyAlignment="1">
      <alignment horizontal="right"/>
    </xf>
    <xf xfId="0" borderId="0" fillId="0" fontId="0" numFmtId="166"/>
    <xf xfId="0" borderId="0" fillId="0" fontId="0" numFmtId="166" applyAlignment="1">
      <alignment horizontal="right"/>
    </xf>
    <xf xfId="0" borderId="0" fillId="0" fontId="0" numFmtId="165"/>
    <xf xfId="0" borderId="0" fillId="0" fontId="7" numFmtId="164" applyAlignment="1" applyFont="1">
      <alignment horizontal="right"/>
    </xf>
    <xf xfId="0" borderId="0" fillId="0" fontId="8" numFmtId="165" applyAlignment="1" applyFont="1">
      <alignment horizontal="right"/>
    </xf>
    <xf xfId="0" borderId="0" fillId="0" fontId="8" numFmtId="166" applyAlignment="1" applyFont="1">
      <alignment horizontal="right"/>
    </xf>
    <xf xfId="0" borderId="0" fillId="0" fontId="3" numFmtId="166" applyAlignment="1" applyFont="1">
      <alignment horizontal="right"/>
    </xf>
    <xf xfId="0" borderId="0" fillId="0" fontId="0" numFmtId="164" applyAlignment="1">
      <alignment horizontal="right"/>
    </xf>
    <xf xfId="0" borderId="0" fillId="0" fontId="7" numFmtId="165" applyAlignment="1" applyFont="1">
      <alignment horizontal="right"/>
    </xf>
    <xf xfId="0" borderId="0" fillId="0" fontId="0" numFmtId="167" applyAlignment="1">
      <alignment horizontal="right"/>
    </xf>
    <xf xfId="0" borderId="0" fillId="0" fontId="3" numFmtId="168" applyAlignment="1" applyFont="1">
      <alignment horizontal="right"/>
    </xf>
    <xf xfId="0" borderId="0" fillId="0" fontId="3" numFmtId="169" applyAlignment="1" applyFont="1">
      <alignment horizontal="right"/>
    </xf>
    <xf xfId="0" borderId="0" fillId="0" fontId="0" numFmtId="168" applyAlignment="1">
      <alignment horizontal="right"/>
    </xf>
    <xf xfId="0" borderId="0" fillId="0" fontId="0" numFmtId="169" applyAlignment="1">
      <alignment horizontal="right"/>
    </xf>
    <xf xfId="0" borderId="0" fillId="3" fontId="7" numFmtId="2" applyFont="1" applyFill="1"/>
    <xf xfId="0" borderId="0" fillId="3" fontId="7" numFmtId="170" applyFont="1" applyFill="1"/>
    <xf xfId="0" borderId="0" fillId="3" fontId="7" numFmtId="10" applyFont="1" applyFill="1"/>
    <xf xfId="0" borderId="0" fillId="0" fontId="0" numFmtId="171"/>
    <xf xfId="0" borderId="2" fillId="0" fontId="3" numFmtId="0" applyFont="1"/>
    <xf xfId="0" borderId="2" fillId="0" fontId="3" numFmtId="0" applyAlignment="1" applyFont="1">
      <alignment horizontal="right"/>
    </xf>
    <xf xfId="0" borderId="0" fillId="0" fontId="5" numFmtId="166" applyAlignment="1" applyFont="1">
      <alignment horizontal="right"/>
    </xf>
    <xf xfId="0" borderId="0" fillId="0" fontId="0" numFmtId="0" applyAlignment="1">
      <alignment horizontal="right"/>
    </xf>
    <xf xfId="0" borderId="0" fillId="0" fontId="5" numFmtId="165" applyAlignment="1" applyFont="1">
      <alignment horizontal="right"/>
    </xf>
    <xf xfId="0" borderId="0" fillId="0" fontId="5" numFmtId="171" applyAlignment="1" applyFont="1">
      <alignment horizontal="right"/>
    </xf>
    <xf xfId="0" borderId="0" fillId="2" fontId="4" numFmtId="0" applyAlignment="1" applyFont="1" applyFill="1">
      <alignment horizontal="right"/>
    </xf>
    <xf xfId="0" borderId="0" fillId="0" fontId="7" numFmtId="172" applyAlignment="1" applyFont="1">
      <alignment horizontal="right"/>
    </xf>
    <xf xfId="0" borderId="0" fillId="0" fontId="7" numFmtId="9" applyAlignment="1" applyFont="1">
      <alignment horizontal="right"/>
    </xf>
    <xf xfId="0" borderId="0" fillId="0" fontId="7" numFmtId="171" applyAlignment="1" applyFont="1">
      <alignment horizontal="right"/>
    </xf>
    <xf xfId="0" borderId="0" fillId="0" fontId="5" numFmtId="3" applyAlignment="1" applyFont="1">
      <alignment horizontal="right"/>
    </xf>
    <xf xfId="0" borderId="0" fillId="0" fontId="6" numFmtId="164" applyAlignment="1" applyFont="1">
      <alignment horizontal="right"/>
    </xf>
    <xf xfId="0" borderId="0" fillId="0" fontId="5" numFmtId="173" applyAlignment="1" applyFont="1">
      <alignment horizontal="right"/>
    </xf>
    <xf xfId="0" borderId="0" fillId="0" fontId="5" numFmtId="174" applyAlignment="1" applyFont="1">
      <alignment horizontal="right"/>
    </xf>
    <xf xfId="0" borderId="0" fillId="0" fontId="7" numFmtId="173" applyAlignment="1" applyFont="1">
      <alignment horizontal="right"/>
    </xf>
    <xf xfId="0" borderId="0" fillId="0" fontId="6" numFmtId="173" applyAlignment="1" applyFont="1">
      <alignment horizontal="right"/>
    </xf>
    <xf xfId="0" borderId="0" fillId="0" fontId="3" numFmtId="171" applyAlignment="1" applyFont="1">
      <alignment horizontal="right"/>
    </xf>
    <xf xfId="0" borderId="0" fillId="0" fontId="0" numFmtId="173"/>
    <xf xfId="0" borderId="0" fillId="0" fontId="0" numFmtId="171" applyAlignment="1">
      <alignment horizontal="right"/>
    </xf>
    <xf xfId="0" borderId="1" fillId="0" fontId="8" numFmtId="173" applyAlignment="1" applyFont="1">
      <alignment horizontal="right"/>
    </xf>
    <xf xfId="0" borderId="2" fillId="0" fontId="0" numFmtId="0"/>
    <xf xfId="0" borderId="2" fillId="0" fontId="0" numFmtId="167" applyAlignment="1">
      <alignment horizontal="right"/>
    </xf>
    <xf xfId="0" borderId="2" fillId="0" fontId="0" numFmtId="164" applyAlignment="1">
      <alignment horizontal="right"/>
    </xf>
    <xf xfId="0" borderId="0" fillId="0" fontId="5" numFmtId="175" applyAlignment="1" applyFont="1">
      <alignment horizontal="center"/>
    </xf>
    <xf xfId="0" borderId="2" fillId="0" fontId="3" numFmtId="165" applyAlignment="1" applyFont="1">
      <alignment horizontal="right"/>
    </xf>
    <xf xfId="0" borderId="0" fillId="0" fontId="5" numFmtId="4" applyAlignment="1" applyFont="1">
      <alignment horizontal="right"/>
    </xf>
    <xf xfId="0" borderId="1" fillId="0" fontId="3" numFmtId="0" applyAlignment="1" applyFont="1">
      <alignment wrapText="1" horizontal="center" vertical="bottom"/>
    </xf>
    <xf xfId="0" borderId="0" fillId="0" fontId="7" numFmtId="1" applyAlignment="1" applyFont="1">
      <alignment horizontal="center"/>
    </xf>
    <xf xfId="0" borderId="0" fillId="0" fontId="7" numFmtId="166" applyAlignment="1" applyFont="1">
      <alignment horizontal="center"/>
    </xf>
    <xf xfId="0" borderId="0" fillId="0" fontId="7" numFmtId="165" applyAlignment="1" applyFont="1">
      <alignment horizontal="center"/>
    </xf>
    <xf xfId="0" borderId="0" fillId="0" fontId="0" numFmtId="0" applyAlignment="1">
      <alignment horizontal="center"/>
    </xf>
    <xf xfId="0" borderId="0" fillId="0" fontId="5" numFmtId="166" applyAlignment="1" applyFont="1">
      <alignment horizontal="center"/>
    </xf>
    <xf xfId="0" borderId="0" fillId="0" fontId="0" numFmtId="166" applyAlignment="1">
      <alignment horizontal="center"/>
    </xf>
    <xf xfId="0" borderId="0" fillId="0" fontId="5" numFmtId="165" applyAlignment="1" applyFont="1">
      <alignment horizontal="center"/>
    </xf>
    <xf xfId="0" borderId="0" fillId="0" fontId="3" numFmtId="0" applyAlignment="1" applyFont="1">
      <alignment horizontal="center"/>
    </xf>
    <xf xfId="0" borderId="1" fillId="0" fontId="3" numFmtId="0" applyAlignment="1" applyFont="1">
      <alignment wrapText="1" horizontal="left" vertical="bottom"/>
    </xf>
    <xf xfId="0" borderId="0" fillId="0" fontId="7" numFmtId="173" applyFont="1"/>
    <xf xfId="0" borderId="0" fillId="0" fontId="7" numFmtId="164" applyFont="1"/>
    <xf xfId="0" borderId="2" fillId="0" fontId="3" numFmtId="164" applyFont="1"/>
    <xf xfId="0" borderId="2" fillId="0" fontId="3" numFmtId="165" applyFont="1"/>
    <xf xfId="0" borderId="0" fillId="0" fontId="7" numFmtId="171" applyFont="1"/>
    <xf xfId="0" borderId="0" fillId="0" fontId="7" numFmtId="176" applyFont="1"/>
    <xf xfId="0" borderId="0" fillId="0" fontId="7" numFmtId="9" applyFont="1"/>
    <xf xfId="0" borderId="0" fillId="0" fontId="7" numFmtId="165" applyFont="1"/>
    <xf xfId="0" borderId="0" fillId="0" fontId="7" numFmtId="166" applyFont="1"/>
    <xf xfId="0" borderId="0" fillId="0" fontId="3" numFmtId="171" applyFont="1"/>
    <xf xfId="0" borderId="0" fillId="0" fontId="3" numFmtId="164" applyFont="1"/>
    <xf xfId="0" borderId="0" fillId="0" fontId="3" numFmtId="165" applyFont="1"/>
    <xf xfId="0" borderId="0" fillId="0" fontId="6" numFmtId="166" applyFont="1"/>
    <xf xfId="0" borderId="0" fillId="0" fontId="3" numFmtId="166" applyFont="1"/>
    <xf xfId="0" borderId="0" fillId="0" fontId="0" numFmtId="0" applyAlignment="1">
      <alignment indent="1"/>
    </xf>
    <xf xfId="0" borderId="0" fillId="0" fontId="5" numFmtId="166" applyFont="1"/>
    <xf xfId="0" borderId="0" fillId="0" fontId="6" numFmtId="164" applyFont="1"/>
    <xf xfId="0" borderId="0" fillId="0" fontId="6" numFmtId="165" applyFont="1"/>
    <xf xfId="0" borderId="0" fillId="0" fontId="6" numFmtId="171" applyFont="1"/>
    <xf xfId="0" borderId="2" fillId="0" fontId="0" numFmtId="165"/>
    <xf xfId="0" borderId="2" fillId="0" fontId="0" numFmtId="166"/>
    <xf xfId="0" borderId="0" fillId="0" fontId="5" numFmtId="164" applyFont="1"/>
    <xf xfId="0" borderId="0" fillId="0" fontId="7" numFmtId="167" applyFont="1"/>
    <xf xfId="0" borderId="0" fillId="0" fontId="5" numFmtId="173" applyFont="1"/>
    <xf xfId="0" borderId="0" fillId="0" fontId="5" numFmtId="167" applyFont="1"/>
    <xf xfId="0" borderId="0" fillId="0" fontId="0" numFmtId="167"/>
    <xf xfId="0" borderId="0" fillId="0" fontId="5" numFmtId="4" applyFont="1"/>
    <xf xfId="0" borderId="0" fillId="0" fontId="5" numFmtId="177" applyFont="1"/>
    <xf xfId="0" borderId="0" fillId="0" fontId="7" numFmtId="178" applyFont="1"/>
    <xf xfId="0" borderId="0" fillId="0" fontId="7" numFmtId="179" applyFont="1"/>
    <xf xfId="0" borderId="0" fillId="0" fontId="0" numFmtId="173" applyAlignment="1">
      <alignment horizontal="right"/>
    </xf>
    <xf xfId="0" borderId="0" fillId="0" fontId="0" numFmtId="178"/>
    <xf xfId="0" borderId="0" fillId="0" fontId="7" numFmtId="4" applyFont="1"/>
    <xf xfId="0" borderId="0" fillId="0" fontId="9" numFmtId="0" applyAlignment="1" applyFont="1">
      <alignment horizontal="left"/>
    </xf>
    <xf xfId="0" borderId="0" fillId="0" fontId="9" numFmtId="0" applyAlignment="1" applyFont="1">
      <alignment horizontal="right"/>
    </xf>
    <xf xfId="0" borderId="0" fillId="0" fontId="0" numFmtId="180"/>
    <xf xfId="0" borderId="0" fillId="0" fontId="3" numFmtId="180" applyFont="1"/>
    <xf xfId="0" borderId="0" fillId="0" fontId="0" numFmtId="181"/>
    <xf xfId="0" borderId="0" fillId="0" fontId="3" numFmtId="181" applyFont="1"/>
    <xf xfId="0" borderId="2" fillId="0" fontId="3" numFmtId="182" applyFont="1"/>
    <xf xfId="0" borderId="0" fillId="3" fontId="7" numFmtId="183" applyFont="1" applyFill="1"/>
    <xf xfId="0" borderId="2" fillId="0" fontId="3" numFmtId="183" applyFont="1"/>
    <xf xfId="0" borderId="2" fillId="0" fontId="3" numFmtId="180" applyFont="1"/>
    <xf xfId="0" borderId="0" fillId="0" fontId="0" numFmtId="183"/>
    <xf xfId="0" borderId="0" fillId="2" fontId="4" numFmtId="183" applyFont="1" applyFill="1"/>
    <xf xfId="0" borderId="2" fillId="0" fontId="3" numFmtId="181" applyFont="1"/>
    <xf xfId="0" borderId="0" fillId="0" fontId="0" numFmtId="184"/>
    <xf xfId="0" borderId="0" fillId="0" fontId="3" numFmtId="184" applyFont="1"/>
    <xf xfId="0" borderId="2" fillId="0" fontId="3" numFmtId="184" applyFont="1"/>
    <xf xfId="0" borderId="0" fillId="0" fontId="0" numFmtId="182"/>
    <xf xfId="0" borderId="0" fillId="0" fontId="3" numFmtId="182" applyFont="1"/>
    <xf xfId="0" borderId="0" fillId="0" fontId="2" numFmtId="0" applyAlignment="1" applyFont="1">
      <alignment wrapText="1" vertical="top"/>
    </xf>
    <xf xfId="0" borderId="0" fillId="0" fontId="0" numFmtId="0" applyAlignment="1">
      <alignment wrapText="1" vertical="top"/>
    </xf>
    <xf xfId="0" borderId="0" fillId="0" fontId="9" numFmtId="0" applyAlignment="1" applyFont="1">
      <alignment horizontal="centerContinuous"/>
    </xf>
    <xf xfId="0" borderId="0" fillId="0" fontId="9" numFmtId="0" applyAlignment="1" applyFont="1">
      <alignment wrapText="1" horizontal="right"/>
    </xf>
    <xf xfId="0" borderId="0" fillId="0" fontId="7" numFmtId="181" applyFont="1"/>
    <xf xfId="0" borderId="0" fillId="0" fontId="7" numFmtId="184" applyFont="1"/>
    <xf xfId="0" borderId="0" fillId="0" fontId="7" numFmtId="183" applyFont="1"/>
    <xf xfId="0" borderId="0" fillId="0" fontId="0" numFmtId="0" applyAlignment="1">
      <alignment vertical="bottom"/>
    </xf>
    <xf xfId="0" borderId="0" fillId="0" fontId="9" numFmtId="0" applyAlignment="1" applyFont="1">
      <alignment wrapText="1" horizontal="right" vertical="bottom"/>
    </xf>
    <xf xfId="0" borderId="0" fillId="0" fontId="10" numFmtId="0" applyFont="1"/>
    <xf xfId="0" borderId="0" fillId="0" fontId="10" numFmtId="184" applyFont="1"/>
    <xf xfId="0" borderId="0" fillId="0" fontId="9" numFmtId="0" applyAlignment="1" applyFont="1">
      <alignment wrapText="1" horizontal="left" vertical="bottom"/>
    </xf>
    <xf xfId="0" borderId="0" fillId="0" fontId="9" numFmtId="0" applyAlignment="1" applyFont="1">
      <alignment horizontal="left" vertical="bottom"/>
    </xf>
    <xf xfId="0" borderId="0" fillId="0" fontId="7" numFmtId="182" applyFont="1"/>
    <xf xfId="0" borderId="0" fillId="0" fontId="0" numFmtId="185"/>
    <xf xfId="0" borderId="0" fillId="0" fontId="0" numFmtId="186"/>
    <xf xfId="0" borderId="3" fillId="0" fontId="0" numFmtId="0"/>
    <xf xfId="0" borderId="3" fillId="0" fontId="7" numFmtId="173" applyFont="1"/>
    <xf xfId="0" borderId="3" fillId="0" fontId="7" numFmtId="181" applyFont="1"/>
    <xf xfId="0" borderId="3" fillId="0" fontId="0" numFmtId="181"/>
    <xf xfId="0" borderId="3" fillId="0" fontId="0" numFmtId="182"/>
    <xf xfId="0" borderId="3" fillId="0" fontId="0" numFmtId="184"/>
    <xf xfId="0" borderId="3" fillId="0" fontId="0" numFmtId="0" applyAlignment="1">
      <alignment horizontal="right"/>
    </xf>
    <xf xfId="0" borderId="3" fillId="0" fontId="7" numFmtId="182" applyFont="1"/>
    <xf xfId="0" borderId="3" fillId="0" fontId="7" numFmtId="184" applyFont="1"/>
    <xf xfId="0" borderId="3" fillId="0" fontId="0" numFmtId="185"/>
    <xf xfId="0" borderId="3" fillId="0" fontId="0" numFmtId="186"/>
    <xf xfId="0" borderId="0" fillId="0" fontId="9" numFmtId="0" applyAlignment="1" applyFont="1">
      <alignment horizontal="center"/>
    </xf>
    <xf xfId="0" borderId="0" fillId="0" fontId="5" numFmtId="164" applyAlignment="1" applyFont="1">
      <alignment horizontal="right"/>
    </xf>
    <xf xfId="0" borderId="0" fillId="0" fontId="0" numFmtId="164" applyAlignment="1">
      <alignment horizontal="right"/>
    </xf>
    <xf xfId="0" borderId="2" fillId="0" fontId="3" numFmtId="0" applyFont="1"/>
    <xf xfId="0" borderId="2" fillId="0" fontId="3" numFmtId="164" applyAlignment="1" applyFont="1">
      <alignment horizontal="right"/>
    </xf>
    <xf xfId="0" borderId="2" fillId="0" fontId="6" numFmtId="164" applyAlignment="1" applyFont="1">
      <alignment horizontal="right"/>
    </xf>
    <xf xfId="0" borderId="0" fillId="0" fontId="5" numFmtId="187" applyAlignment="1" applyFont="1">
      <alignment horizontal="right"/>
    </xf>
    <xf xfId="0" borderId="0" fillId="0" fontId="0" numFmtId="187" applyAlignment="1">
      <alignment horizontal="right"/>
    </xf>
    <xf xfId="0" borderId="2" fillId="0" fontId="3" numFmtId="165" applyAlignment="1" applyFont="1">
      <alignment horizontal="right"/>
    </xf>
    <xf xfId="0" borderId="2" fillId="0" fontId="6" numFmtId="165" applyAlignment="1" applyFont="1">
      <alignment horizontal="right"/>
    </xf>
    <xf xfId="0" borderId="0" fillId="2" fontId="11" numFmtId="0" applyFont="1" applyFill="1"/>
    <xf xfId="0" borderId="0" fillId="0" fontId="10" numFmtId="166" applyAlignment="1" applyFont="1">
      <alignment horizontal="right"/>
    </xf>
    <xf xfId="0" borderId="0" fillId="0" fontId="12" numFmtId="166" applyAlignment="1" applyFont="1">
      <alignment horizontal="right"/>
    </xf>
    <xf xfId="0" borderId="0" fillId="0" fontId="0" numFmtId="166" applyAlignment="1">
      <alignment horizontal="right"/>
    </xf>
    <xf xfId="0" borderId="0" fillId="0" fontId="2" numFmtId="0" applyAlignment="1" applyFont="1">
      <alignment horizontal="center"/>
    </xf>
    <xf xfId="0" borderId="0" fillId="0" fontId="9" numFmtId="188" applyAlignment="1" applyFont="1">
      <alignment horizontal="center"/>
    </xf>
    <xf xfId="0" borderId="0" fillId="0" fontId="9" numFmtId="187" applyAlignment="1" applyFont="1">
      <alignment horizontal="center"/>
    </xf>
    <xf xfId="0" borderId="0" fillId="3" fontId="13" numFmtId="187" applyAlignment="1" applyFont="1" applyFill="1">
      <alignment horizontal="center"/>
    </xf>
    <xf xfId="0" borderId="0" fillId="0" fontId="0" numFmtId="165" applyAlignment="1">
      <alignment horizontal="right"/>
    </xf>
    <xf xfId="0" borderId="0" fillId="0" fontId="12" numFmtId="0" applyFont="1"/>
    <xf xfId="0" borderId="0" fillId="0" fontId="5" numFmtId="165" applyAlignment="1" applyFont="1">
      <alignment horizontal="right"/>
    </xf>
    <xf xfId="0" borderId="0" fillId="0" fontId="5" numFmtId="166" applyAlignment="1" applyFont="1">
      <alignment horizontal="right"/>
    </xf>
    <xf xfId="0" borderId="0" fillId="0" fontId="5" numFmtId="173" applyAlignment="1" applyFont="1">
      <alignment horizontal="right"/>
    </xf>
    <xf xfId="0" borderId="0" fillId="0" fontId="0" numFmtId="2" applyAlignment="1">
      <alignment horizontal="right"/>
    </xf>
    <xf xfId="0" borderId="0" fillId="0" fontId="5" numFmtId="0" applyFont="1"/>
    <xf xfId="0" borderId="0" fillId="0" fontId="14" numFmtId="0" applyAlignment="1" applyFont="1">
      <alignment horizontal="left"/>
    </xf>
    <xf xfId="0" borderId="0" fillId="2" fontId="15" numFmtId="0" applyFont="1" applyFill="1"/>
    <xf xfId="0" borderId="0" fillId="0" fontId="7" numFmtId="164" applyAlignment="1" applyFont="1">
      <alignment horizontal="right"/>
    </xf>
    <xf xfId="0" borderId="0" fillId="0" fontId="16" numFmtId="0" applyFont="1"/>
    <xf xfId="0" borderId="0" fillId="0" fontId="7" numFmtId="187" applyAlignment="1" applyFont="1">
      <alignment horizontal="right"/>
    </xf>
    <xf xfId="0" borderId="0" fillId="0" fontId="7" numFmtId="173" applyAlignment="1" applyFont="1">
      <alignment horizontal="right"/>
    </xf>
    <xf xfId="0" borderId="0" fillId="0" fontId="7" numFmtId="165" applyAlignment="1" applyFont="1">
      <alignment horizontal="right"/>
    </xf>
    <xf xfId="0" borderId="0" fillId="0" fontId="7" numFmtId="166" applyAlignment="1" applyFont="1">
      <alignment horizontal="right"/>
    </xf>
    <xf xfId="0" borderId="0" fillId="0" fontId="7" numFmtId="189" applyAlignment="1" applyFont="1">
      <alignment horizontal="right"/>
    </xf>
    <xf xfId="0" borderId="0" fillId="0" fontId="2" numFmtId="0" applyAlignment="1" applyFont="1"/>
    <xf xfId="0" borderId="0" fillId="0" fontId="0" numFmtId="0" applyAlignment="1"/>
    <xf xfId="0" borderId="0" fillId="2" fontId="4" numFmtId="0" applyAlignment="1" applyFont="1" applyFill="1">
      <alignment wrapText="1" vertical="center"/>
    </xf>
    <xf xfId="0" borderId="0" fillId="4" fontId="17" numFmtId="0" applyFont="1" applyFill="1"/>
    <xf xfId="0" borderId="4" fillId="0" fontId="3" numFmtId="0" applyAlignment="1" applyFont="1">
      <alignment wrapText="1" vertical="top"/>
    </xf>
    <xf xfId="0" borderId="4" fillId="0" fontId="0" numFmtId="0" applyAlignment="1">
      <alignment wrapText="1" vertical="top"/>
    </xf>
    <xf xfId="0" borderId="4" fillId="0" fontId="10" numFmtId="0" applyAlignment="1" applyFont="1">
      <alignment wrapText="1" vertical="top"/>
    </xf>
    <xf xfId="0" borderId="4" fillId="0" fontId="18" numFmtId="0" applyAlignment="1" applyFont="1">
      <alignment wrapText="1" vertical="top"/>
    </xf>
    <xf xfId="0" borderId="4" fillId="0" fontId="19" numFmtId="0" applyAlignment="1" applyFont="1">
      <alignment wrapText="1" vertical="top"/>
    </xf>
    <xf xfId="0" borderId="4" fillId="0" fontId="6" numFmtId="0" applyAlignment="1" applyFont="1">
      <alignment wrapText="1" vertical="top"/>
    </xf>
    <xf xfId="0" borderId="4" fillId="0" fontId="20" numFmtId="0" applyAlignment="1" applyFont="1">
      <alignment wrapText="1" vertical="top"/>
    </xf>
    <xf xfId="0" borderId="0" fillId="4" fontId="17" numFmtId="0" applyAlignment="1" applyFont="1" applyFill="1">
      <alignment wrapText="1" vertical="top"/>
    </xf>
    <xf xfId="0" borderId="0" fillId="4" fontId="21" numFmtId="0" applyAlignment="1" applyFont="1" applyFill="1">
      <alignment wrapText="1" vertical="top"/>
    </xf>
    <xf xfId="0" borderId="0" fillId="4" fontId="22" numFmtId="0" applyAlignment="1" applyFont="1" applyFill="1">
      <alignment wrapText="1" vertical="top"/>
    </xf>
    <xf xfId="0" borderId="4" fillId="0" fontId="0" numFmtId="191" applyAlignment="1">
      <alignment wrapText="1" vertical="top"/>
    </xf>
    <xf xfId="0" borderId="0" fillId="0" fontId="0" numFmtId="192" applyAlignment="1">
      <alignment horizontal="right"/>
    </xf>
    <xf xfId="0" borderId="0" fillId="0" fontId="0" numFmtId="192"/>
    <xf xfId="0" borderId="0" fillId="0" fontId="3" numFmtId="192" applyAlignment="1" applyFont="1">
      <alignment horizontal="right"/>
    </xf>
    <xf xfId="0" borderId="0" fillId="0" fontId="0" numFmtId="15" applyAlignment="1">
      <alignment horizontal="right"/>
    </xf>
    <xf xfId="0" borderId="0" fillId="0" fontId="5" numFmtId="179" applyFont="1"/>
    <xf xfId="0" borderId="0" fillId="0" fontId="7" numFmtId="179" applyFont="1"/>
    <xf xfId="0" borderId="0" fillId="3" fontId="7" numFmtId="1" applyFont="1" applyFill="1"/>
    <xf xfId="0" borderId="0" fillId="0" fontId="5" numFmtId="192" applyFont="1"/>
    <xf xfId="0" borderId="0" fillId="0" fontId="23" numFmtId="193" applyAlignment="1" applyFont="1">
      <alignment horizontal="center"/>
    </xf>
    <xf xfId="0" borderId="0" fillId="0" fontId="9" numFmtId="193" applyAlignment="1" applyFont="1">
      <alignment horizontal="center"/>
    </xf>
    <xf xfId="0" borderId="2" fillId="0" fontId="3" numFmtId="192" applyFont="1"/>
    <xf xfId="0" borderId="0" fillId="0" fontId="5" numFmtId="15" applyFont="1"/>
    <xf xfId="0" borderId="1" fillId="0" fontId="3" numFmtId="0" applyAlignment="1" applyFont="1">
      <alignment wrapText="1" horizontal="left" vertical="bottom"/>
    </xf>
    <xf xfId="0" borderId="1" fillId="0" fontId="3" numFmtId="0" applyAlignment="1" applyFont="1">
      <alignment wrapText="1" horizontal="center" vertical="bottom"/>
    </xf>
    <xf xfId="0" borderId="1" fillId="5" fontId="3" numFmtId="0" applyAlignment="1" applyFont="1" applyFill="1">
      <alignment wrapText="1" horizontal="center" vertical="bottom"/>
    </xf>
    <xf xfId="0" borderId="0" fillId="0" fontId="5" numFmtId="0" applyAlignment="1" applyFont="1">
      <alignment horizontal="left"/>
    </xf>
    <xf xfId="0" borderId="0" fillId="0" fontId="5" numFmtId="15" applyAlignment="1" applyFont="1">
      <alignment horizontal="right"/>
    </xf>
    <xf xfId="0" borderId="0" fillId="0" fontId="5" numFmtId="192" applyAlignment="1" applyFont="1">
      <alignment horizontal="right"/>
    </xf>
    <xf xfId="0" borderId="0" fillId="0" fontId="0" numFmtId="179" applyAlignment="1">
      <alignment horizontal="right"/>
    </xf>
    <xf xfId="0" borderId="0" fillId="5" fontId="0" numFmtId="192" applyAlignment="1" applyFill="1">
      <alignment horizontal="right"/>
    </xf>
    <xf xfId="0" borderId="0" fillId="5" fontId="5" numFmtId="192" applyAlignment="1" applyFont="1" applyFill="1">
      <alignment horizontal="right"/>
    </xf>
    <xf xfId="0" borderId="2" fillId="0" fontId="3" numFmtId="0" applyAlignment="1" applyFont="1">
      <alignment horizontal="right"/>
    </xf>
    <xf xfId="0" borderId="2" fillId="0" fontId="3" numFmtId="192" applyAlignment="1" applyFont="1">
      <alignment horizontal="right"/>
    </xf>
    <xf xfId="0" borderId="2" fillId="5" fontId="3" numFmtId="192" applyAlignment="1" applyFont="1" applyFill="1">
      <alignment horizontal="right"/>
    </xf>
    <xf xfId="0" borderId="0" fillId="0" fontId="3" numFmtId="192" applyFont="1"/>
    <xf xfId="0" borderId="0" fillId="0" fontId="10" numFmtId="0" applyAlignment="1" applyFont="1">
      <alignment indent="1"/>
    </xf>
    <xf xfId="0" borderId="0" fillId="0" fontId="10" numFmtId="192" applyFont="1"/>
    <xf xfId="0" borderId="0" fillId="0" fontId="7" numFmtId="15" applyAlignment="1" applyFont="1">
      <alignment horizontal="right"/>
    </xf>
    <xf xfId="0" borderId="0" fillId="0" fontId="7" numFmtId="192" applyAlignment="1" applyFont="1">
      <alignment horizontal="right"/>
    </xf>
    <xf xfId="0" borderId="1" fillId="0" fontId="3" numFmtId="0" applyAlignment="1" applyFont="1">
      <alignment wrapText="1" horizontal="right" vertical="bottom"/>
    </xf>
    <xf xfId="0" borderId="0" fillId="0" fontId="7" numFmtId="0" applyAlignment="1" applyFont="1">
      <alignment horizontal="right"/>
    </xf>
    <xf xfId="0" borderId="0" fillId="0" fontId="7" numFmtId="1" applyAlignment="1" applyFont="1">
      <alignment horizontal="right"/>
    </xf>
    <xf xfId="0" borderId="0" fillId="0" fontId="7" numFmtId="194" applyAlignment="1" applyFont="1">
      <alignment horizontal="right"/>
    </xf>
    <xf xfId="0" borderId="0" fillId="0" fontId="7" numFmtId="3" applyAlignment="1" applyFont="1">
      <alignment horizontal="right"/>
    </xf>
    <xf xfId="0" borderId="0" fillId="0" fontId="7" numFmtId="179" applyAlignment="1" applyFont="1">
      <alignment horizontal="right"/>
    </xf>
    <xf xfId="0" borderId="0" fillId="0" fontId="7" numFmtId="9" applyAlignment="1" applyFont="1">
      <alignment horizontal="right"/>
    </xf>
    <xf xfId="0" borderId="5" fillId="4" fontId="17" numFmtId="0" applyAlignment="1" applyFont="1" applyFill="1">
      <alignment wrapText="1" vertical="center"/>
    </xf>
    <xf xfId="0" borderId="4" fillId="0" fontId="3" numFmtId="0" quotePrefix="1" applyAlignment="1" applyFont="1">
      <alignment wrapText="1" horizontal="center" vertical="top"/>
    </xf>
    <xf xfId="0" borderId="4" fillId="0" fontId="7" numFmtId="1" applyAlignment="1" applyFont="1">
      <alignment wrapText="1" horizontal="center" vertical="top"/>
    </xf>
    <xf xfId="0" borderId="4" fillId="6" fontId="3" numFmtId="0" applyAlignment="1" applyFont="1" applyFill="1">
      <alignment wrapText="1" horizontal="center" vertical="top"/>
    </xf>
    <xf xfId="0" borderId="4" fillId="7" fontId="3" numFmtId="0" applyAlignment="1" applyFont="1" applyFill="1">
      <alignment wrapText="1" horizontal="center" vertical="top"/>
    </xf>
    <xf xfId="0" borderId="6" fillId="0" fontId="3" numFmtId="0" quotePrefix="1" applyAlignment="1" applyFont="1">
      <alignment wrapText="1" horizontal="center" vertical="top"/>
    </xf>
    <xf xfId="0" borderId="6" fillId="0" fontId="3" numFmtId="0" applyAlignment="1" applyFont="1">
      <alignment wrapText="1" vertical="top"/>
    </xf>
    <xf xfId="0" borderId="6" fillId="0" fontId="0" numFmtId="0" applyAlignment="1">
      <alignment wrapText="1" vertical="top"/>
    </xf>
    <xf xfId="0" borderId="6" fillId="0" fontId="7" numFmtId="1" applyAlignment="1" applyFont="1">
      <alignment wrapText="1" horizontal="center" vertical="top"/>
    </xf>
    <xf xfId="0" borderId="6" fillId="8" fontId="3" numFmtId="0" applyAlignment="1" applyFont="1" applyFill="1">
      <alignment wrapText="1" horizontal="center" vertical="top"/>
    </xf>
    <xf xfId="0" borderId="6" fillId="6" fontId="3" numFmtId="0" applyAlignment="1" applyFont="1" applyFill="1">
      <alignment wrapText="1" horizontal="center" vertical="top"/>
    </xf>
    <xf xfId="0" borderId="6" fillId="7" fontId="3" numFmtId="0" applyAlignment="1" applyFont="1" applyFill="1">
      <alignment wrapText="1" horizontal="center" vertical="top"/>
    </xf>
    <xf xfId="0" borderId="6" fillId="9" fontId="3" numFmtId="0" applyAlignment="1" applyFont="1" applyFill="1">
      <alignment wrapText="1" horizontal="center" vertical="top"/>
    </xf>
    <xf xfId="0" borderId="4" fillId="0" fontId="0" numFmtId="0" quotePrefix="1" applyAlignment="1">
      <alignment wrapText="1" horizontal="center" vertical="top"/>
    </xf>
    <xf xfId="0" borderId="6" fillId="0" fontId="0" numFmtId="0" quotePrefix="1" applyAlignment="1">
      <alignment wrapText="1" horizontal="center" vertical="top"/>
    </xf>
    <xf xfId="0" borderId="0" fillId="4" fontId="17" numFmtId="0" applyAlignment="1" applyFont="1" applyFill="1">
      <alignment horizontal="left"/>
    </xf>
    <xf xfId="0" borderId="0" fillId="4" fontId="17" numFmtId="0" applyAlignment="1" applyFont="1" applyFill="1"/>
    <xf xfId="0" borderId="6" fillId="4" fontId="17" numFmtId="0" applyAlignment="1" applyFont="1" applyFill="1">
      <alignment horizontal="left" vertical="top"/>
    </xf>
    <xf xfId="0" borderId="6" fillId="4" fontId="17" numFmtId="0" applyAlignment="1" applyFont="1" applyFill="1">
      <alignment vertical="top"/>
    </xf>
    <xf xfId="0" borderId="0" fillId="0" fontId="26" numFmtId="0" applyFont="1"/>
    <xf xfId="0" borderId="5" fillId="4" fontId="17" numFmtId="0" applyFont="1" applyFill="1"/>
    <xf xfId="0" borderId="5" fillId="4" fontId="17" numFmtId="0" applyAlignment="1" applyFont="1" applyFill="1">
      <alignment horizontal="right"/>
    </xf>
    <xf xfId="0" borderId="4" fillId="0" fontId="0" numFmtId="0"/>
    <xf xfId="0" borderId="4" fillId="0" fontId="5" numFmtId="198" applyFont="1"/>
    <xf xfId="0" borderId="4" fillId="0" fontId="5" numFmtId="179" applyFont="1"/>
    <xf xfId="0" borderId="4" fillId="0" fontId="5" numFmtId="0" applyAlignment="1" applyFont="1">
      <alignment horizontal="right"/>
    </xf>
    <xf xfId="0" borderId="4" fillId="0" fontId="6" numFmtId="198" applyFont="1"/>
    <xf xfId="0" borderId="4" fillId="0" fontId="6" numFmtId="179" applyFont="1"/>
    <xf xfId="0" borderId="4" fillId="0" fontId="5" numFmtId="192" applyFont="1"/>
    <xf xfId="0" borderId="4" fillId="0" fontId="6" numFmtId="192" applyFont="1"/>
    <xf xfId="0" borderId="4" fillId="0" fontId="2" numFmtId="0" applyFont="1"/>
    <xf xfId="0" borderId="5" fillId="4" fontId="11" numFmtId="0" applyFont="1" applyFill="1"/>
    <xf xfId="0" borderId="4" fillId="0" fontId="0" numFmtId="0" quotePrefix="1" applyAlignment="1">
      <alignment horizontal="center" vertical="top"/>
    </xf>
    <xf xfId="0" borderId="4" fillId="0" fontId="0" numFmtId="0" applyAlignment="1"/>
    <xf xfId="0" borderId="4" fillId="0" fontId="5" numFmtId="1" applyFont="1"/>
    <xf xfId="0" borderId="4" fillId="0" fontId="6" numFmtId="1" applyFont="1"/>
    <xf xfId="0" borderId="0" fillId="2" fontId="4" numFmtId="0" applyAlignment="1" applyFont="1" applyFill="1">
      <alignment vertical="top"/>
    </xf>
    <xf xfId="0" borderId="4" fillId="0" fontId="0" numFmtId="0" applyAlignment="1">
      <alignment vertical="top"/>
    </xf>
    <xf xfId="0" borderId="4" fillId="0" fontId="7" numFmtId="3" applyAlignment="1" applyFont="1">
      <alignment vertical="top"/>
    </xf>
    <xf xfId="0" borderId="4" fillId="0" fontId="3" numFmtId="0" applyAlignment="1" applyFont="1">
      <alignment vertical="top"/>
    </xf>
    <xf xfId="0" borderId="4" fillId="0" fontId="3" numFmtId="179" applyAlignment="1" applyFont="1">
      <alignment vertical="top"/>
    </xf>
    <xf xfId="0" borderId="4" fillId="0" fontId="0" numFmtId="179" applyAlignment="1">
      <alignment vertical="top"/>
    </xf>
    <xf xfId="0" borderId="4" fillId="0" fontId="7" numFmtId="9" applyAlignment="1" applyFont="1">
      <alignment vertical="top"/>
    </xf>
    <xf xfId="0" borderId="4" fillId="0" fontId="3" numFmtId="196" applyAlignment="1" applyFont="1">
      <alignment vertical="top"/>
    </xf>
    <xf xfId="0" borderId="4" fillId="0" fontId="7" numFmtId="179" applyAlignment="1" applyFont="1">
      <alignment vertical="top"/>
    </xf>
    <xf xfId="0" borderId="4" fillId="0" fontId="0" numFmtId="196" applyAlignment="1">
      <alignment vertical="top"/>
    </xf>
    <xf xfId="0" borderId="4" fillId="0" fontId="7" numFmtId="1" applyAlignment="1" applyFont="1">
      <alignment vertical="top"/>
    </xf>
    <xf xfId="0" borderId="4" fillId="0" fontId="0" numFmtId="2" applyAlignment="1">
      <alignment vertical="top"/>
    </xf>
    <xf xfId="0" borderId="4" fillId="0" fontId="0" numFmtId="4" applyAlignment="1">
      <alignment vertical="top"/>
    </xf>
    <xf xfId="0" borderId="4" fillId="0" fontId="3" numFmtId="198"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styles" Target="styles.xml"/><Relationship Id="rId24" Type="http://schemas.openxmlformats.org/officeDocument/2006/relationships/sharedStrings" Target="sharedStrings.xml"/><Relationship Id="rId25"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comments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comments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comments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comments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commentsDrawing6.vml"/></Relationships>
</file>

<file path=xl/worksheets/_rels/sheet8.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commentsDrawing8.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vmlDrawing" Target="../drawings/commentsDrawing11.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commentsDrawing12.vml"/></Relationships>
</file>

<file path=xl/worksheets/_rels/sheet13.xml.rels><?xml version="1.0" encoding="UTF-8" standalone="yes"?>
<Relationships xmlns="http://schemas.openxmlformats.org/package/2006/relationships"><Relationship Id="rId1" Type="http://schemas.openxmlformats.org/officeDocument/2006/relationships/comments" Target="../comments13.xml"/><Relationship Id="rId2" Type="http://schemas.openxmlformats.org/officeDocument/2006/relationships/vmlDrawing" Target="../drawings/commentsDrawing13.vml"/></Relationships>
</file>

<file path=xl/worksheets/_rels/sheet15.xml.rels><?xml version="1.0" encoding="UTF-8" standalone="yes"?>
<Relationships xmlns="http://schemas.openxmlformats.org/package/2006/relationships"><Relationship Id="rId1" Type="http://schemas.openxmlformats.org/officeDocument/2006/relationships/comments" Target="../comments15.xml"/><Relationship Id="rId2" Type="http://schemas.openxmlformats.org/officeDocument/2006/relationships/vmlDrawing" Target="../drawings/commentsDrawing15.vml"/></Relationships>
</file>

<file path=xl/worksheets/_rels/sheet16.xml.rels><?xml version="1.0" encoding="UTF-8" standalone="yes"?>
<Relationships xmlns="http://schemas.openxmlformats.org/package/2006/relationships"><Relationship Id="rId1" Type="http://schemas.openxmlformats.org/officeDocument/2006/relationships/comments" Target="../comments16.xml"/><Relationship Id="rId2" Type="http://schemas.openxmlformats.org/officeDocument/2006/relationships/vmlDrawing" Target="../drawings/commentsDrawing16.vml"/></Relationships>
</file>

<file path=xl/worksheets/_rels/sheet17.xml.rels><?xml version="1.0" encoding="UTF-8" standalone="yes"?>
<Relationships xmlns="http://schemas.openxmlformats.org/package/2006/relationships"><Relationship Id="rId1" Type="http://schemas.openxmlformats.org/officeDocument/2006/relationships/comments" Target="../comments17.xml"/><Relationship Id="rId2" Type="http://schemas.openxmlformats.org/officeDocument/2006/relationships/vmlDrawing" Target="../drawings/commentsDrawing17.vml"/></Relationships>
</file>

<file path=xl/worksheets/_rels/sheet18.xml.rels><?xml version="1.0" encoding="UTF-8" standalone="yes"?>
<Relationships xmlns="http://schemas.openxmlformats.org/package/2006/relationships"><Relationship Id="rId1" Type="http://schemas.openxmlformats.org/officeDocument/2006/relationships/comments" Target="../comments18.xml"/><Relationship Id="rId2" Type="http://schemas.openxmlformats.org/officeDocument/2006/relationships/vmlDrawing" Target="../drawings/commentsDrawing18.vml"/></Relationships>
</file>

<file path=xl/worksheets/_rels/sheet19.xml.rels><?xml version="1.0" encoding="UTF-8" standalone="yes"?>
<Relationships xmlns="http://schemas.openxmlformats.org/package/2006/relationships"><Relationship Id="rId1" Type="http://schemas.openxmlformats.org/officeDocument/2006/relationships/comments" Target="../comments19.xml"/><Relationship Id="rId2" Type="http://schemas.openxmlformats.org/officeDocument/2006/relationships/vmlDrawing" Target="../drawings/commentsDrawing19.vml"/></Relationships>
</file>

<file path=xl/worksheets/_rels/sheet20.xml.rels><?xml version="1.0" encoding="UTF-8" standalone="yes"?>
<Relationships xmlns="http://schemas.openxmlformats.org/package/2006/relationships"><Relationship Id="rId1" Type="http://schemas.openxmlformats.org/officeDocument/2006/relationships/comments" Target="../comments20.xml"/><Relationship Id="rId2" Type="http://schemas.openxmlformats.org/officeDocument/2006/relationships/vmlDrawing" Target="../drawings/commentsDrawing20.vml"/></Relationships>
</file>

<file path=xl/worksheets/_rels/sheet21.xml.rels><?xml version="1.0" encoding="UTF-8" standalone="yes"?>
<Relationships xmlns="http://schemas.openxmlformats.org/package/2006/relationships"><Relationship Id="rId1" Type="http://schemas.openxmlformats.org/officeDocument/2006/relationships/comments" Target="../comments21.xml"/><Relationship Id="rId2" Type="http://schemas.openxmlformats.org/officeDocument/2006/relationships/vmlDrawing" Target="../drawings/commentsDrawing21.vml"/></Relationships>
</file>

<file path=xl/worksheets/_rels/sheet22.xml.rels><?xml version="1.0" encoding="UTF-8" standalone="yes"?>
<Relationships xmlns="http://schemas.openxmlformats.org/package/2006/relationships"><Relationship Id="rId1" Type="http://schemas.openxmlformats.org/officeDocument/2006/relationships/comments" Target="../comments22.xml"/><Relationship Id="rId2" Type="http://schemas.openxmlformats.org/officeDocument/2006/relationships/vmlDrawing" Target="../drawings/commentsDrawing2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0"/>
  <sheetViews>
    <sheetView showGridLines="0" tabSelected="1" workbookViewId="0">
      <selection activeCell="A1" sqref="A1"/>
    </sheetView>
  </sheetViews>
  <cols>
    <col min="1" max="1" width="1.50390625" customWidth="1"/>
    <col min="2" max="2" width="4.07421875" customWidth="1"/>
    <col min="3" max="3" width="62.7890625" customWidth="1"/>
    <col min="4" max="7" width="12.9296875" customWidth="1"/>
    <col min="8" max="8" width="22.359375" customWidth="1"/>
    <col min="9" max="9" width="2.64453125" customWidth="1"/>
    <col min="10" max="10" width="40.9296875" customWidth="1"/>
    <col min="11" max="11" width="11.7890625" customWidth="1"/>
  </cols>
  <sheetData>
    <row r="2" ht="18" customHeight="1">
      <c r="B2" t="s" s="1">
        <v>1630</v>
      </c>
    </row>
    <row r="3">
      <c r="B3" t="s" s="2">
        <v>1631</v>
      </c>
    </row>
    <row r="5">
      <c r="B5" t="s" s="5">
        <v>1632</v>
      </c>
      <c r="C5" s="5"/>
      <c r="D5" s="5"/>
      <c r="E5" s="5"/>
      <c r="F5" s="5"/>
      <c r="G5" s="5"/>
      <c r="H5" s="5"/>
      <c r="J5" t="s" s="265">
        <v>1674</v>
      </c>
      <c r="K5" s="265"/>
    </row>
    <row r="6">
      <c r="C6" t="s" s="248">
        <v>1636</v>
      </c>
      <c r="J6" t="s" s="266">
        <v>1675</v>
      </c>
      <c r="K6" s="267">
        <v>50</v>
      </c>
    </row>
    <row r="7" ht="42" customHeight="1">
      <c r="C7" t="s" s="118">
        <v>1637</v>
      </c>
      <c r="J7" t="s" s="266">
        <v>1627</v>
      </c>
      <c r="K7" s="267">
        <v>1500</v>
      </c>
    </row>
    <row r="8">
      <c r="J8" t="s" s="266">
        <v>1165</v>
      </c>
      <c r="K8" s="267">
        <v>1800</v>
      </c>
    </row>
    <row r="9">
      <c r="B9" t="s" s="5">
        <v>1633</v>
      </c>
      <c r="C9" s="5"/>
      <c r="D9" s="5"/>
      <c r="E9" s="5"/>
      <c r="F9" s="5"/>
      <c r="G9" s="5"/>
      <c r="H9" s="5"/>
      <c r="J9" t="s" s="268">
        <v>1676</v>
      </c>
      <c r="K9" s="269">
        <f>K6/K7</f>
        <v>0.03333333333333333</v>
      </c>
    </row>
    <row r="10">
      <c r="B10" s="249"/>
      <c r="C10" t="s" s="249">
        <v>1638</v>
      </c>
      <c r="D10" t="s" s="250">
        <v>3</v>
      </c>
      <c r="E10" t="s" s="250">
        <v>4</v>
      </c>
      <c r="F10" t="s" s="250">
        <v>5</v>
      </c>
      <c r="G10" t="s" s="250">
        <v>6</v>
      </c>
      <c r="H10" t="s" s="249">
        <v>1664</v>
      </c>
      <c r="J10" t="s" s="266">
        <v>1677</v>
      </c>
      <c r="K10" s="270">
        <f>K6/K8</f>
        <v>0.027777777777777776</v>
      </c>
    </row>
    <row r="11">
      <c r="B11" s="251"/>
      <c r="C11" t="s" s="251">
        <v>477</v>
      </c>
      <c r="D11" s="252">
        <f>'Track Record'!C9</f>
        <v>2.260869565217391</v>
      </c>
      <c r="E11" s="252">
        <f>'Track Record'!D9</f>
        <v>2.392405063291139</v>
      </c>
      <c r="F11" s="252">
        <f>'Track Record'!E9</f>
        <v>3.0076335877862594</v>
      </c>
      <c r="G11" s="252">
        <f>'Track Record'!F9</f>
        <v>1.8297872340425532</v>
      </c>
      <c r="H11" t="s" s="259">
        <v>1308</v>
      </c>
      <c r="J11" t="s" s="266">
        <v>1678</v>
      </c>
      <c r="K11" s="271">
        <v>0.15</v>
      </c>
    </row>
    <row r="12">
      <c r="B12" s="251"/>
      <c r="C12" t="s" s="251">
        <v>20</v>
      </c>
      <c r="D12" s="253">
        <f>'Track Record'!C18</f>
        <v>0.05473788976669308</v>
      </c>
      <c r="E12" s="253">
        <f>'Track Record'!D18</f>
        <v>0.05462067127227785</v>
      </c>
      <c r="F12" s="253">
        <f>'Track Record'!E18</f>
        <v>0.05099174976348875</v>
      </c>
      <c r="G12" s="253">
        <f>'Track Record'!F18</f>
        <v>0.030804228782653764</v>
      </c>
      <c r="H12" t="s" s="259">
        <v>1308</v>
      </c>
      <c r="J12" t="s" s="268">
        <v>1679</v>
      </c>
      <c r="K12" s="272">
        <f>K6*K11</f>
        <v>7.5</v>
      </c>
    </row>
    <row r="13">
      <c r="B13" s="251"/>
      <c r="C13" t="s" s="251">
        <v>769</v>
      </c>
      <c r="D13" s="252">
        <f>'Track Record'!C14</f>
        <v>1.8253599999999999</v>
      </c>
      <c r="E13" s="252">
        <f>'Track Record'!D14</f>
        <v>1.9265738095238092</v>
      </c>
      <c r="F13" s="252">
        <f>'Track Record'!E14</f>
        <v>2.379852661448141</v>
      </c>
      <c r="G13" s="252">
        <f>'Track Record'!F14</f>
        <v>1.4315488129404466</v>
      </c>
      <c r="H13" t="s" s="259">
        <v>1308</v>
      </c>
      <c r="J13" t="s" s="266">
        <v>960</v>
      </c>
      <c r="K13" s="273">
        <v>0.02</v>
      </c>
    </row>
    <row r="14">
      <c r="B14" s="251"/>
      <c r="C14" t="s" s="251">
        <v>1639</v>
      </c>
      <c r="D14" s="253">
        <f>'Track Record'!C17</f>
        <v>0.15324133038520815</v>
      </c>
      <c r="E14" s="253">
        <f>'Track Record'!D17</f>
        <v>0.16180080771446229</v>
      </c>
      <c r="F14" s="253">
        <f>'Track Record'!E17</f>
        <v>0.24977522492408755</v>
      </c>
      <c r="G14" s="253">
        <f>'Track Record'!F17</f>
        <v>0.14515922665596012</v>
      </c>
      <c r="H14" t="s" s="259">
        <v>1308</v>
      </c>
      <c r="J14" t="s" s="266">
        <v>1680</v>
      </c>
      <c r="K14" s="274">
        <f>K6*K13</f>
        <v>1</v>
      </c>
    </row>
    <row r="15">
      <c r="B15" s="251"/>
      <c r="C15" t="s" s="251">
        <v>1640</v>
      </c>
      <c r="D15" s="253">
        <f>Quartile!E14</f>
        <v>0.15324133038520815</v>
      </c>
      <c r="E15" s="253">
        <f>Quartile!E15</f>
        <v>0.16180080771446229</v>
      </c>
      <c r="F15" s="253">
        <f>Quartile!E16</f>
        <v>0.23269724249839782</v>
      </c>
      <c r="G15" s="253">
        <f>Quartile!E17</f>
        <v>0.11821619868278502</v>
      </c>
      <c r="H15" t="s" s="259">
        <v>1665</v>
      </c>
      <c r="J15" t="s" s="266">
        <v>1681</v>
      </c>
      <c r="K15" s="275">
        <v>5</v>
      </c>
    </row>
    <row r="16">
      <c r="B16" s="251"/>
      <c r="C16" t="s" s="251">
        <v>1641</v>
      </c>
      <c r="D16" s="252">
        <f>PME!C16</f>
        <v>1.1093272647446928</v>
      </c>
      <c r="E16" s="252">
        <f>PME!D16</f>
        <v>1.228194356780742</v>
      </c>
      <c r="F16" s="252">
        <f>PME!E16</f>
        <v>1.6234686206754465</v>
      </c>
      <c r="G16" s="252">
        <f>PME!F16</f>
        <v>0.9093958372755621</v>
      </c>
      <c r="H16" t="s" s="259">
        <v>1666</v>
      </c>
      <c r="J16" t="s" s="266">
        <v>1682</v>
      </c>
      <c r="K16" s="275">
        <v>15</v>
      </c>
    </row>
    <row r="17">
      <c r="B17" s="251"/>
      <c r="C17" t="s" s="262">
        <v>1642</v>
      </c>
      <c r="D17" t="str" s="254">
        <f>Quartile!F14</f>
        <v>Second</v>
      </c>
      <c r="E17" t="str" s="254">
        <f>Quartile!F15</f>
        <v>Second</v>
      </c>
      <c r="F17" t="str" s="254">
        <f>Quartile!F16</f>
        <v>First</v>
      </c>
      <c r="G17" t="str" s="254">
        <f>Quartile!F17</f>
        <v>Second</v>
      </c>
      <c r="H17" t="s" s="259">
        <v>131</v>
      </c>
      <c r="J17" t="s" s="266">
        <v>1683</v>
      </c>
      <c r="K17" s="276">
        <f>K15+K16/12</f>
        <v>6.25</v>
      </c>
    </row>
    <row r="18">
      <c r="B18" s="251"/>
      <c r="C18" t="s" s="262">
        <v>1643</v>
      </c>
      <c r="D18" t="str" s="254">
        <f>Quartile!H14</f>
        <v>Second</v>
      </c>
      <c r="E18" t="str" s="254">
        <f>Quartile!H15</f>
        <v>Second</v>
      </c>
      <c r="F18" t="str" s="254">
        <f>Quartile!H16</f>
        <v>First</v>
      </c>
      <c r="G18" t="str" s="254">
        <f>Quartile!H17</f>
        <v>Second</v>
      </c>
      <c r="H18" t="s" s="259">
        <v>131</v>
      </c>
      <c r="J18" t="s" s="266">
        <v>1684</v>
      </c>
      <c r="K18" s="277">
        <f>K14*K17</f>
        <v>6.25</v>
      </c>
    </row>
    <row r="19">
      <c r="B19" s="251"/>
      <c r="C19" t="s" s="251">
        <v>1644</v>
      </c>
      <c r="D19" s="253">
        <f>'Deal Dispersion and Loss'!E52</f>
        <v>0.09565217391304348</v>
      </c>
      <c r="E19" s="253">
        <f>'Deal Dispersion and Loss'!F52</f>
        <v>0.17974683544303796</v>
      </c>
      <c r="F19" s="253">
        <f>'Deal Dispersion and Loss'!G52</f>
        <v>0.1297709923664122</v>
      </c>
      <c r="G19" s="253">
        <f>'Deal Dispersion and Loss'!H52</f>
        <v>0.10638297872340426</v>
      </c>
      <c r="H19" t="s" s="259">
        <v>1667</v>
      </c>
      <c r="J19" t="s" s="266">
        <v>1624</v>
      </c>
      <c r="K19" s="267">
        <v>30</v>
      </c>
    </row>
    <row r="20">
      <c r="B20" s="251"/>
      <c r="C20" t="s" s="251">
        <v>1645</v>
      </c>
      <c r="D20" s="252">
        <f>'Deal Dispersion and Loss'!E42</f>
        <v>0.8070938223353704</v>
      </c>
      <c r="E20" s="252">
        <f>'Deal Dispersion and Loss'!F42</f>
        <v>1.2358671735376425</v>
      </c>
      <c r="F20" s="252">
        <f>'Deal Dispersion and Loss'!G42</f>
        <v>2.4107383954571655</v>
      </c>
      <c r="G20" s="252">
        <f>'Deal Dispersion and Loss'!H42</f>
        <v>0.5929145717316889</v>
      </c>
      <c r="H20" t="s" s="259">
        <v>1667</v>
      </c>
      <c r="J20" t="s" s="266">
        <v>1685</v>
      </c>
      <c r="K20" s="271">
        <v>0.5</v>
      </c>
    </row>
    <row r="21">
      <c r="H21" s="2"/>
      <c r="J21" t="s" s="266">
        <v>1686</v>
      </c>
      <c r="K21" s="274">
        <f>K19*(1-K20)</f>
        <v>15</v>
      </c>
    </row>
    <row r="22">
      <c r="B22" t="s" s="5">
        <v>1634</v>
      </c>
      <c r="C22" s="5"/>
      <c r="D22" s="5"/>
      <c r="E22" s="5"/>
      <c r="F22" s="5"/>
      <c r="G22" s="5"/>
      <c r="H22" s="154"/>
      <c r="J22" t="s" s="268">
        <v>1687</v>
      </c>
      <c r="K22" s="278">
        <f>K6/K21</f>
        <v>3.3333333333333335</v>
      </c>
    </row>
    <row r="23">
      <c r="B23" s="249"/>
      <c r="C23" t="s" s="249">
        <v>1646</v>
      </c>
      <c r="D23" t="s" s="250">
        <v>1662</v>
      </c>
      <c r="E23" t="s" s="250">
        <v>1663</v>
      </c>
      <c r="F23" s="249"/>
      <c r="G23" s="249"/>
      <c r="H23" t="s" s="260">
        <v>1664</v>
      </c>
    </row>
    <row r="24">
      <c r="B24" s="251"/>
      <c r="C24" t="s" s="251">
        <v>1647</v>
      </c>
      <c r="D24" s="252">
        <f>'PPM Headline'!F24</f>
        <v>3.632183908045977</v>
      </c>
      <c r="E24" s="255">
        <f>'PPM Headline'!F28</f>
        <v>3.0076335877862594</v>
      </c>
      <c r="F24" s="251"/>
      <c r="G24" s="251"/>
      <c r="H24" t="s" s="259">
        <v>1668</v>
      </c>
    </row>
    <row r="25">
      <c r="B25" s="251"/>
      <c r="C25" t="s" s="251">
        <v>1648</v>
      </c>
      <c r="D25" s="252">
        <f>'PPM Headline'!F24</f>
        <v>3.632183908045977</v>
      </c>
      <c r="E25" s="255">
        <f>'PPM Headline'!F26</f>
        <v>2.7066666666666666</v>
      </c>
      <c r="F25" s="251"/>
      <c r="G25" s="251"/>
      <c r="H25" t="s" s="259">
        <v>1668</v>
      </c>
    </row>
    <row r="26">
      <c r="B26" s="251"/>
      <c r="C26" t="s" s="251">
        <v>1649</v>
      </c>
      <c r="D26" s="253">
        <f>'Sub Line'!D7</f>
        <v>0.14515922665596012</v>
      </c>
      <c r="E26" s="256">
        <f>'Sub Line'!D8</f>
        <v>0.11821619868278502</v>
      </c>
      <c r="F26" s="251"/>
      <c r="G26" s="251"/>
      <c r="H26" t="s" s="259">
        <v>1665</v>
      </c>
    </row>
    <row r="27">
      <c r="B27" s="251"/>
      <c r="C27" t="s" s="251">
        <v>1650</v>
      </c>
      <c r="D27" s="257">
        <f>'Pellston Mark'!C15</f>
        <v>290</v>
      </c>
      <c r="E27" s="258">
        <f>'Pellston Mark'!C41</f>
        <v>125</v>
      </c>
      <c r="F27" s="251"/>
      <c r="G27" s="251"/>
      <c r="H27" t="s" s="259">
        <v>1669</v>
      </c>
    </row>
    <row r="28">
      <c r="B28" s="251"/>
      <c r="C28" t="s" s="251">
        <v>1651</v>
      </c>
      <c r="D28" s="252">
        <f>'Pellston Mark'!C99</f>
        <v>1.431548812940447</v>
      </c>
      <c r="E28" s="255">
        <f>'Pellston Mark'!D99</f>
        <v>1.3115990699408626</v>
      </c>
      <c r="F28" s="251"/>
      <c r="G28" s="251"/>
      <c r="H28" t="s" s="259">
        <v>1669</v>
      </c>
    </row>
    <row r="29">
      <c r="B29" s="251"/>
      <c r="C29" t="s" s="251">
        <v>1652</v>
      </c>
      <c r="D29" s="253">
        <f>'Pellston Mark'!C102</f>
        <v>0.14515922665596012</v>
      </c>
      <c r="E29" s="256">
        <f>'Pellston Mark'!D102</f>
        <v>0.10883719325065613</v>
      </c>
      <c r="F29" s="251"/>
      <c r="G29" s="251"/>
      <c r="H29" t="s" s="259">
        <v>1669</v>
      </c>
    </row>
    <row r="30">
      <c r="B30" s="251"/>
      <c r="C30" t="s" s="251">
        <v>1653</v>
      </c>
      <c r="D30" s="257">
        <f>'Fund III Carry'!F10</f>
        <v>0</v>
      </c>
      <c r="E30" s="258">
        <f>'Fund III Carry'!F9</f>
        <v>120.91655411481757</v>
      </c>
      <c r="F30" s="251"/>
      <c r="G30" s="251"/>
      <c r="H30" t="s" s="259">
        <v>1670</v>
      </c>
    </row>
    <row r="31">
      <c r="B31" s="251"/>
      <c r="C31" t="s" s="251">
        <v>1654</v>
      </c>
      <c r="D31" s="263">
        <f>COUNTIF('Terms vs ILPA'!G7:G29,"Worse than Fund IV")</f>
        <v>13</v>
      </c>
      <c r="E31" s="264">
        <f>COUNTIF('Terms vs ILPA'!G7:G29,"Below ILPA")</f>
        <v>7</v>
      </c>
      <c r="F31" s="251"/>
      <c r="G31" s="251"/>
      <c r="H31" t="s" s="259">
        <v>1671</v>
      </c>
    </row>
    <row r="32">
      <c r="B32" s="251"/>
      <c r="C32" t="s" s="251">
        <v>1655</v>
      </c>
      <c r="D32" s="263">
        <f>COUNTIF('ODD Red Flags'!E6:E21,"High")</f>
        <v>7</v>
      </c>
      <c r="E32" s="264">
        <f>COUNTIF('ODD Red Flags'!E6:E21,"Medium")</f>
        <v>8</v>
      </c>
      <c r="F32" s="251"/>
      <c r="G32" s="251"/>
      <c r="H32" t="s" s="259">
        <v>1672</v>
      </c>
    </row>
    <row r="33">
      <c r="B33" s="251"/>
      <c r="C33" t="s" s="251">
        <v>1656</v>
      </c>
      <c r="D33" s="263">
        <f>COUNTIF('DDQ Review'!H6:H25,"Contradicted")</f>
        <v>4</v>
      </c>
      <c r="E33" s="264">
        <f>COUNTA('Request List'!C6:C40)</f>
        <v>28</v>
      </c>
      <c r="F33" s="251"/>
      <c r="G33" s="251"/>
      <c r="H33" t="s" s="259">
        <v>1673</v>
      </c>
    </row>
    <row r="35">
      <c r="B35" t="s" s="5">
        <v>1635</v>
      </c>
      <c r="C35" s="5"/>
      <c r="D35" s="5"/>
      <c r="E35" s="5"/>
      <c r="F35" s="5"/>
      <c r="G35" s="5"/>
      <c r="H35" s="5"/>
    </row>
    <row r="36" ht="28" customHeight="1">
      <c r="B36" t="s" s="261">
        <v>1367</v>
      </c>
      <c r="C36" t="s" s="183">
        <v>1657</v>
      </c>
      <c r="D36" s="251"/>
      <c r="E36" s="251"/>
      <c r="F36" s="251"/>
      <c r="G36" s="251"/>
      <c r="H36" s="251"/>
    </row>
    <row r="37" ht="28" customHeight="1">
      <c r="B37" t="s" s="261">
        <v>1378</v>
      </c>
      <c r="C37" t="s" s="183">
        <v>1658</v>
      </c>
      <c r="D37" s="251"/>
      <c r="E37" s="251"/>
      <c r="F37" s="251"/>
      <c r="G37" s="251"/>
      <c r="H37" s="251"/>
    </row>
    <row r="38" ht="16" customHeight="1">
      <c r="B38" t="s" s="261">
        <v>1386</v>
      </c>
      <c r="C38" t="s" s="183">
        <v>1659</v>
      </c>
      <c r="D38" s="251"/>
      <c r="E38" s="251"/>
      <c r="F38" s="251"/>
      <c r="G38" s="251"/>
      <c r="H38" s="251"/>
    </row>
    <row r="39" ht="16" customHeight="1">
      <c r="B39" t="s" s="261">
        <v>1394</v>
      </c>
      <c r="C39" t="s" s="183">
        <v>1660</v>
      </c>
      <c r="D39" s="251"/>
      <c r="E39" s="251"/>
      <c r="F39" s="251"/>
      <c r="G39" s="251"/>
      <c r="H39" s="251"/>
    </row>
    <row r="40" ht="28" customHeight="1">
      <c r="B40" t="s" s="261">
        <v>1401</v>
      </c>
      <c r="C40" t="s" s="183">
        <v>1661</v>
      </c>
      <c r="D40" s="251"/>
      <c r="E40" s="251"/>
      <c r="F40" s="251"/>
      <c r="G40" s="251"/>
      <c r="H40" s="251"/>
    </row>
  </sheetData>
  <mergeCells count="7">
    <mergeCell ref="C6:H6"/>
    <mergeCell ref="C7:H7"/>
    <mergeCell ref="C36:H36"/>
    <mergeCell ref="C37:H37"/>
    <mergeCell ref="C38:H38"/>
    <mergeCell ref="C39:H39"/>
    <mergeCell ref="C40:H40"/>
  </mergeCell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87"/>
  <sheetViews>
    <sheetView showGridLines="0" workbookViewId="0">
      <pane ySplit="5" topLeftCell="A6" activePane="bottomLeft" state="frozen"/>
      <selection pane="bottomLeft" activeCell="A1" sqref="A1"/>
    </sheetView>
  </sheetViews>
  <cols>
    <col min="1" max="1" width="2.21875" customWidth="1"/>
    <col min="2" max="2" width="43.7890625" customWidth="1"/>
    <col min="3" max="7" width="13.21875" customWidth="1"/>
    <col min="8" max="8" width="2.21875" customWidth="1"/>
    <col min="9" max="9" width="57.07421875" customWidth="1"/>
  </cols>
  <sheetData>
    <row r="2">
      <c r="B2" t="s" s="1">
        <v>0</v>
      </c>
    </row>
    <row r="3">
      <c r="B3" t="s" s="2">
        <v>1</v>
      </c>
    </row>
    <row r="5">
      <c r="B5" t="s" s="3">
        <v>2</v>
      </c>
      <c r="C5" t="s" s="4">
        <v>3</v>
      </c>
      <c r="D5" t="s" s="4">
        <v>4</v>
      </c>
      <c r="E5" t="s" s="4">
        <v>5</v>
      </c>
      <c r="F5" t="s" s="4">
        <v>6</v>
      </c>
      <c r="G5" t="s" s="4">
        <v>7</v>
      </c>
    </row>
    <row r="6">
      <c r="B6" t="s" s="5">
        <v>8</v>
      </c>
      <c r="C6" s="5"/>
      <c r="D6" s="5"/>
      <c r="E6" s="5"/>
      <c r="F6" s="5"/>
      <c r="G6" s="5"/>
    </row>
    <row r="7">
      <c r="B7" t="s">
        <v>9</v>
      </c>
      <c r="C7" s="6">
        <f>-SUMIFS('Deal CF'!$F$5:$F$81,'Deal CF'!$B$5:$B$81,C$5,'Deal CF'!$F$5:$F$81,"&lt;0")</f>
        <v>230</v>
      </c>
      <c r="D7" s="6">
        <f>-SUMIFS('Deal CF'!$F$5:$F$81,'Deal CF'!$B$5:$B$81,D$5,'Deal CF'!$F$5:$F$81,"&lt;0")</f>
        <v>395</v>
      </c>
      <c r="E7" s="6">
        <f>-SUMIFS('Deal CF'!$F$5:$F$81,'Deal CF'!$B$5:$B$81,E$5,'Deal CF'!$F$5:$F$81,"&lt;0")</f>
        <v>655</v>
      </c>
      <c r="F7" s="6">
        <f>-SUMIFS('Deal CF'!$F$5:$F$81,'Deal CF'!$B$5:$B$81,F$5,'Deal CF'!$F$5:$F$81,"&lt;0")</f>
        <v>940</v>
      </c>
      <c r="G7" s="6">
        <f>-SUMIFS('Deal CF'!$F$5:$F$81,'Deal CF'!$F$5:$F$81,"&lt;0")</f>
        <v>2220</v>
      </c>
    </row>
    <row r="8">
      <c r="B8" t="s">
        <v>10</v>
      </c>
      <c r="C8" s="6">
        <f>SUMIFS('Deal CF'!$F$5:$F$81,'Deal CF'!$B$5:$B$81,C$5,'Deal CF'!$F$5:$F$81,"&gt;0")</f>
        <v>520</v>
      </c>
      <c r="D8" s="6">
        <f>SUMIFS('Deal CF'!$F$5:$F$81,'Deal CF'!$B$5:$B$81,D$5,'Deal CF'!$F$5:$F$81,"&gt;0")</f>
        <v>945</v>
      </c>
      <c r="E8" s="6">
        <f>SUMIFS('Deal CF'!$F$5:$F$81,'Deal CF'!$B$5:$B$81,E$5,'Deal CF'!$F$5:$F$81,"&gt;0")</f>
        <v>1970</v>
      </c>
      <c r="F8" s="6">
        <f>SUMIFS('Deal CF'!$F$5:$F$81,'Deal CF'!$B$5:$B$81,F$5,'Deal CF'!$F$5:$F$81,"&gt;0")</f>
        <v>1720</v>
      </c>
      <c r="G8" s="6">
        <f>SUMIFS('Deal CF'!$F$5:$F$81,'Deal CF'!$F$5:$F$81,"&gt;0")</f>
        <v>5155</v>
      </c>
    </row>
    <row r="9">
      <c r="B9" t="s" s="7">
        <v>11</v>
      </c>
      <c r="C9" s="9">
        <f>C8/C7</f>
        <v>2.260869565217391</v>
      </c>
      <c r="D9" s="9">
        <f>D8/D7</f>
        <v>2.392405063291139</v>
      </c>
      <c r="E9" s="9">
        <f>E8/E7</f>
        <v>3.0076335877862594</v>
      </c>
      <c r="F9" s="9">
        <f>F8/F7</f>
        <v>1.8297872340425532</v>
      </c>
      <c r="G9" s="9">
        <f>G8/G7</f>
        <v>2.3220720720720722</v>
      </c>
    </row>
    <row r="10">
      <c r="B10" t="s" s="7">
        <v>12</v>
      </c>
      <c r="C10" s="10">
        <f>XIRR('Deal CF'!$F$5:$F$20,'Deal CF'!$D$5:$D$20)</f>
        <v>0.20797922015190123</v>
      </c>
      <c r="D10" s="10">
        <f>XIRR('Deal CF'!$F$21:$F$40,'Deal CF'!$D$21:$D$40)</f>
        <v>0.21642147898674013</v>
      </c>
      <c r="E10" s="10">
        <f>XIRR('Deal CF'!$F$41:$F$62,'Deal CF'!$D$41:$D$62)</f>
        <v>0.3007669746875763</v>
      </c>
      <c r="F10" s="10">
        <f>XIRR('Deal CF'!$F$63:$F$81,'Deal CF'!$D$63:$D$81)</f>
        <v>0.17596345543861389</v>
      </c>
      <c r="G10" s="10">
        <f>XIRR('Deal CF'!$F$5:$F$81,'Deal CF'!$D$5:$D$81)</f>
        <v>0.2277738630771637</v>
      </c>
    </row>
    <row r="11">
      <c r="B11" t="s">
        <v>13</v>
      </c>
      <c r="C11" s="6">
        <f>-SUMIFS('LP CF'!$F$5:$F$107,'LP CF'!$B$5:$B$107,C$5,'LP CF'!$D$5:$D$107,"Capital call")</f>
        <v>250</v>
      </c>
      <c r="D11" s="6">
        <f>-SUMIFS('LP CF'!$F$5:$F$107,'LP CF'!$B$5:$B$107,D$5,'LP CF'!$D$5:$D$107,"Capital call")</f>
        <v>420</v>
      </c>
      <c r="E11" s="6">
        <f>-SUMIFS('LP CF'!$F$5:$F$107,'LP CF'!$B$5:$B$107,E$5,'LP CF'!$D$5:$D$107,"Capital call")</f>
        <v>700.0000000000001</v>
      </c>
      <c r="F11" s="6">
        <f>-SUMIFS('LP CF'!$F$5:$F$107,'LP CF'!$B$5:$B$107,F$5,'LP CF'!$D$5:$D$107,"Capital call")</f>
        <v>1100.4608821917811</v>
      </c>
      <c r="G11" s="6">
        <f>-SUMIFS('LP CF'!$F$5:$F$107,'LP CF'!$D$5:$D$107,"Capital call")</f>
        <v>2470.460882191781</v>
      </c>
    </row>
    <row r="12">
      <c r="B12" t="s">
        <v>14</v>
      </c>
      <c r="C12" s="6">
        <f>SUMIFS('LP CF'!$F$5:$F$107,'LP CF'!$B$5:$B$107,C$5,'LP CF'!$D$5:$D$107,"Cash distribution")</f>
        <v>456.34</v>
      </c>
      <c r="D12" s="6">
        <f>SUMIFS('LP CF'!$F$5:$F$107,'LP CF'!$B$5:$B$107,D$5,'LP CF'!$D$5:$D$107,"Cash distribution")</f>
        <v>782.6689999999999</v>
      </c>
      <c r="E12" s="6">
        <f>SUMIFS('LP CF'!$F$5:$F$107,'LP CF'!$B$5:$B$107,E$5,'LP CF'!$D$5:$D$107,"Cash distribution")</f>
        <v>1358.9468630136987</v>
      </c>
      <c r="F12" s="6">
        <f>SUMIFS('LP CF'!$F$5:$F$107,'LP CF'!$B$5:$B$107,F$5,'LP CF'!$D$5:$D$107,"Cash distribution")</f>
        <v>160</v>
      </c>
      <c r="G12" s="6">
        <f>SUMIFS('LP CF'!$F$5:$F$107,'LP CF'!$D$5:$D$107,"Cash distribution")</f>
        <v>2757.9558630136985</v>
      </c>
    </row>
    <row r="13">
      <c r="B13" t="s">
        <v>15</v>
      </c>
      <c r="C13" s="6">
        <f>SUMIFS('LP CF'!$F$5:$F$107,'LP CF'!$B$5:$B$107,C$5,'LP CF'!$D$5:$D$107,"NAV")</f>
        <v>0</v>
      </c>
      <c r="D13" s="6">
        <f>SUMIFS('LP CF'!$F$5:$F$107,'LP CF'!$B$5:$B$107,D$5,'LP CF'!$D$5:$D$107,"NAV")</f>
        <v>26.49199999999999</v>
      </c>
      <c r="E13" s="6">
        <f>SUMIFS('LP CF'!$F$5:$F$107,'LP CF'!$B$5:$B$107,E$5,'LP CF'!$D$5:$D$107,"NAV")</f>
        <v>306.95</v>
      </c>
      <c r="F13" s="6">
        <f>SUMIFS('LP CF'!$F$5:$F$107,'LP CF'!$B$5:$B$107,F$5,'LP CF'!$D$5:$D$107,"NAV")</f>
        <v>1415.363469589041</v>
      </c>
      <c r="G13" s="6">
        <f>SUMIFS('LP CF'!$F$5:$F$107,'LP CF'!$D$5:$D$107,"NAV")</f>
        <v>1748.805469589041</v>
      </c>
    </row>
    <row r="14">
      <c r="B14" t="s" s="7">
        <v>16</v>
      </c>
      <c r="C14" s="9">
        <f>(C12+C13)/C11</f>
        <v>1.8253599999999999</v>
      </c>
      <c r="D14" s="9">
        <f>(D12+D13)/D11</f>
        <v>1.9265738095238092</v>
      </c>
      <c r="E14" s="9">
        <f>(E12+E13)/E11</f>
        <v>2.379852661448141</v>
      </c>
      <c r="F14" s="9">
        <f>(F12+F13)/F11</f>
        <v>1.4315488129404466</v>
      </c>
      <c r="G14" s="9">
        <f>(G12+G13)/G11</f>
        <v>1.8242593376359648</v>
      </c>
    </row>
    <row r="15">
      <c r="B15" t="s">
        <v>17</v>
      </c>
      <c r="C15" s="11">
        <f>C12/C11</f>
        <v>1.8253599999999999</v>
      </c>
      <c r="D15" s="11">
        <f>D12/D11</f>
        <v>1.8634976190476187</v>
      </c>
      <c r="E15" s="11">
        <f>E12/E11</f>
        <v>1.9413526614481407</v>
      </c>
      <c r="F15" s="11">
        <f>F12/F11</f>
        <v>0.14539362787828405</v>
      </c>
      <c r="G15" s="11">
        <f>G12/G11</f>
        <v>1.1163730148063924</v>
      </c>
    </row>
    <row r="16">
      <c r="B16" t="s">
        <v>18</v>
      </c>
      <c r="C16" s="11">
        <f>C13/C11</f>
        <v>0</v>
      </c>
      <c r="D16" s="11">
        <f>D13/D11</f>
        <v>0.06307619047619045</v>
      </c>
      <c r="E16" s="11">
        <f>E13/E11</f>
        <v>0.4384999999999999</v>
      </c>
      <c r="F16" s="11">
        <f>F13/F11</f>
        <v>1.2861551850621626</v>
      </c>
      <c r="G16" s="11">
        <f>G13/G11</f>
        <v>0.7078863228295723</v>
      </c>
    </row>
    <row r="17">
      <c r="B17" t="s" s="7">
        <v>19</v>
      </c>
      <c r="C17" s="10">
        <f>XIRR('LP CF'!$F$5:$F$29,'LP CF'!$C$5:$C$29)</f>
        <v>0.15324133038520815</v>
      </c>
      <c r="D17" s="10">
        <f>XIRR('LP CF'!$F$30:$F$54,'LP CF'!$C$30:$C$54)</f>
        <v>0.16180080771446229</v>
      </c>
      <c r="E17" s="10">
        <f>XIRR('LP CF'!$F$55:$F$87,'LP CF'!$C$55:$C$87)</f>
        <v>0.24977522492408755</v>
      </c>
      <c r="F17" s="10">
        <f>XIRR('LP CF'!$F$88:$F$107,'LP CF'!$C$88:$C$107)</f>
        <v>0.14515922665596012</v>
      </c>
      <c r="G17" s="10">
        <f>XIRR('LP CF'!$F$5:$F$107,'LP CF'!$C$5:$C$107)</f>
        <v>0.17957215905189514</v>
      </c>
    </row>
    <row r="18">
      <c r="B18" t="s">
        <v>20</v>
      </c>
      <c r="C18" s="13">
        <f>C10-C17</f>
        <v>0.05473788976669308</v>
      </c>
      <c r="D18" s="13">
        <f>D10-D17</f>
        <v>0.05462067127227785</v>
      </c>
      <c r="E18" s="13">
        <f>E10-E17</f>
        <v>0.05099174976348875</v>
      </c>
      <c r="F18" s="13">
        <f>F10-F17</f>
        <v>0.030804228782653764</v>
      </c>
      <c r="G18" s="13">
        <f>G10-G17</f>
        <v>0.04820170402526858</v>
      </c>
    </row>
    <row r="19">
      <c r="B19" t="s">
        <v>21</v>
      </c>
      <c r="C19" s="11">
        <f>C9-C14</f>
        <v>0.43550956521739126</v>
      </c>
      <c r="D19" s="11">
        <f>D9-D14</f>
        <v>0.4658312537673299</v>
      </c>
      <c r="E19" s="11">
        <f>E9-E14</f>
        <v>0.6277809263381187</v>
      </c>
      <c r="F19" s="11">
        <f>F9-F14</f>
        <v>0.3982384211021066</v>
      </c>
      <c r="G19" s="11">
        <f>G9-G14</f>
        <v>0.4978127344361074</v>
      </c>
    </row>
    <row r="21">
      <c r="B21" t="s" s="5">
        <v>22</v>
      </c>
      <c r="C21" s="5"/>
      <c r="D21" s="5"/>
      <c r="E21" s="5"/>
      <c r="F21" s="5"/>
      <c r="G21" s="5"/>
    </row>
    <row r="22">
      <c r="B22" t="s">
        <v>9</v>
      </c>
      <c r="C22" s="15">
        <v>230</v>
      </c>
      <c r="D22" s="15">
        <v>395</v>
      </c>
      <c r="E22" s="15">
        <v>655</v>
      </c>
      <c r="F22" s="15">
        <v>940</v>
      </c>
      <c r="G22" s="15">
        <v>2220</v>
      </c>
    </row>
    <row r="23">
      <c r="B23" t="s">
        <v>10</v>
      </c>
      <c r="C23" s="15">
        <v>520</v>
      </c>
      <c r="D23" s="15">
        <v>945</v>
      </c>
      <c r="E23" s="15">
        <v>1970</v>
      </c>
      <c r="F23" s="15">
        <v>1720</v>
      </c>
      <c r="G23" s="15">
        <v>5155</v>
      </c>
    </row>
    <row r="24">
      <c r="B24" t="s" s="7">
        <v>11</v>
      </c>
      <c r="C24" s="16">
        <v>2.260869565217391</v>
      </c>
      <c r="D24" s="16">
        <v>2.392405063291139</v>
      </c>
      <c r="E24" s="16">
        <v>3.007633587786259</v>
      </c>
      <c r="F24" s="16">
        <v>1.829787234042553</v>
      </c>
      <c r="G24" s="16">
        <v>2.322072072072072</v>
      </c>
    </row>
    <row r="25">
      <c r="B25" t="s" s="7">
        <v>12</v>
      </c>
      <c r="C25" s="17">
        <v>0.207979225158016</v>
      </c>
      <c r="D25" s="17">
        <v>0.216421482209303</v>
      </c>
      <c r="E25" s="17">
        <v>0.3007669803617755</v>
      </c>
      <c r="F25" s="17">
        <v>0.1759634517298495</v>
      </c>
      <c r="G25" s="18"/>
    </row>
    <row r="26">
      <c r="B26" t="s">
        <v>13</v>
      </c>
      <c r="C26" s="15">
        <v>250</v>
      </c>
      <c r="D26" s="15">
        <v>420</v>
      </c>
      <c r="E26" s="15">
        <v>700</v>
      </c>
      <c r="F26" s="15">
        <v>1100.460882191781</v>
      </c>
      <c r="G26" s="19"/>
    </row>
    <row r="27">
      <c r="B27" t="s">
        <v>14</v>
      </c>
      <c r="C27" s="15">
        <v>456.34</v>
      </c>
      <c r="D27" s="15">
        <v>782.669</v>
      </c>
      <c r="E27" s="15">
        <v>1358.946863013699</v>
      </c>
      <c r="F27" s="15">
        <v>160</v>
      </c>
      <c r="G27" s="19"/>
    </row>
    <row r="28">
      <c r="B28" t="s">
        <v>15</v>
      </c>
      <c r="C28" s="15">
        <v>0</v>
      </c>
      <c r="D28" s="15">
        <v>26.49199999999999</v>
      </c>
      <c r="E28" s="15">
        <v>306.95</v>
      </c>
      <c r="F28" s="15">
        <v>1415.363469589041</v>
      </c>
      <c r="G28" s="19"/>
    </row>
    <row r="29">
      <c r="B29" t="s" s="7">
        <v>16</v>
      </c>
      <c r="C29" s="16">
        <v>1.82536</v>
      </c>
      <c r="D29" s="16">
        <v>1.926573809523809</v>
      </c>
      <c r="E29" s="16">
        <v>2.379852661448141</v>
      </c>
      <c r="F29" s="16">
        <v>1.431548812940447</v>
      </c>
      <c r="G29" s="9"/>
    </row>
    <row r="30">
      <c r="B30" t="s">
        <v>17</v>
      </c>
      <c r="C30" s="20">
        <v>1.82536</v>
      </c>
      <c r="D30" s="20">
        <v>1.863497619047619</v>
      </c>
      <c r="E30" s="20">
        <v>1.941352661448141</v>
      </c>
      <c r="F30" s="20">
        <v>0.1453936278782841</v>
      </c>
      <c r="G30" s="11"/>
    </row>
    <row r="31">
      <c r="B31" t="s">
        <v>18</v>
      </c>
      <c r="C31" s="20">
        <v>0</v>
      </c>
      <c r="D31" s="20">
        <v>0.06307619047619045</v>
      </c>
      <c r="E31" s="20">
        <v>0.4385000000000001</v>
      </c>
      <c r="F31" s="20">
        <v>1.286155185062163</v>
      </c>
      <c r="G31" s="11"/>
    </row>
    <row r="32">
      <c r="B32" t="s" s="7">
        <v>19</v>
      </c>
      <c r="C32" s="17">
        <v>0.1532413301016989</v>
      </c>
      <c r="D32" s="17">
        <v>0.1618008077192375</v>
      </c>
      <c r="E32" s="17">
        <v>0.2497752267324383</v>
      </c>
      <c r="F32" s="17">
        <v>0.1451592235623492</v>
      </c>
      <c r="G32" s="18"/>
    </row>
    <row r="33">
      <c r="B33" t="s">
        <v>20</v>
      </c>
      <c r="C33" s="13">
        <f>C25-C32</f>
        <v>0.0547378950563171</v>
      </c>
      <c r="D33" s="13">
        <f>D25-D32</f>
        <v>0.054620674490065496</v>
      </c>
      <c r="E33" s="13">
        <f>E25-E32</f>
        <v>0.05099175362933722</v>
      </c>
      <c r="F33" s="13">
        <f>F25-F32</f>
        <v>0.030804228167500308</v>
      </c>
      <c r="G33" s="13"/>
    </row>
    <row r="34">
      <c r="B34" t="s">
        <v>21</v>
      </c>
      <c r="C34" s="11">
        <f>C24-C29</f>
        <v>0.43550956521739104</v>
      </c>
      <c r="D34" s="11">
        <f>D24-D29</f>
        <v>0.46583125376733014</v>
      </c>
      <c r="E34" s="11">
        <f>E24-E29</f>
        <v>0.6277809263381182</v>
      </c>
      <c r="F34" s="11">
        <f>F24-F29</f>
        <v>0.39823842110210594</v>
      </c>
      <c r="G34" s="11"/>
    </row>
    <row r="36">
      <c r="B36" t="s" s="5">
        <v>23</v>
      </c>
      <c r="C36" s="5"/>
      <c r="D36" s="5"/>
      <c r="E36" s="5"/>
      <c r="F36" s="5"/>
      <c r="G36" s="5"/>
    </row>
    <row r="37">
      <c r="B37" t="s">
        <v>9</v>
      </c>
      <c r="C37" s="15">
        <v>230</v>
      </c>
      <c r="D37" s="15">
        <v>395</v>
      </c>
      <c r="E37" s="15">
        <v>655</v>
      </c>
      <c r="F37" s="15">
        <v>940</v>
      </c>
      <c r="G37" s="15">
        <v>2220</v>
      </c>
    </row>
    <row r="38">
      <c r="B38" t="s">
        <v>10</v>
      </c>
      <c r="C38" s="19"/>
      <c r="D38" s="19"/>
      <c r="E38" s="19"/>
      <c r="F38" s="19"/>
      <c r="G38" s="19"/>
    </row>
    <row r="39">
      <c r="B39" t="s" s="7">
        <v>11</v>
      </c>
      <c r="C39" s="16">
        <v>2.26</v>
      </c>
      <c r="D39" s="16">
        <v>2.39</v>
      </c>
      <c r="E39" s="16">
        <v>3.01</v>
      </c>
      <c r="F39" s="16">
        <v>1.83</v>
      </c>
      <c r="G39" s="16">
        <v>2.32</v>
      </c>
    </row>
    <row r="40">
      <c r="B40" t="s" s="7">
        <v>12</v>
      </c>
      <c r="C40" s="17">
        <v>0.208</v>
      </c>
      <c r="D40" s="17">
        <v>0.216</v>
      </c>
      <c r="E40" s="17">
        <v>0.301</v>
      </c>
      <c r="F40" s="17">
        <v>0.176</v>
      </c>
      <c r="G40" s="18"/>
    </row>
    <row r="41">
      <c r="B41" t="s">
        <v>13</v>
      </c>
      <c r="C41" s="19"/>
      <c r="D41" s="19"/>
      <c r="E41" s="19"/>
      <c r="F41" s="19"/>
      <c r="G41" s="19"/>
    </row>
    <row r="42">
      <c r="B42" t="s">
        <v>14</v>
      </c>
      <c r="C42" s="19"/>
      <c r="D42" s="19"/>
      <c r="E42" s="19"/>
      <c r="F42" s="19"/>
      <c r="G42" s="19"/>
    </row>
    <row r="43">
      <c r="B43" t="s">
        <v>15</v>
      </c>
      <c r="C43" s="19"/>
      <c r="D43" s="19"/>
      <c r="E43" s="19"/>
      <c r="F43" s="19"/>
      <c r="G43" s="19"/>
    </row>
    <row r="44">
      <c r="B44" t="s" s="7">
        <v>16</v>
      </c>
      <c r="C44" s="16">
        <v>1.83</v>
      </c>
      <c r="D44" s="16">
        <v>1.93</v>
      </c>
      <c r="E44" s="16">
        <v>2.38</v>
      </c>
      <c r="F44" s="16">
        <v>1.43</v>
      </c>
      <c r="G44" s="9"/>
    </row>
    <row r="45">
      <c r="B45" t="s">
        <v>17</v>
      </c>
      <c r="C45" s="20">
        <v>1.83</v>
      </c>
      <c r="D45" s="20">
        <v>1.86</v>
      </c>
      <c r="E45" s="20">
        <v>1.94</v>
      </c>
      <c r="F45" s="20">
        <v>0.15</v>
      </c>
      <c r="G45" s="11"/>
    </row>
    <row r="46">
      <c r="B46" t="s">
        <v>18</v>
      </c>
      <c r="C46" s="11"/>
      <c r="D46" s="11"/>
      <c r="E46" s="11"/>
      <c r="F46" s="11"/>
      <c r="G46" s="11"/>
    </row>
    <row r="47">
      <c r="B47" t="s" s="7">
        <v>19</v>
      </c>
      <c r="C47" s="17">
        <v>0.153</v>
      </c>
      <c r="D47" s="17">
        <v>0.162</v>
      </c>
      <c r="E47" s="17">
        <v>0.25</v>
      </c>
      <c r="F47" s="17">
        <v>0.145</v>
      </c>
      <c r="G47" s="18"/>
    </row>
    <row r="48">
      <c r="B48" t="s">
        <v>20</v>
      </c>
      <c r="C48" s="13"/>
      <c r="D48" s="13"/>
      <c r="E48" s="13"/>
      <c r="F48" s="13"/>
      <c r="G48" s="13"/>
    </row>
    <row r="49">
      <c r="B49" t="s">
        <v>21</v>
      </c>
      <c r="C49" s="11"/>
      <c r="D49" s="11"/>
      <c r="E49" s="11"/>
      <c r="F49" s="11"/>
      <c r="G49" s="11"/>
    </row>
    <row r="51">
      <c r="B51" t="s" s="5">
        <v>24</v>
      </c>
      <c r="C51" s="5"/>
      <c r="D51" s="5"/>
      <c r="E51" s="5"/>
      <c r="F51" s="5"/>
      <c r="G51" s="5"/>
    </row>
    <row r="52">
      <c r="B52" t="s">
        <v>9</v>
      </c>
      <c r="C52" s="21">
        <f>IF(ISNUMBER(C22),C7-C22,"n.r.")</f>
        <v>0</v>
      </c>
      <c r="D52" s="21">
        <f>IF(ISNUMBER(D22),D7-D22,"n.r.")</f>
        <v>0</v>
      </c>
      <c r="E52" s="21">
        <f>IF(ISNUMBER(E22),E7-E22,"n.r.")</f>
        <v>0</v>
      </c>
      <c r="F52" s="21">
        <f>IF(ISNUMBER(F22),F7-F22,"n.r.")</f>
        <v>0</v>
      </c>
      <c r="G52" s="21">
        <f>IF(ISNUMBER(G22),G7-G22,"n.r.")</f>
        <v>0</v>
      </c>
    </row>
    <row r="53">
      <c r="B53" t="s">
        <v>10</v>
      </c>
      <c r="C53" s="21">
        <f>IF(ISNUMBER(C23),C8-C23,"n.r.")</f>
        <v>0</v>
      </c>
      <c r="D53" s="21">
        <f>IF(ISNUMBER(D23),D8-D23,"n.r.")</f>
        <v>0</v>
      </c>
      <c r="E53" s="21">
        <f>IF(ISNUMBER(E23),E8-E23,"n.r.")</f>
        <v>0</v>
      </c>
      <c r="F53" s="21">
        <f>IF(ISNUMBER(F23),F8-F23,"n.r.")</f>
        <v>0</v>
      </c>
      <c r="G53" s="21">
        <f>IF(ISNUMBER(G23),G8-G23,"n.r.")</f>
        <v>0</v>
      </c>
    </row>
    <row r="54">
      <c r="B54" t="s" s="7">
        <v>11</v>
      </c>
      <c r="C54" s="22">
        <f>IF(ISNUMBER(C24),C9-C24,"n.r.")</f>
        <v>0</v>
      </c>
      <c r="D54" s="22">
        <f>IF(ISNUMBER(D24),D9-D24,"n.r.")</f>
        <v>0</v>
      </c>
      <c r="E54" s="22">
        <f>IF(ISNUMBER(E24),E9-E24,"n.r.")</f>
        <v>0.0000000000000004440892098500626</v>
      </c>
      <c r="F54" s="22">
        <f>IF(ISNUMBER(F24),F9-F24,"n.r.")</f>
        <v>0.0000000000000002220446049250313</v>
      </c>
      <c r="G54" s="22">
        <f>IF(ISNUMBER(G24),G9-G24,"n.r.")</f>
        <v>0.0000000000000004440892098500626</v>
      </c>
    </row>
    <row r="55">
      <c r="B55" t="s" s="7">
        <v>12</v>
      </c>
      <c r="C55" s="23">
        <f>IF(ISNUMBER(C25),C10-C25,"n.r.")</f>
        <v>-0.000000005006114772720949</v>
      </c>
      <c r="D55" s="23">
        <f>IF(ISNUMBER(D25),D10-D25,"n.r.")</f>
        <v>-0.0000000032225628554538588</v>
      </c>
      <c r="E55" s="23">
        <f>IF(ISNUMBER(E25),E10-E25,"n.r.")</f>
        <v>-0.0000000056741992215947334</v>
      </c>
      <c r="F55" s="23">
        <f>IF(ISNUMBER(F25),F10-F25,"n.r.")</f>
        <v>0.000000003708764378940188</v>
      </c>
      <c r="G55" t="str" s="23">
        <f>IF(ISNUMBER(G25),G10-G25,"n.r.")</f>
        <v>n.r.</v>
      </c>
    </row>
    <row r="56">
      <c r="B56" t="s">
        <v>13</v>
      </c>
      <c r="C56" s="21">
        <f>IF(ISNUMBER(C26),C11-C26,"n.r.")</f>
        <v>0</v>
      </c>
      <c r="D56" s="21">
        <f>IF(ISNUMBER(D26),D11-D26,"n.r.")</f>
        <v>0</v>
      </c>
      <c r="E56" s="21">
        <f>IF(ISNUMBER(E26),E11-E26,"n.r.")</f>
        <v>0.00000000000011368683772161603</v>
      </c>
      <c r="F56" s="21">
        <f>IF(ISNUMBER(F26),F11-F26,"n.r.")</f>
        <v>0.00000000000022737367544323206</v>
      </c>
      <c r="G56" t="str" s="21">
        <f>IF(ISNUMBER(G26),G11-G26,"n.r.")</f>
        <v>n.r.</v>
      </c>
    </row>
    <row r="57">
      <c r="B57" t="s">
        <v>14</v>
      </c>
      <c r="C57" s="21">
        <f>IF(ISNUMBER(C27),C12-C27,"n.r.")</f>
        <v>0</v>
      </c>
      <c r="D57" s="21">
        <f>IF(ISNUMBER(D27),D12-D27,"n.r.")</f>
        <v>-0.00000000000011368683772161603</v>
      </c>
      <c r="E57" s="21">
        <f>IF(ISNUMBER(E27),E12-E27,"n.r.")</f>
        <v>-0.00000000000022737367544323206</v>
      </c>
      <c r="F57" s="21">
        <f>IF(ISNUMBER(F27),F12-F27,"n.r.")</f>
        <v>0</v>
      </c>
      <c r="G57" t="str" s="21">
        <f>IF(ISNUMBER(G27),G12-G27,"n.r.")</f>
        <v>n.r.</v>
      </c>
    </row>
    <row r="58">
      <c r="B58" t="s">
        <v>15</v>
      </c>
      <c r="C58" s="21">
        <f>IF(ISNUMBER(C28),C13-C28,"n.r.")</f>
        <v>0</v>
      </c>
      <c r="D58" s="21">
        <f>IF(ISNUMBER(D28),D13-D28,"n.r.")</f>
        <v>0</v>
      </c>
      <c r="E58" s="21">
        <f>IF(ISNUMBER(E28),E13-E28,"n.r.")</f>
        <v>0</v>
      </c>
      <c r="F58" s="21">
        <f>IF(ISNUMBER(F28),F13-F28,"n.r.")</f>
        <v>0</v>
      </c>
      <c r="G58" t="str" s="21">
        <f>IF(ISNUMBER(G28),G13-G28,"n.r.")</f>
        <v>n.r.</v>
      </c>
    </row>
    <row r="59">
      <c r="B59" t="s" s="7">
        <v>16</v>
      </c>
      <c r="C59" s="22">
        <f>IF(ISNUMBER(C29),C14-C29,"n.r.")</f>
        <v>-0.0000000000000002220446049250313</v>
      </c>
      <c r="D59" s="22">
        <f>IF(ISNUMBER(D29),D14-D29,"n.r.")</f>
        <v>0.0000000000000002220446049250313</v>
      </c>
      <c r="E59" s="22">
        <f>IF(ISNUMBER(E29),E14-E29,"n.r.")</f>
        <v>0</v>
      </c>
      <c r="F59" s="22">
        <f>IF(ISNUMBER(F29),F14-F29,"n.r.")</f>
        <v>-0.0000000000000004440892098500626</v>
      </c>
      <c r="G59" t="str" s="22">
        <f>IF(ISNUMBER(G29),G14-G29,"n.r.")</f>
        <v>n.r.</v>
      </c>
    </row>
    <row r="60">
      <c r="B60" t="s">
        <v>17</v>
      </c>
      <c r="C60" s="24">
        <f>IF(ISNUMBER(C30),C15-C30,"n.r.")</f>
        <v>-0.0000000000000002220446049250313</v>
      </c>
      <c r="D60" s="24">
        <f>IF(ISNUMBER(D30),D15-D30,"n.r.")</f>
        <v>-0.0000000000000002220446049250313</v>
      </c>
      <c r="E60" s="24">
        <f>IF(ISNUMBER(E30),E15-E30,"n.r.")</f>
        <v>-0.0000000000000002220446049250313</v>
      </c>
      <c r="F60" s="24">
        <f>IF(ISNUMBER(F30),F15-F30,"n.r.")</f>
        <v>-0.00000000000000005551115123125783</v>
      </c>
      <c r="G60" t="str" s="24">
        <f>IF(ISNUMBER(G30),G15-G30,"n.r.")</f>
        <v>n.r.</v>
      </c>
    </row>
    <row r="61">
      <c r="B61" t="s">
        <v>18</v>
      </c>
      <c r="C61" s="24">
        <f>IF(ISNUMBER(C31),C16-C31,"n.r.")</f>
        <v>0</v>
      </c>
      <c r="D61" s="24">
        <f>IF(ISNUMBER(D31),D16-D31,"n.r.")</f>
        <v>0</v>
      </c>
      <c r="E61" s="24">
        <f>IF(ISNUMBER(E31),E16-E31,"n.r.")</f>
        <v>-0.0000000000000002220446049250313</v>
      </c>
      <c r="F61" s="24">
        <f>IF(ISNUMBER(F31),F16-F31,"n.r.")</f>
        <v>-0.0000000000000004440892098500626</v>
      </c>
      <c r="G61" t="str" s="24">
        <f>IF(ISNUMBER(G31),G16-G31,"n.r.")</f>
        <v>n.r.</v>
      </c>
    </row>
    <row r="62">
      <c r="B62" t="s" s="7">
        <v>19</v>
      </c>
      <c r="C62" s="23">
        <f>IF(ISNUMBER(C32),C17-C32,"n.r.")</f>
        <v>0.0000000002835092438591147</v>
      </c>
      <c r="D62" s="23">
        <f>IF(ISNUMBER(D32),D17-D32,"n.r.")</f>
        <v>-0.0000000000047752080067908764</v>
      </c>
      <c r="E62" s="23">
        <f>IF(ISNUMBER(E32),E17-E32,"n.r.")</f>
        <v>-0.0000000018083507469235371</v>
      </c>
      <c r="F62" s="23">
        <f>IF(ISNUMBER(F32),F17-F32,"n.r.")</f>
        <v>0.0000000030936109229884323</v>
      </c>
      <c r="G62" t="str" s="23">
        <f>IF(ISNUMBER(G32),G17-G32,"n.r.")</f>
        <v>n.r.</v>
      </c>
    </row>
    <row r="63">
      <c r="B63" t="s">
        <v>20</v>
      </c>
      <c r="C63" s="25">
        <f>IF(ISNUMBER(C33),C18-C33,"n.r.")</f>
        <v>-0.0000000052896240165800634</v>
      </c>
      <c r="D63" s="25">
        <f>IF(ISNUMBER(D33),D18-D33,"n.r.")</f>
        <v>-0.000000003217787647447068</v>
      </c>
      <c r="E63" s="25">
        <f>IF(ISNUMBER(E33),E18-E33,"n.r.")</f>
        <v>-0.000000003865848474671196</v>
      </c>
      <c r="F63" s="25">
        <f>IF(ISNUMBER(F33),F18-F33,"n.r.")</f>
        <v>0.0000000006151534559517557</v>
      </c>
      <c r="G63" t="str" s="25">
        <f>IF(ISNUMBER(G33),G18-G33,"n.r.")</f>
        <v>n.r.</v>
      </c>
    </row>
    <row r="64">
      <c r="B64" t="s">
        <v>21</v>
      </c>
      <c r="C64" s="24">
        <f>IF(ISNUMBER(C34),C19-C34,"n.r.")</f>
        <v>0.0000000000000002220446049250313</v>
      </c>
      <c r="D64" s="24">
        <f>IF(ISNUMBER(D34),D19-D34,"n.r.")</f>
        <v>-0.0000000000000002220446049250313</v>
      </c>
      <c r="E64" s="24">
        <f>IF(ISNUMBER(E34),E19-E34,"n.r.")</f>
        <v>0.0000000000000004440892098500626</v>
      </c>
      <c r="F64" s="24">
        <f>IF(ISNUMBER(F34),F19-F34,"n.r.")</f>
        <v>0.0000000000000006661338147750939</v>
      </c>
      <c r="G64" t="str" s="24">
        <f>IF(ISNUMBER(G34),G19-G34,"n.r.")</f>
        <v>n.r.</v>
      </c>
    </row>
    <row r="66">
      <c r="B66" t="s" s="5">
        <v>25</v>
      </c>
      <c r="C66" s="5"/>
      <c r="D66" s="5"/>
      <c r="E66" s="5"/>
      <c r="F66" s="5"/>
      <c r="G66" s="5"/>
    </row>
    <row r="67">
      <c r="B67" t="s">
        <v>9</v>
      </c>
      <c r="C67" s="21">
        <f>IF(ISNUMBER(C37),C7-C37,"n.r.")</f>
        <v>0</v>
      </c>
      <c r="D67" s="21">
        <f>IF(ISNUMBER(D37),D7-D37,"n.r.")</f>
        <v>0</v>
      </c>
      <c r="E67" s="21">
        <f>IF(ISNUMBER(E37),E7-E37,"n.r.")</f>
        <v>0</v>
      </c>
      <c r="F67" s="21">
        <f>IF(ISNUMBER(F37),F7-F37,"n.r.")</f>
        <v>0</v>
      </c>
      <c r="G67" s="21">
        <f>IF(ISNUMBER(G37),G7-G37,"n.r.")</f>
        <v>0</v>
      </c>
    </row>
    <row r="68">
      <c r="B68" t="s">
        <v>10</v>
      </c>
      <c r="C68" t="str" s="21">
        <f>IF(ISNUMBER(C38),C8-C38,"n.r.")</f>
        <v>n.r.</v>
      </c>
      <c r="D68" t="str" s="21">
        <f>IF(ISNUMBER(D38),D8-D38,"n.r.")</f>
        <v>n.r.</v>
      </c>
      <c r="E68" t="str" s="21">
        <f>IF(ISNUMBER(E38),E8-E38,"n.r.")</f>
        <v>n.r.</v>
      </c>
      <c r="F68" t="str" s="21">
        <f>IF(ISNUMBER(F38),F8-F38,"n.r.")</f>
        <v>n.r.</v>
      </c>
      <c r="G68" t="str" s="21">
        <f>IF(ISNUMBER(G38),G8-G38,"n.r.")</f>
        <v>n.r.</v>
      </c>
    </row>
    <row r="69">
      <c r="B69" t="s" s="7">
        <v>11</v>
      </c>
      <c r="C69" s="22">
        <f>IF(ISNUMBER(C39),C9-C39,"n.r.")</f>
        <v>0.0008695652173913437</v>
      </c>
      <c r="D69" s="22">
        <f>IF(ISNUMBER(D39),D9-D39,"n.r.")</f>
        <v>0.002405063291138987</v>
      </c>
      <c r="E69" s="22">
        <f>IF(ISNUMBER(E39),E9-E39,"n.r.")</f>
        <v>-0.002366412213740343</v>
      </c>
      <c r="F69" s="22">
        <f>IF(ISNUMBER(F39),F9-F39,"n.r.")</f>
        <v>-0.0002127659574469032</v>
      </c>
      <c r="G69" s="22">
        <f>IF(ISNUMBER(G39),G9-G39,"n.r.")</f>
        <v>0.002072072072072384</v>
      </c>
    </row>
    <row r="70">
      <c r="B70" t="s" s="7">
        <v>12</v>
      </c>
      <c r="C70" s="23">
        <f>IF(ISNUMBER(C40),C10-C40,"n.r.")</f>
        <v>-0.000020779848098756437</v>
      </c>
      <c r="D70" s="23">
        <f>IF(ISNUMBER(D40),D10-D40,"n.r.")</f>
        <v>0.00042147898674013695</v>
      </c>
      <c r="E70" s="23">
        <f>IF(ISNUMBER(E40),E10-E40,"n.r.")</f>
        <v>-0.00023302531242369584</v>
      </c>
      <c r="F70" s="23">
        <f>IF(ISNUMBER(F40),F10-F40,"n.r.")</f>
        <v>-0.000036544561386103736</v>
      </c>
      <c r="G70" t="str" s="23">
        <f>IF(ISNUMBER(G40),G10-G40,"n.r.")</f>
        <v>n.r.</v>
      </c>
    </row>
    <row r="71">
      <c r="B71" t="s">
        <v>13</v>
      </c>
      <c r="C71" t="str" s="21">
        <f>IF(ISNUMBER(C41),C11-C41,"n.r.")</f>
        <v>n.r.</v>
      </c>
      <c r="D71" t="str" s="21">
        <f>IF(ISNUMBER(D41),D11-D41,"n.r.")</f>
        <v>n.r.</v>
      </c>
      <c r="E71" t="str" s="21">
        <f>IF(ISNUMBER(E41),E11-E41,"n.r.")</f>
        <v>n.r.</v>
      </c>
      <c r="F71" t="str" s="21">
        <f>IF(ISNUMBER(F41),F11-F41,"n.r.")</f>
        <v>n.r.</v>
      </c>
      <c r="G71" t="str" s="21">
        <f>IF(ISNUMBER(G41),G11-G41,"n.r.")</f>
        <v>n.r.</v>
      </c>
    </row>
    <row r="72">
      <c r="B72" t="s">
        <v>14</v>
      </c>
      <c r="C72" t="str" s="21">
        <f>IF(ISNUMBER(C42),C12-C42,"n.r.")</f>
        <v>n.r.</v>
      </c>
      <c r="D72" t="str" s="21">
        <f>IF(ISNUMBER(D42),D12-D42,"n.r.")</f>
        <v>n.r.</v>
      </c>
      <c r="E72" t="str" s="21">
        <f>IF(ISNUMBER(E42),E12-E42,"n.r.")</f>
        <v>n.r.</v>
      </c>
      <c r="F72" t="str" s="21">
        <f>IF(ISNUMBER(F42),F12-F42,"n.r.")</f>
        <v>n.r.</v>
      </c>
      <c r="G72" t="str" s="21">
        <f>IF(ISNUMBER(G42),G12-G42,"n.r.")</f>
        <v>n.r.</v>
      </c>
    </row>
    <row r="73">
      <c r="B73" t="s">
        <v>15</v>
      </c>
      <c r="C73" t="str" s="21">
        <f>IF(ISNUMBER(C43),C13-C43,"n.r.")</f>
        <v>n.r.</v>
      </c>
      <c r="D73" t="str" s="21">
        <f>IF(ISNUMBER(D43),D13-D43,"n.r.")</f>
        <v>n.r.</v>
      </c>
      <c r="E73" t="str" s="21">
        <f>IF(ISNUMBER(E43),E13-E43,"n.r.")</f>
        <v>n.r.</v>
      </c>
      <c r="F73" t="str" s="21">
        <f>IF(ISNUMBER(F43),F13-F43,"n.r.")</f>
        <v>n.r.</v>
      </c>
      <c r="G73" t="str" s="21">
        <f>IF(ISNUMBER(G43),G13-G43,"n.r.")</f>
        <v>n.r.</v>
      </c>
    </row>
    <row r="74">
      <c r="B74" t="s" s="7">
        <v>16</v>
      </c>
      <c r="C74" s="22">
        <f>IF(ISNUMBER(C44),C14-C44,"n.r.")</f>
        <v>-0.0046400000000001995</v>
      </c>
      <c r="D74" s="22">
        <f>IF(ISNUMBER(D44),D14-D44,"n.r.")</f>
        <v>-0.003426190476190749</v>
      </c>
      <c r="E74" s="22">
        <f>IF(ISNUMBER(E44),E14-E44,"n.r.")</f>
        <v>-0.00014733855185911082</v>
      </c>
      <c r="F74" s="22">
        <f>IF(ISNUMBER(F44),F14-F44,"n.r.")</f>
        <v>0.00154881294044662</v>
      </c>
      <c r="G74" t="str" s="22">
        <f>IF(ISNUMBER(G44),G14-G44,"n.r.")</f>
        <v>n.r.</v>
      </c>
    </row>
    <row r="75">
      <c r="B75" t="s">
        <v>17</v>
      </c>
      <c r="C75" s="24">
        <f>IF(ISNUMBER(C45),C15-C45,"n.r.")</f>
        <v>-0.0046400000000001995</v>
      </c>
      <c r="D75" s="24">
        <f>IF(ISNUMBER(D45),D15-D45,"n.r.")</f>
        <v>0.003497619047618583</v>
      </c>
      <c r="E75" s="24">
        <f>IF(ISNUMBER(E45),E15-E45,"n.r.")</f>
        <v>0.001352661448140724</v>
      </c>
      <c r="F75" s="24">
        <f>IF(ISNUMBER(F45),F15-F45,"n.r.")</f>
        <v>-0.00460637212171594</v>
      </c>
      <c r="G75" t="str" s="24">
        <f>IF(ISNUMBER(G45),G15-G45,"n.r.")</f>
        <v>n.r.</v>
      </c>
    </row>
    <row r="76">
      <c r="B76" t="s">
        <v>18</v>
      </c>
      <c r="C76" t="str" s="24">
        <f>IF(ISNUMBER(C46),C16-C46,"n.r.")</f>
        <v>n.r.</v>
      </c>
      <c r="D76" t="str" s="24">
        <f>IF(ISNUMBER(D46),D16-D46,"n.r.")</f>
        <v>n.r.</v>
      </c>
      <c r="E76" t="str" s="24">
        <f>IF(ISNUMBER(E46),E16-E46,"n.r.")</f>
        <v>n.r.</v>
      </c>
      <c r="F76" t="str" s="24">
        <f>IF(ISNUMBER(F46),F16-F46,"n.r.")</f>
        <v>n.r.</v>
      </c>
      <c r="G76" t="str" s="24">
        <f>IF(ISNUMBER(G46),G16-G46,"n.r.")</f>
        <v>n.r.</v>
      </c>
    </row>
    <row r="77">
      <c r="B77" t="s" s="7">
        <v>19</v>
      </c>
      <c r="C77" s="23">
        <f>IF(ISNUMBER(C47),C17-C47,"n.r.")</f>
        <v>0.00024133038520815497</v>
      </c>
      <c r="D77" s="23">
        <f>IF(ISNUMBER(D47),D17-D47,"n.r.")</f>
        <v>-0.00019919228553771928</v>
      </c>
      <c r="E77" s="23">
        <f>IF(ISNUMBER(E47),E17-E47,"n.r.")</f>
        <v>-0.00022477507591245338</v>
      </c>
      <c r="F77" s="23">
        <f>IF(ISNUMBER(F47),F17-F47,"n.r.")</f>
        <v>0.00015922665596013186</v>
      </c>
      <c r="G77" t="str" s="23">
        <f>IF(ISNUMBER(G47),G17-G47,"n.r.")</f>
        <v>n.r.</v>
      </c>
    </row>
    <row r="78">
      <c r="B78" t="s">
        <v>20</v>
      </c>
      <c r="C78" t="str" s="25">
        <f>IF(ISNUMBER(C48),C18-C48,"n.r.")</f>
        <v>n.r.</v>
      </c>
      <c r="D78" t="str" s="25">
        <f>IF(ISNUMBER(D48),D18-D48,"n.r.")</f>
        <v>n.r.</v>
      </c>
      <c r="E78" t="str" s="25">
        <f>IF(ISNUMBER(E48),E18-E48,"n.r.")</f>
        <v>n.r.</v>
      </c>
      <c r="F78" t="str" s="25">
        <f>IF(ISNUMBER(F48),F18-F48,"n.r.")</f>
        <v>n.r.</v>
      </c>
      <c r="G78" t="str" s="25">
        <f>IF(ISNUMBER(G48),G18-G48,"n.r.")</f>
        <v>n.r.</v>
      </c>
    </row>
    <row r="79">
      <c r="B79" t="s">
        <v>21</v>
      </c>
      <c r="C79" t="str" s="24">
        <f>IF(ISNUMBER(C49),C19-C49,"n.r.")</f>
        <v>n.r.</v>
      </c>
      <c r="D79" t="str" s="24">
        <f>IF(ISNUMBER(D49),D19-D49,"n.r.")</f>
        <v>n.r.</v>
      </c>
      <c r="E79" t="str" s="24">
        <f>IF(ISNUMBER(E49),E19-E49,"n.r.")</f>
        <v>n.r.</v>
      </c>
      <c r="F79" t="str" s="24">
        <f>IF(ISNUMBER(F49),F19-F49,"n.r.")</f>
        <v>n.r.</v>
      </c>
      <c r="G79" t="str" s="24">
        <f>IF(ISNUMBER(G49),G19-G49,"n.r.")</f>
        <v>n.r.</v>
      </c>
    </row>
    <row r="81">
      <c r="B81" t="s" s="5">
        <v>26</v>
      </c>
      <c r="C81" s="5"/>
      <c r="D81" s="5"/>
      <c r="E81" s="5"/>
      <c r="F81" s="5"/>
      <c r="G81" s="5"/>
    </row>
    <row r="82">
      <c r="B82" t="s">
        <v>27</v>
      </c>
      <c r="C82" s="26">
        <v>0.05</v>
      </c>
      <c r="I82" t="s" s="2">
        <v>28</v>
      </c>
    </row>
    <row r="83">
      <c r="B83" t="s">
        <v>29</v>
      </c>
      <c r="C83" s="27">
        <v>0.005</v>
      </c>
      <c r="I83" t="s" s="2">
        <v>30</v>
      </c>
    </row>
    <row r="84">
      <c r="B84" t="s">
        <v>31</v>
      </c>
      <c r="C84" s="28">
        <v>0.0005</v>
      </c>
      <c r="I84" t="s" s="2">
        <v>32</v>
      </c>
    </row>
    <row r="85">
      <c r="B85" t="s">
        <v>33</v>
      </c>
      <c r="C85" s="29">
        <f>(IFERROR(ABS(C52),0)&gt;$C$82)+(IFERROR(ABS(C53),0)&gt;$C$82)+(IFERROR(ABS(C56),0)&gt;$C$82)+(IFERROR(ABS(C57),0)&gt;$C$82)+(IFERROR(ABS(C58),0)&gt;$C$82)+(IFERROR(ABS(C54),0)&gt;$C$83)+(IFERROR(ABS(C59),0)&gt;$C$83)+(IFERROR(ABS(C60),0)&gt;$C$83)+(IFERROR(ABS(C61),0)&gt;$C$83)+(IFERROR(ABS(C64),0)&gt;$C$83)+(IFERROR(ABS(C55),0)&gt;$C$84)+(IFERROR(ABS(C62),0)&gt;$C$84)+(IFERROR(ABS(C63),0)&gt;$C$84)</f>
        <v>0</v>
      </c>
      <c r="D85" s="29">
        <f>(IFERROR(ABS(D52),0)&gt;$C$82)+(IFERROR(ABS(D53),0)&gt;$C$82)+(IFERROR(ABS(D56),0)&gt;$C$82)+(IFERROR(ABS(D57),0)&gt;$C$82)+(IFERROR(ABS(D58),0)&gt;$C$82)+(IFERROR(ABS(D54),0)&gt;$C$83)+(IFERROR(ABS(D59),0)&gt;$C$83)+(IFERROR(ABS(D60),0)&gt;$C$83)+(IFERROR(ABS(D61),0)&gt;$C$83)+(IFERROR(ABS(D64),0)&gt;$C$83)+(IFERROR(ABS(D55),0)&gt;$C$84)+(IFERROR(ABS(D62),0)&gt;$C$84)+(IFERROR(ABS(D63),0)&gt;$C$84)</f>
        <v>0</v>
      </c>
      <c r="E85" s="29">
        <f>(IFERROR(ABS(E52),0)&gt;$C$82)+(IFERROR(ABS(E53),0)&gt;$C$82)+(IFERROR(ABS(E56),0)&gt;$C$82)+(IFERROR(ABS(E57),0)&gt;$C$82)+(IFERROR(ABS(E58),0)&gt;$C$82)+(IFERROR(ABS(E54),0)&gt;$C$83)+(IFERROR(ABS(E59),0)&gt;$C$83)+(IFERROR(ABS(E60),0)&gt;$C$83)+(IFERROR(ABS(E61),0)&gt;$C$83)+(IFERROR(ABS(E64),0)&gt;$C$83)+(IFERROR(ABS(E55),0)&gt;$C$84)+(IFERROR(ABS(E62),0)&gt;$C$84)+(IFERROR(ABS(E63),0)&gt;$C$84)</f>
        <v>0</v>
      </c>
      <c r="F85" s="29">
        <f>(IFERROR(ABS(F52),0)&gt;$C$82)+(IFERROR(ABS(F53),0)&gt;$C$82)+(IFERROR(ABS(F56),0)&gt;$C$82)+(IFERROR(ABS(F57),0)&gt;$C$82)+(IFERROR(ABS(F58),0)&gt;$C$82)+(IFERROR(ABS(F54),0)&gt;$C$83)+(IFERROR(ABS(F59),0)&gt;$C$83)+(IFERROR(ABS(F60),0)&gt;$C$83)+(IFERROR(ABS(F61),0)&gt;$C$83)+(IFERROR(ABS(F64),0)&gt;$C$83)+(IFERROR(ABS(F55),0)&gt;$C$84)+(IFERROR(ABS(F62),0)&gt;$C$84)+(IFERROR(ABS(F63),0)&gt;$C$84)</f>
        <v>0</v>
      </c>
      <c r="G85" s="29">
        <f>(IFERROR(ABS(G52),0)&gt;$C$82)+(IFERROR(ABS(G53),0)&gt;$C$82)+(IFERROR(ABS(G56),0)&gt;$C$82)+(IFERROR(ABS(G57),0)&gt;$C$82)+(IFERROR(ABS(G58),0)&gt;$C$82)+(IFERROR(ABS(G54),0)&gt;$C$83)+(IFERROR(ABS(G59),0)&gt;$C$83)+(IFERROR(ABS(G60),0)&gt;$C$83)+(IFERROR(ABS(G61),0)&gt;$C$83)+(IFERROR(ABS(G64),0)&gt;$C$83)+(IFERROR(ABS(G55),0)&gt;$C$84)+(IFERROR(ABS(G62),0)&gt;$C$84)+(IFERROR(ABS(G63),0)&gt;$C$84)</f>
        <v>0</v>
      </c>
    </row>
    <row r="86">
      <c r="B86" t="s">
        <v>34</v>
      </c>
      <c r="C86" s="29">
        <f>(IFERROR(ABS(C67),0)&gt;$C$82)+(IFERROR(ABS(C68),0)&gt;$C$82)+(IFERROR(ABS(C71),0)&gt;$C$82)+(IFERROR(ABS(C72),0)&gt;$C$82)+(IFERROR(ABS(C73),0)&gt;$C$82)+(IFERROR(ABS(C69),0)&gt;$C$83)+(IFERROR(ABS(C74),0)&gt;$C$83)+(IFERROR(ABS(C75),0)&gt;$C$83)+(IFERROR(ABS(C76),0)&gt;$C$83)+(IFERROR(ABS(C79),0)&gt;$C$83)+(IFERROR(ABS(C70),0)&gt;$C$84)+(IFERROR(ABS(C77),0)&gt;$C$84)+(IFERROR(ABS(C78),0)&gt;$C$84)</f>
        <v>0</v>
      </c>
      <c r="D86" s="29">
        <f>(IFERROR(ABS(D67),0)&gt;$C$82)+(IFERROR(ABS(D68),0)&gt;$C$82)+(IFERROR(ABS(D71),0)&gt;$C$82)+(IFERROR(ABS(D72),0)&gt;$C$82)+(IFERROR(ABS(D73),0)&gt;$C$82)+(IFERROR(ABS(D69),0)&gt;$C$83)+(IFERROR(ABS(D74),0)&gt;$C$83)+(IFERROR(ABS(D75),0)&gt;$C$83)+(IFERROR(ABS(D76),0)&gt;$C$83)+(IFERROR(ABS(D79),0)&gt;$C$83)+(IFERROR(ABS(D70),0)&gt;$C$84)+(IFERROR(ABS(D77),0)&gt;$C$84)+(IFERROR(ABS(D78),0)&gt;$C$84)</f>
        <v>0</v>
      </c>
      <c r="E86" s="29">
        <f>(IFERROR(ABS(E67),0)&gt;$C$82)+(IFERROR(ABS(E68),0)&gt;$C$82)+(IFERROR(ABS(E71),0)&gt;$C$82)+(IFERROR(ABS(E72),0)&gt;$C$82)+(IFERROR(ABS(E73),0)&gt;$C$82)+(IFERROR(ABS(E69),0)&gt;$C$83)+(IFERROR(ABS(E74),0)&gt;$C$83)+(IFERROR(ABS(E75),0)&gt;$C$83)+(IFERROR(ABS(E76),0)&gt;$C$83)+(IFERROR(ABS(E79),0)&gt;$C$83)+(IFERROR(ABS(E70),0)&gt;$C$84)+(IFERROR(ABS(E77),0)&gt;$C$84)+(IFERROR(ABS(E78),0)&gt;$C$84)</f>
        <v>0</v>
      </c>
      <c r="F86" s="29">
        <f>(IFERROR(ABS(F67),0)&gt;$C$82)+(IFERROR(ABS(F68),0)&gt;$C$82)+(IFERROR(ABS(F71),0)&gt;$C$82)+(IFERROR(ABS(F72),0)&gt;$C$82)+(IFERROR(ABS(F73),0)&gt;$C$82)+(IFERROR(ABS(F69),0)&gt;$C$83)+(IFERROR(ABS(F74),0)&gt;$C$83)+(IFERROR(ABS(F75),0)&gt;$C$83)+(IFERROR(ABS(F76),0)&gt;$C$83)+(IFERROR(ABS(F79),0)&gt;$C$83)+(IFERROR(ABS(F70),0)&gt;$C$84)+(IFERROR(ABS(F77),0)&gt;$C$84)+(IFERROR(ABS(F78),0)&gt;$C$84)</f>
        <v>0</v>
      </c>
      <c r="G86" s="29">
        <f>(IFERROR(ABS(G67),0)&gt;$C$82)+(IFERROR(ABS(G68),0)&gt;$C$82)+(IFERROR(ABS(G71),0)&gt;$C$82)+(IFERROR(ABS(G72),0)&gt;$C$82)+(IFERROR(ABS(G73),0)&gt;$C$82)+(IFERROR(ABS(G69),0)&gt;$C$83)+(IFERROR(ABS(G74),0)&gt;$C$83)+(IFERROR(ABS(G75),0)&gt;$C$83)+(IFERROR(ABS(G76),0)&gt;$C$83)+(IFERROR(ABS(G79),0)&gt;$C$83)+(IFERROR(ABS(G70),0)&gt;$C$84)+(IFERROR(ABS(G77),0)&gt;$C$84)+(IFERROR(ABS(G78),0)&gt;$C$84)</f>
        <v>0</v>
      </c>
    </row>
    <row r="87">
      <c r="B87" t="s" s="30">
        <v>35</v>
      </c>
      <c r="C87" t="str" s="31">
        <f>IF(C85+C86=0,"Ties","Check")</f>
        <v>Ties</v>
      </c>
      <c r="D87" t="str" s="31">
        <f>IF(D85+D86=0,"Ties","Check")</f>
        <v>Ties</v>
      </c>
      <c r="E87" t="str" s="31">
        <f>IF(E85+E86=0,"Ties","Check")</f>
        <v>Ties</v>
      </c>
      <c r="F87" t="str" s="31">
        <f>IF(F85+F86=0,"Ties","Check")</f>
        <v>Ties</v>
      </c>
      <c r="G87" t="str" s="31">
        <f>IF(G85+G86=0,"Ties","Check")</f>
        <v>Ties</v>
      </c>
    </row>
  </sheetData>
  <pageMargins left="0.7" right="0.7" top="0.75" bottom="0.75" header="0.3" footer="0.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65"/>
  <sheetViews>
    <sheetView showGridLines="0" workbookViewId="0">
      <selection activeCell="A1" sqref="A1"/>
    </sheetView>
  </sheetViews>
  <cols>
    <col min="1" max="1" width="2.21875" customWidth="1"/>
    <col min="2" max="2" width="55.21875" customWidth="1"/>
    <col min="3" max="5" width="15.21875" customWidth="1"/>
    <col min="6" max="6" width="2.21875" customWidth="1"/>
    <col min="7" max="7" width="57.07421875" customWidth="1"/>
  </cols>
  <sheetData>
    <row r="2">
      <c r="B2" t="s" s="1">
        <v>36</v>
      </c>
    </row>
    <row r="3">
      <c r="B3" t="s" s="2">
        <v>37</v>
      </c>
    </row>
    <row r="5">
      <c r="C5" t="s" s="4">
        <v>5</v>
      </c>
      <c r="D5" t="s" s="4">
        <v>6</v>
      </c>
      <c r="G5" s="2"/>
    </row>
    <row r="6">
      <c r="B6" t="s" s="5">
        <v>38</v>
      </c>
      <c r="C6" s="5"/>
      <c r="D6" s="5"/>
      <c r="E6" s="5"/>
      <c r="G6" s="2"/>
    </row>
    <row r="7">
      <c r="B7" t="s">
        <v>39</v>
      </c>
      <c r="C7" s="32">
        <f>'Track Record'!E17</f>
        <v>0.24977522492408755</v>
      </c>
      <c r="D7" s="32">
        <f>'Track Record'!F17</f>
        <v>0.14515922665596012</v>
      </c>
      <c r="E7" s="33"/>
      <c r="G7" s="2"/>
    </row>
    <row r="8">
      <c r="B8" t="s" s="7">
        <v>40</v>
      </c>
      <c r="C8" s="10">
        <f>XIRR('LP CF'!$L$55:$L$87,'LP CF'!$K$55:$K$87)</f>
        <v>0.23269724249839782</v>
      </c>
      <c r="D8" s="10">
        <f>XIRR('LP CF'!$L$88:$L$107,'LP CF'!$K$88:$K$107)</f>
        <v>0.11821619868278502</v>
      </c>
      <c r="E8" s="33"/>
      <c r="G8" s="2"/>
    </row>
    <row r="9">
      <c r="B9" t="s" s="7">
        <v>41</v>
      </c>
      <c r="C9" s="18">
        <f>C7-C8</f>
        <v>0.017077982425689725</v>
      </c>
      <c r="D9" s="18">
        <f>D7-D8</f>
        <v>0.026943027973175104</v>
      </c>
      <c r="E9" s="33"/>
      <c r="G9" t="s" s="2">
        <v>42</v>
      </c>
    </row>
    <row r="10">
      <c r="B10" t="s">
        <v>43</v>
      </c>
      <c r="C10" s="34">
        <f>'Track Record'!E14</f>
        <v>2.379852661448141</v>
      </c>
      <c r="D10" s="34">
        <f>'Track Record'!F14</f>
        <v>1.4315488129404466</v>
      </c>
      <c r="E10" s="33"/>
      <c r="G10" s="2"/>
    </row>
    <row r="11">
      <c r="B11" t="s">
        <v>44</v>
      </c>
      <c r="C11" s="34">
        <f>('Track Record'!E12+'Track Record'!E13)/-SUMIFS('LP CF'!$L$5:$L$107,'LP CF'!$B$5:$B$107,C$5,'LP CF'!$D$5:$D$107,"Capital call")</f>
        <v>2.3633597863675613</v>
      </c>
      <c r="D11" s="34">
        <f>('Track Record'!F12+'Track Record'!F13)/-SUMIFS('LP CF'!$L$5:$L$107,'LP CF'!$B$5:$B$107,D$5,'LP CF'!$D$5:$D$107,"Capital call")</f>
        <v>1.5018945432686945</v>
      </c>
      <c r="E11" s="33"/>
      <c r="G11" s="2"/>
    </row>
    <row r="12">
      <c r="B12" t="s">
        <v>45</v>
      </c>
      <c r="C12" s="11">
        <f>C10-C11</f>
        <v>0.016492875080579505</v>
      </c>
      <c r="D12" s="11">
        <f>D10-D11</f>
        <v>-0.07034573032824798</v>
      </c>
      <c r="E12" s="33"/>
      <c r="G12" t="s" s="2">
        <v>46</v>
      </c>
    </row>
    <row r="13">
      <c r="B13" t="s">
        <v>47</v>
      </c>
      <c r="C13" s="6">
        <f>SUMIFS(Facility!$H$5:$H$37,Facility!$B$5:$B$37,C$5)</f>
        <v>4.037671232876713</v>
      </c>
      <c r="D13" s="6">
        <f>SUMIFS(Facility!$H$5:$H$37,Facility!$B$5:$B$37,D$5)</f>
        <v>51.543382191780815</v>
      </c>
      <c r="E13" s="33"/>
      <c r="G13" s="2"/>
    </row>
    <row r="14">
      <c r="B14" t="s">
        <v>48</v>
      </c>
      <c r="C14" s="35">
        <f>SUMIFS('LP CF'!$G$5:$G$107,'LP CF'!$B$5:$B$107,C$5)</f>
        <v>11</v>
      </c>
      <c r="D14" s="35">
        <f>SUMIFS('LP CF'!$G$5:$G$107,'LP CF'!$B$5:$B$107,D$5)</f>
        <v>18</v>
      </c>
      <c r="E14" s="33"/>
      <c r="G14" s="2"/>
    </row>
    <row r="15">
      <c r="B15" t="s">
        <v>49</v>
      </c>
      <c r="C15" s="6">
        <f>SUMIFS('LP CF'!$I$5:$I$107,'LP CF'!$B$5:$B$107,C$5)</f>
        <v>655</v>
      </c>
      <c r="D15" s="6">
        <f>SUMIFS('LP CF'!$I$5:$I$107,'LP CF'!$B$5:$B$107,D$5)</f>
        <v>1048.9175</v>
      </c>
      <c r="E15" s="33"/>
      <c r="G15" t="s" s="2">
        <v>50</v>
      </c>
    </row>
    <row r="16">
      <c r="C16" s="33"/>
      <c r="D16" s="33"/>
      <c r="E16" s="33"/>
      <c r="G16" s="2"/>
    </row>
    <row r="17">
      <c r="B17" t="s" s="5">
        <v>51</v>
      </c>
      <c r="C17" s="36"/>
      <c r="D17" s="36"/>
      <c r="E17" s="36"/>
      <c r="G17" s="2"/>
    </row>
    <row r="18">
      <c r="B18" t="s">
        <v>52</v>
      </c>
      <c r="C18" s="37">
        <v>100</v>
      </c>
      <c r="D18" s="37">
        <v>460</v>
      </c>
      <c r="E18" s="33"/>
      <c r="G18" s="2"/>
    </row>
    <row r="19">
      <c r="B19" t="s">
        <v>53</v>
      </c>
      <c r="C19" s="38">
        <v>0.15</v>
      </c>
      <c r="D19" s="38">
        <v>0.4</v>
      </c>
      <c r="E19" s="33"/>
      <c r="G19" s="2"/>
    </row>
    <row r="20">
      <c r="B20" t="s">
        <v>54</v>
      </c>
      <c r="C20" s="39">
        <v>90</v>
      </c>
      <c r="D20" s="39">
        <v>365</v>
      </c>
      <c r="E20" s="33"/>
      <c r="G20" s="2"/>
    </row>
    <row r="21">
      <c r="B21" t="s">
        <v>55</v>
      </c>
      <c r="C21" s="35">
        <f>COUNTIFS(Facility!$B$5:$B$37,C$5)</f>
        <v>11</v>
      </c>
      <c r="D21" s="35">
        <f>COUNTIFS(Facility!$B$5:$B$37,D$5)</f>
        <v>22</v>
      </c>
      <c r="E21" s="33"/>
      <c r="G21" s="2"/>
    </row>
    <row r="22">
      <c r="B22" t="s">
        <v>56</v>
      </c>
      <c r="C22" s="6">
        <f>SUMIFS(Facility!$D$5:$D$37,Facility!$B$5:$B$37,C$5)</f>
        <v>655</v>
      </c>
      <c r="D22" s="6">
        <f>SUMIFS(Facility!$D$5:$D$37,Facility!$B$5:$B$37,D$5)</f>
        <v>1073.155</v>
      </c>
      <c r="E22" s="33"/>
      <c r="G22" s="2"/>
    </row>
    <row r="23">
      <c r="B23" t="s">
        <v>57</v>
      </c>
      <c r="C23" s="40">
        <f>AVERAGEIFS(Facility!$G$5:$G$37,Facility!$B$5:$B$37,C$5)</f>
        <v>90</v>
      </c>
      <c r="D23" s="40">
        <f>AVERAGEIFS(Facility!$G$5:$G$37,Facility!$B$5:$B$37,D$5)</f>
        <v>319.3181818181818</v>
      </c>
      <c r="E23" s="33"/>
      <c r="G23" s="2"/>
    </row>
    <row r="24">
      <c r="B24" t="s">
        <v>58</v>
      </c>
      <c r="C24" s="40">
        <f>SUMPRODUCT((Facility!$B$5:$B$37=C$5)*Facility!$D$5:$D$37*Facility!$G$5:$G$37)/C22</f>
        <v>90</v>
      </c>
      <c r="D24" s="40">
        <f>SUMPRODUCT((Facility!$B$5:$B$37=D$5)*Facility!$D$5:$D$37*Facility!$G$5:$G$37)/D22</f>
        <v>355.1544453038005</v>
      </c>
      <c r="E24" s="33"/>
      <c r="G24" s="2"/>
    </row>
    <row r="25">
      <c r="B25" t="s">
        <v>59</v>
      </c>
      <c r="C25" s="40">
        <f>_xlfn.MAXIFS(Facility!$G$5:$G$37,Facility!$B$5:$B$37,C$5)</f>
        <v>90</v>
      </c>
      <c r="D25" s="40">
        <f>_xlfn.MAXIFS(Facility!$G$5:$G$37,Facility!$B$5:$B$37,D$5)</f>
        <v>360</v>
      </c>
      <c r="E25" s="33"/>
      <c r="G25" s="2"/>
    </row>
    <row r="26">
      <c r="B26" t="s" s="7">
        <v>60</v>
      </c>
      <c r="C26" s="41">
        <f>_xlfn.MAXIFS(Facility!$J$5:$J$37,Facility!$B$5:$B$37,C$5)</f>
        <v>75</v>
      </c>
      <c r="D26" s="41">
        <f>_xlfn.MAXIFS(Facility!$J$5:$J$37,Facility!$B$5:$B$37,D$5)</f>
        <v>447.475</v>
      </c>
      <c r="E26" s="33"/>
      <c r="G26" s="2"/>
    </row>
    <row r="27">
      <c r="B27" t="s">
        <v>61</v>
      </c>
      <c r="C27" s="42">
        <f>_xlfn.MINIFS(Facility!$C$5:$C$37,Facility!$B$5:$B$37,C$5,Facility!$J$5:$J$37,C26)</f>
        <v>43190</v>
      </c>
      <c r="D27" s="42">
        <f>_xlfn.MINIFS(Facility!$C$5:$C$37,Facility!$B$5:$B$37,D$5,Facility!$J$5:$J$37,D26)</f>
        <v>44926</v>
      </c>
      <c r="E27" s="33"/>
      <c r="G27" s="2"/>
    </row>
    <row r="28">
      <c r="B28" t="s">
        <v>62</v>
      </c>
      <c r="C28" s="15">
        <v>700</v>
      </c>
      <c r="D28" s="15">
        <v>1150</v>
      </c>
      <c r="E28" s="33"/>
      <c r="G28" s="2"/>
    </row>
    <row r="29">
      <c r="B29" t="s" s="7">
        <v>63</v>
      </c>
      <c r="C29" s="18">
        <f>C26/C28</f>
        <v>0.10714285714285714</v>
      </c>
      <c r="D29" s="18">
        <f>D26/D28</f>
        <v>0.38910869565217393</v>
      </c>
      <c r="E29" s="33"/>
      <c r="G29" s="2"/>
    </row>
    <row r="30">
      <c r="B30" t="s">
        <v>64</v>
      </c>
      <c r="C30" s="11">
        <f>C26/C18</f>
        <v>0.75</v>
      </c>
      <c r="D30" s="11">
        <f>D26/D18</f>
        <v>0.9727717391304348</v>
      </c>
      <c r="E30" s="33"/>
      <c r="G30" s="2"/>
    </row>
    <row r="31">
      <c r="B31" t="s">
        <v>65</v>
      </c>
      <c r="C31" s="19">
        <f>MAX(0,C26-C19*C28)</f>
        <v>0</v>
      </c>
      <c r="D31" s="19">
        <f>MAX(0,D26-D19*D28)</f>
        <v>0</v>
      </c>
      <c r="E31" s="33"/>
      <c r="G31" t="s" s="2">
        <v>66</v>
      </c>
    </row>
    <row r="32">
      <c r="B32" t="s">
        <v>67</v>
      </c>
      <c r="C32" s="13">
        <f>C18/C28</f>
        <v>0.14285714285714285</v>
      </c>
      <c r="D32" s="13">
        <f>D18/D28</f>
        <v>0.4</v>
      </c>
      <c r="E32" s="33"/>
      <c r="G32" s="2"/>
    </row>
    <row r="33">
      <c r="B33" t="s">
        <v>68</v>
      </c>
      <c r="C33" s="38">
        <v>0.2</v>
      </c>
      <c r="D33" s="38">
        <v>0.2</v>
      </c>
      <c r="E33" s="33"/>
      <c r="G33" s="2"/>
    </row>
    <row r="34">
      <c r="B34" t="s">
        <v>69</v>
      </c>
      <c r="C34" s="39">
        <v>180</v>
      </c>
      <c r="D34" s="39">
        <v>180</v>
      </c>
      <c r="E34" s="33"/>
      <c r="G34" s="2"/>
    </row>
    <row r="35">
      <c r="B35" t="s">
        <v>70</v>
      </c>
      <c r="C35" s="19">
        <f>MAX(0,C26-C33*C28)</f>
        <v>0</v>
      </c>
      <c r="D35" s="19">
        <f>MAX(0,D26-D33*D28)</f>
        <v>217.47500000000002</v>
      </c>
      <c r="E35" s="33"/>
      <c r="G35" t="s" s="2">
        <v>71</v>
      </c>
    </row>
    <row r="36">
      <c r="B36" t="s">
        <v>72</v>
      </c>
      <c r="C36" s="43">
        <f>COUNTIFS(Facility!$B$5:$B$37,C$5,Facility!$G$5:$G$37,"&gt;"&amp;C34)</f>
        <v>0</v>
      </c>
      <c r="D36" s="43">
        <f>COUNTIFS(Facility!$B$5:$B$37,D$5,Facility!$G$5:$G$37,"&gt;"&amp;D34)</f>
        <v>20</v>
      </c>
      <c r="E36" s="33"/>
      <c r="G36" s="2"/>
    </row>
    <row r="37">
      <c r="C37" s="33"/>
      <c r="D37" s="33"/>
      <c r="E37" s="33"/>
      <c r="G37" s="2"/>
    </row>
    <row r="38">
      <c r="B38" t="s" s="5">
        <v>73</v>
      </c>
      <c r="C38" s="36"/>
      <c r="D38" s="36"/>
      <c r="E38" s="36"/>
      <c r="G38" s="2"/>
    </row>
    <row r="39">
      <c r="B39" t="s">
        <v>74</v>
      </c>
      <c r="C39" s="44">
        <v>42916</v>
      </c>
      <c r="D39" s="44">
        <v>44286</v>
      </c>
      <c r="E39" s="33"/>
      <c r="G39" s="2"/>
    </row>
    <row r="40">
      <c r="B40" t="s">
        <v>75</v>
      </c>
      <c r="C40" s="42">
        <f>_xlfn.MINIFS(Facility!$C$5:$C$37,Facility!$B$5:$B$37,C$5)</f>
        <v>43008</v>
      </c>
      <c r="D40" s="42">
        <f>_xlfn.MINIFS(Facility!$C$5:$C$37,Facility!$B$5:$B$37,D$5)</f>
        <v>44286</v>
      </c>
      <c r="E40" s="33"/>
      <c r="G40" s="2"/>
    </row>
    <row r="41">
      <c r="B41" t="s">
        <v>76</v>
      </c>
      <c r="C41" s="42">
        <f>_xlfn.MINIFS('Deal CF'!$D$5:$D$81,'Deal CF'!$B$5:$B$81,C$5,'Deal CF'!$E$5:$E$81,"Investment")</f>
        <v>43008</v>
      </c>
      <c r="D41" s="42">
        <f>_xlfn.MINIFS('Deal CF'!$D$5:$D$81,'Deal CF'!$B$5:$B$81,D$5,'Deal CF'!$E$5:$E$81,"Investment")</f>
        <v>44377</v>
      </c>
      <c r="E41" s="33"/>
      <c r="G41" s="2"/>
    </row>
    <row r="42">
      <c r="B42" t="s" s="7">
        <v>77</v>
      </c>
      <c r="C42" s="45">
        <f>_xlfn.MINIFS('LP CF'!$C$5:$C$107,'LP CF'!$B$5:$B$107,C$5,'LP CF'!$D$5:$D$107,"Capital call")</f>
        <v>42916</v>
      </c>
      <c r="D42" s="45">
        <f>_xlfn.MINIFS('LP CF'!$C$5:$C$107,'LP CF'!$B$5:$B$107,D$5,'LP CF'!$D$5:$D$107,"Capital call")</f>
        <v>44646</v>
      </c>
      <c r="E42" s="33"/>
      <c r="G42" s="2"/>
    </row>
    <row r="43">
      <c r="B43" t="s">
        <v>78</v>
      </c>
      <c r="C43" s="44">
        <v>42916</v>
      </c>
      <c r="D43" s="44">
        <v>44646</v>
      </c>
      <c r="E43" s="33"/>
      <c r="G43" s="2"/>
    </row>
    <row r="44">
      <c r="B44" t="s" s="7">
        <v>79</v>
      </c>
      <c r="C44" s="46">
        <f>MAX(0,C42-C41)</f>
        <v>0</v>
      </c>
      <c r="D44" s="46">
        <f>MAX(0,D42-D41)</f>
        <v>269</v>
      </c>
      <c r="E44" s="33"/>
      <c r="G44" s="2"/>
    </row>
    <row r="45">
      <c r="B45" t="s">
        <v>80</v>
      </c>
      <c r="C45" s="48">
        <f>C42-C39</f>
        <v>0</v>
      </c>
      <c r="D45" s="48">
        <f>D42-D39</f>
        <v>360</v>
      </c>
      <c r="E45" s="33"/>
      <c r="G45" s="2"/>
    </row>
    <row r="46">
      <c r="B46" t="s">
        <v>81</v>
      </c>
      <c r="C46" s="35">
        <f>COUNTIFS('Deal CF'!$B$5:$B$81,C$5,'Deal CF'!$E$5:$E$81,"Investment",'Deal CF'!$D$5:$D$81,"&lt;"&amp;C42)</f>
        <v>0</v>
      </c>
      <c r="D46" s="35">
        <f>COUNTIFS('Deal CF'!$B$5:$B$81,D$5,'Deal CF'!$E$5:$E$81,"Investment",'Deal CF'!$D$5:$D$81,"&lt;"&amp;D42)</f>
        <v>2</v>
      </c>
      <c r="E46" s="33"/>
      <c r="G46" s="2"/>
    </row>
    <row r="47">
      <c r="B47" t="s">
        <v>82</v>
      </c>
      <c r="C47" s="6">
        <f>-SUMIFS('Deal CF'!$F$5:$F$81,'Deal CF'!$B$5:$B$81,C$5,'Deal CF'!$E$5:$E$81,"Investment",'Deal CF'!$D$5:$D$81,"&lt;"&amp;C42)</f>
        <v>0</v>
      </c>
      <c r="D47" s="6">
        <f>-SUMIFS('Deal CF'!$F$5:$F$81,'Deal CF'!$B$5:$B$81,D$5,'Deal CF'!$E$5:$E$81,"Investment",'Deal CF'!$D$5:$D$81,"&lt;"&amp;D42)</f>
        <v>220</v>
      </c>
      <c r="E47" s="33"/>
      <c r="G47" s="2"/>
    </row>
    <row r="48">
      <c r="C48" s="33"/>
      <c r="D48" s="33"/>
      <c r="E48" s="33"/>
      <c r="G48" s="2"/>
    </row>
    <row r="49">
      <c r="B49" t="s" s="5">
        <v>83</v>
      </c>
      <c r="C49" s="36"/>
      <c r="D49" s="36"/>
      <c r="E49" s="36"/>
      <c r="G49" s="2"/>
    </row>
    <row r="50">
      <c r="C50" s="49">
        <v>45291</v>
      </c>
      <c r="D50" s="49">
        <v>45657</v>
      </c>
      <c r="E50" s="49">
        <v>46022</v>
      </c>
      <c r="G50" s="2"/>
    </row>
    <row r="51">
      <c r="B51" t="s">
        <v>84</v>
      </c>
      <c r="C51" s="6">
        <f>SUMIFS(Facility!$D$5:$D$37,Facility!$B$5:$B$37,"Fund IV",Facility!$C$5:$C$37,"&lt;="&amp;C50)-SUMIFS(Facility!$D$5:$D$37,Facility!$B$5:$B$37,"Fund IV",Facility!$F$5:$F$37,"&lt;="&amp;C50)</f>
        <v>234.19500000000005</v>
      </c>
      <c r="D51" s="6">
        <f>SUMIFS(Facility!$D$5:$D$37,Facility!$B$5:$B$37,"Fund IV",Facility!$C$5:$C$37,"&lt;="&amp;D50)-SUMIFS(Facility!$D$5:$D$37,Facility!$B$5:$B$37,"Fund IV",Facility!$F$5:$F$37,"&lt;="&amp;D50)</f>
        <v>110.19499999999994</v>
      </c>
      <c r="E51" s="6">
        <f>SUMIFS(Facility!$D$5:$D$37,Facility!$B$5:$B$37,"Fund IV",Facility!$C$5:$C$37,"&lt;="&amp;E50)-SUMIFS(Facility!$D$5:$D$37,Facility!$B$5:$B$37,"Fund IV",Facility!$F$5:$F$37,"&lt;="&amp;E50)</f>
        <v>25.875</v>
      </c>
      <c r="G51" s="2"/>
    </row>
    <row r="52">
      <c r="B52" t="s">
        <v>85</v>
      </c>
      <c r="C52" s="15">
        <v>234.2</v>
      </c>
      <c r="D52" s="15">
        <v>110.2</v>
      </c>
      <c r="E52" s="15">
        <v>25.9</v>
      </c>
      <c r="G52" s="2"/>
    </row>
    <row r="53">
      <c r="B53" t="s" s="50">
        <v>86</v>
      </c>
      <c r="C53" s="51">
        <f>C51-C52</f>
        <v>-0.004999999999938609</v>
      </c>
      <c r="D53" s="51">
        <f>D51-D52</f>
        <v>-0.005000000000066507</v>
      </c>
      <c r="E53" s="51">
        <f>E51-E52</f>
        <v>-0.02499999999999858</v>
      </c>
      <c r="G53" s="2"/>
    </row>
    <row r="54">
      <c r="C54" s="33"/>
      <c r="D54" s="33"/>
      <c r="E54" s="33"/>
      <c r="G54" s="2"/>
    </row>
    <row r="55">
      <c r="B55" t="s">
        <v>87</v>
      </c>
      <c r="C55" s="6">
        <f>Facility!D15+Facility!H15</f>
        <v>65.40068493150685</v>
      </c>
      <c r="D55" s="33"/>
      <c r="E55" s="33"/>
      <c r="G55" s="2"/>
    </row>
    <row r="56">
      <c r="B56" t="s">
        <v>88</v>
      </c>
      <c r="C56" s="6">
        <f>-'LP CF'!F79</f>
        <v>56.47801369863021</v>
      </c>
      <c r="D56" s="33"/>
      <c r="E56" s="33"/>
      <c r="G56" s="2"/>
    </row>
    <row r="57">
      <c r="B57" t="s" s="50">
        <v>89</v>
      </c>
      <c r="C57" s="52">
        <f>C55-C56</f>
        <v>8.922671232876638</v>
      </c>
      <c r="D57" s="33"/>
      <c r="E57" s="33"/>
      <c r="G57" s="2"/>
    </row>
    <row r="58">
      <c r="B58" t="s">
        <v>90</v>
      </c>
      <c r="C58" s="32">
        <f>XIRR('LP CF'!$M$55:$M$87,'LP CF'!$K$55:$K$87)</f>
        <v>0.2355273067951202</v>
      </c>
      <c r="D58" s="33"/>
      <c r="E58" s="33"/>
      <c r="G58" t="s" s="2">
        <v>91</v>
      </c>
    </row>
    <row r="59">
      <c r="G59" s="2"/>
    </row>
    <row r="60">
      <c r="G60" s="2"/>
    </row>
    <row r="61">
      <c r="G61" s="2"/>
    </row>
    <row r="62">
      <c r="G62" s="2"/>
    </row>
    <row r="63">
      <c r="G63" s="2"/>
    </row>
    <row r="64">
      <c r="G64" s="2"/>
    </row>
    <row r="65">
      <c r="G65" s="2"/>
    </row>
  </sheetData>
  <pageMargins left="0.7" right="0.7" top="0.75" bottom="0.75" header="0.3" footer="0.3"/>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0"/>
  <sheetViews>
    <sheetView showGridLines="0" workbookViewId="0">
      <selection activeCell="A1" sqref="A1"/>
    </sheetView>
  </sheetViews>
  <cols>
    <col min="1" max="1" width="2.21875" customWidth="1"/>
    <col min="2" max="2" width="53.21875" customWidth="1"/>
    <col min="3" max="6" width="15.21875" customWidth="1"/>
    <col min="7" max="7" width="2.21875" customWidth="1"/>
    <col min="8" max="8" width="57.07421875" customWidth="1"/>
  </cols>
  <sheetData>
    <row r="2">
      <c r="B2" t="s" s="1">
        <v>92</v>
      </c>
    </row>
    <row r="3">
      <c r="B3" t="s" s="2">
        <v>93</v>
      </c>
    </row>
    <row r="5">
      <c r="B5" t="s" s="7">
        <v>94</v>
      </c>
      <c r="C5" t="s">
        <v>95</v>
      </c>
      <c r="H5" t="s" s="2">
        <v>96</v>
      </c>
    </row>
    <row r="6">
      <c r="B6" t="s" s="7">
        <v>97</v>
      </c>
      <c r="C6" t="s">
        <v>98</v>
      </c>
      <c r="H6" s="2"/>
    </row>
    <row r="7">
      <c r="B7" t="s" s="7">
        <v>99</v>
      </c>
      <c r="C7" t="s" s="4">
        <v>100</v>
      </c>
      <c r="D7" t="s" s="4">
        <v>101</v>
      </c>
      <c r="H7" s="2"/>
    </row>
    <row r="8">
      <c r="B8" t="s" s="7">
        <v>102</v>
      </c>
      <c r="C8" s="53">
        <f>MIN('LP CF'!$N$5:$N$107)</f>
        <v>40359</v>
      </c>
      <c r="D8" s="53">
        <f>'R2K TR Index'!$F$4</f>
        <v>46203</v>
      </c>
      <c r="H8" s="2"/>
    </row>
    <row r="9">
      <c r="C9" t="s" s="4">
        <v>3</v>
      </c>
      <c r="D9" t="s" s="4">
        <v>4</v>
      </c>
      <c r="E9" t="s" s="4">
        <v>5</v>
      </c>
      <c r="F9" t="s" s="4">
        <v>6</v>
      </c>
      <c r="H9" s="2"/>
    </row>
    <row r="10">
      <c r="B10" t="s" s="5">
        <v>103</v>
      </c>
      <c r="C10" s="5"/>
      <c r="D10" s="5"/>
      <c r="E10" s="5"/>
      <c r="F10" s="5"/>
      <c r="H10" s="2"/>
    </row>
    <row r="11">
      <c r="B11" t="s">
        <v>13</v>
      </c>
      <c r="C11" s="6">
        <f>'Track Record'!C11</f>
        <v>250</v>
      </c>
      <c r="D11" s="6">
        <f>'Track Record'!D11</f>
        <v>420</v>
      </c>
      <c r="E11" s="6">
        <f>'Track Record'!E11</f>
        <v>700.0000000000001</v>
      </c>
      <c r="F11" s="6">
        <f>'Track Record'!F11</f>
        <v>1100.4608821917811</v>
      </c>
      <c r="H11" s="2"/>
    </row>
    <row r="12">
      <c r="B12" t="s">
        <v>14</v>
      </c>
      <c r="C12" s="6">
        <f>'Track Record'!C12</f>
        <v>456.34</v>
      </c>
      <c r="D12" s="6">
        <f>'Track Record'!D12</f>
        <v>782.6689999999999</v>
      </c>
      <c r="E12" s="6">
        <f>'Track Record'!E12</f>
        <v>1358.9468630136987</v>
      </c>
      <c r="F12" s="6">
        <f>'Track Record'!F12</f>
        <v>160</v>
      </c>
      <c r="H12" s="2"/>
    </row>
    <row r="13">
      <c r="B13" t="s">
        <v>104</v>
      </c>
      <c r="C13" s="6">
        <f>'Track Record'!C13</f>
        <v>0</v>
      </c>
      <c r="D13" s="6">
        <f>'Track Record'!D13</f>
        <v>26.49199999999999</v>
      </c>
      <c r="E13" s="6">
        <f>'Track Record'!E13</f>
        <v>306.95</v>
      </c>
      <c r="F13" s="6">
        <f>'Track Record'!F13</f>
        <v>1415.363469589041</v>
      </c>
      <c r="H13" s="2"/>
    </row>
    <row r="14">
      <c r="B14" t="s">
        <v>105</v>
      </c>
      <c r="C14" s="6">
        <f>-SUMIFS('LP CF'!$Q$5:$Q$107,'LP CF'!$B$5:$B$107,C$9,'LP CF'!$D$5:$D$107,"Capital call")</f>
        <v>1148.423039130042</v>
      </c>
      <c r="D14" s="6">
        <f>-SUMIFS('LP CF'!$Q$5:$Q$107,'LP CF'!$B$5:$B$107,D$9,'LP CF'!$D$5:$D$107,"Capital call")</f>
        <v>1244.6089928417255</v>
      </c>
      <c r="E14" s="6">
        <f>-SUMIFS('LP CF'!$Q$5:$Q$107,'LP CF'!$B$5:$B$107,E$9,'LP CF'!$D$5:$D$107,"Capital call")</f>
        <v>1523.670745833066</v>
      </c>
      <c r="F14" s="6">
        <f>-SUMIFS('LP CF'!$Q$5:$Q$107,'LP CF'!$B$5:$B$107,F$9,'LP CF'!$D$5:$D$107,"Capital call")</f>
        <v>1804.0654377771336</v>
      </c>
      <c r="H14" s="2"/>
    </row>
    <row r="15">
      <c r="B15" t="s">
        <v>106</v>
      </c>
      <c r="C15" s="6">
        <f>SUMIFS('LP CF'!$Q$5:$Q$107,'LP CF'!$B$5:$B$107,C$9,'LP CF'!$D$5:$D$107,"Cash distribution")</f>
        <v>1273.9769887679167</v>
      </c>
      <c r="D15" s="6">
        <f>SUMIFS('LP CF'!$Q$5:$Q$107,'LP CF'!$B$5:$B$107,D$9,'LP CF'!$D$5:$D$107,"Cash distribution")</f>
        <v>1502.1297414067703</v>
      </c>
      <c r="E15" s="6">
        <f>SUMIFS('LP CF'!$Q$5:$Q$107,'LP CF'!$B$5:$B$107,E$9,'LP CF'!$D$5:$D$107,"Cash distribution")</f>
        <v>2166.6816441011365</v>
      </c>
      <c r="F15" s="6">
        <f>SUMIFS('LP CF'!$Q$5:$Q$107,'LP CF'!$B$5:$B$107,F$9,'LP CF'!$D$5:$D$107,"Cash distribution")</f>
        <v>225.24612969819887</v>
      </c>
      <c r="H15" s="2"/>
    </row>
    <row r="16">
      <c r="B16" t="s" s="30">
        <v>107</v>
      </c>
      <c r="C16" s="54">
        <f>(C15+C13)/C14</f>
        <v>1.1093272647446928</v>
      </c>
      <c r="D16" s="54">
        <f>(D15+D13)/D14</f>
        <v>1.228194356780742</v>
      </c>
      <c r="E16" s="54">
        <f>(E15+E13)/E14</f>
        <v>1.6234686206754465</v>
      </c>
      <c r="F16" s="54">
        <f>(F15+F13)/F14</f>
        <v>0.9093958372755621</v>
      </c>
      <c r="H16" t="s" s="2">
        <v>108</v>
      </c>
    </row>
    <row r="17">
      <c r="B17" t="s">
        <v>109</v>
      </c>
      <c r="C17" s="11">
        <f>C16-1</f>
        <v>0.10932726474469279</v>
      </c>
      <c r="D17" s="11">
        <f>D16-1</f>
        <v>0.22819435678074207</v>
      </c>
      <c r="E17" s="11">
        <f>E16-1</f>
        <v>0.6234686206754465</v>
      </c>
      <c r="F17" s="11">
        <f>F16-1</f>
        <v>-0.09060416272443794</v>
      </c>
      <c r="H17" s="2"/>
    </row>
    <row r="18">
      <c r="C18" s="33"/>
      <c r="D18" s="33"/>
      <c r="E18" s="33"/>
      <c r="F18" s="33"/>
      <c r="H18" s="2"/>
    </row>
    <row r="19">
      <c r="B19" t="s" s="5">
        <v>110</v>
      </c>
      <c r="C19" s="36"/>
      <c r="D19" s="36"/>
      <c r="E19" s="36"/>
      <c r="F19" s="36"/>
      <c r="H19" s="2"/>
    </row>
    <row r="20">
      <c r="B20" t="s">
        <v>19</v>
      </c>
      <c r="C20" s="32">
        <f>'Track Record'!C17</f>
        <v>0.15324133038520815</v>
      </c>
      <c r="D20" s="32">
        <f>'Track Record'!D17</f>
        <v>0.16180080771446229</v>
      </c>
      <c r="E20" s="32">
        <f>'Track Record'!E17</f>
        <v>0.24977522492408755</v>
      </c>
      <c r="F20" s="32">
        <f>'Track Record'!F17</f>
        <v>0.14515922665596012</v>
      </c>
      <c r="H20" s="2"/>
    </row>
    <row r="21">
      <c r="B21" t="s" s="7">
        <v>111</v>
      </c>
      <c r="C21" s="10">
        <f>XIRR('LP CF'!$Q$5:$Q$29,'LP CF'!$C$5:$C$29)</f>
        <v>0.02465148270130158</v>
      </c>
      <c r="D21" s="10">
        <f>XIRR('LP CF'!$Q$30:$Q$54,'LP CF'!$C$30:$C$54)</f>
        <v>0.049975273013114926</v>
      </c>
      <c r="E21" s="10">
        <f>XIRR('LP CF'!$Q$55:$Q$87,'LP CF'!$C$55:$C$87)</f>
        <v>0.13581933379173278</v>
      </c>
      <c r="F21" s="10">
        <f>XIRR('LP CF'!$Q$88:$Q$107,'LP CF'!$C$88:$C$107)</f>
        <v>-0.035288795828819275</v>
      </c>
      <c r="H21" t="s" s="2">
        <v>112</v>
      </c>
    </row>
    <row r="22">
      <c r="C22" s="33"/>
      <c r="D22" s="33"/>
      <c r="E22" s="33"/>
      <c r="F22" s="33"/>
      <c r="H22" s="2"/>
    </row>
    <row r="23">
      <c r="C23" s="33"/>
      <c r="D23" s="33"/>
      <c r="E23" s="33"/>
      <c r="F23" s="33"/>
      <c r="H23" s="2"/>
    </row>
    <row r="24">
      <c r="B24" t="s">
        <v>113</v>
      </c>
      <c r="C24" s="42">
        <f>_xlfn.MINIFS('LP CF'!$C$5:$C$107,'LP CF'!$B$5:$B$107,C$9)</f>
        <v>40359</v>
      </c>
      <c r="D24" s="42">
        <f>_xlfn.MINIFS('LP CF'!$C$5:$C$107,'LP CF'!$B$5:$B$107,D$9)</f>
        <v>41547</v>
      </c>
      <c r="E24" s="42">
        <f>_xlfn.MINIFS('LP CF'!$C$5:$C$107,'LP CF'!$B$5:$B$107,E$9)</f>
        <v>42916</v>
      </c>
      <c r="F24" s="42">
        <f>_xlfn.MINIFS('LP CF'!$C$5:$C$107,'LP CF'!$B$5:$B$107,F$9)</f>
        <v>44646</v>
      </c>
      <c r="H24" s="2"/>
    </row>
    <row r="25">
      <c r="B25" t="s">
        <v>114</v>
      </c>
      <c r="C25" s="55">
        <f>INDEX('R2K TR Index'!$C$5:$C$197,MATCH(EOMONTH(C24,0),'R2K TR Index'!$B$5:$B$197,0))</f>
        <v>2705.3701</v>
      </c>
      <c r="D25" s="55">
        <f>INDEX('R2K TR Index'!$C$5:$C$197,MATCH(EOMONTH(D24,0),'R2K TR Index'!$B$5:$B$197,0))</f>
        <v>4982.8501</v>
      </c>
      <c r="E25" s="55">
        <f>INDEX('R2K TR Index'!$C$5:$C$197,MATCH(EOMONTH(E24,0),'R2K TR Index'!$B$5:$B$197,0))</f>
        <v>6917.8599</v>
      </c>
      <c r="F25" s="55">
        <f>INDEX('R2K TR Index'!$C$5:$C$197,MATCH(EOMONTH(F24,0),'R2K TR Index'!$B$5:$B$197,0))</f>
        <v>10747.6104</v>
      </c>
      <c r="H25" s="2"/>
    </row>
    <row r="26">
      <c r="B26" t="s">
        <v>115</v>
      </c>
      <c r="C26" s="55">
        <f>INDEX('R2K TR Index'!$C$5:$C$197,MATCH('R2K TR Index'!$F$4,'R2K TR Index'!$B$5:$B$197,0))</f>
        <v>16674.9707</v>
      </c>
      <c r="D26" s="55">
        <f>INDEX('R2K TR Index'!$C$5:$C$197,MATCH('R2K TR Index'!$F$4,'R2K TR Index'!$B$5:$B$197,0))</f>
        <v>16674.9707</v>
      </c>
      <c r="E26" s="55">
        <f>INDEX('R2K TR Index'!$C$5:$C$197,MATCH('R2K TR Index'!$F$4,'R2K TR Index'!$B$5:$B$197,0))</f>
        <v>16674.9707</v>
      </c>
      <c r="F26" s="55">
        <f>INDEX('R2K TR Index'!$C$5:$C$197,MATCH('R2K TR Index'!$F$4,'R2K TR Index'!$B$5:$B$197,0))</f>
        <v>16674.9707</v>
      </c>
      <c r="H26" s="2"/>
    </row>
    <row r="27">
      <c r="H27" s="2"/>
    </row>
    <row r="28">
      <c r="H28" s="2"/>
    </row>
    <row r="29">
      <c r="H29" s="2"/>
    </row>
    <row r="30">
      <c r="H30" s="2"/>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7"/>
  <sheetViews>
    <sheetView showGridLines="0" workbookViewId="0">
      <selection activeCell="A1" sqref="A1"/>
    </sheetView>
  </sheetViews>
  <cols>
    <col min="1" max="1" width="2.21875" customWidth="1"/>
    <col min="2" max="2" width="13.21875" customWidth="1"/>
    <col min="3" max="8" width="15.21875" customWidth="1"/>
    <col min="9" max="10" width="18.07421875" customWidth="1"/>
    <col min="11" max="11" width="57.07421875" customWidth="1"/>
  </cols>
  <sheetData>
    <row r="2">
      <c r="B2" t="s" s="1">
        <v>116</v>
      </c>
    </row>
    <row r="3">
      <c r="B3" t="s" s="2">
        <v>117</v>
      </c>
    </row>
    <row r="5">
      <c r="B5" t="s" s="5">
        <v>118</v>
      </c>
      <c r="C5" s="5"/>
      <c r="D5" s="5"/>
      <c r="E5" s="5"/>
      <c r="F5" s="5"/>
      <c r="G5" s="5"/>
      <c r="H5" s="5"/>
      <c r="I5" s="5"/>
      <c r="J5" s="5"/>
    </row>
    <row r="6" ht="40" customHeight="1">
      <c r="C6" t="s" s="56">
        <v>119</v>
      </c>
      <c r="D6" t="s" s="56">
        <v>120</v>
      </c>
      <c r="E6" t="s" s="56">
        <v>121</v>
      </c>
      <c r="F6" t="s" s="56">
        <v>122</v>
      </c>
      <c r="G6" t="s" s="56">
        <v>123</v>
      </c>
      <c r="H6" t="s" s="56">
        <v>124</v>
      </c>
      <c r="I6" t="s" s="56">
        <v>125</v>
      </c>
      <c r="J6" t="s" s="56">
        <v>126</v>
      </c>
    </row>
    <row r="7">
      <c r="B7" t="s">
        <v>3</v>
      </c>
      <c r="C7" s="57">
        <v>2010</v>
      </c>
      <c r="D7" s="58">
        <v>0.16</v>
      </c>
      <c r="E7" s="58">
        <v>0.125</v>
      </c>
      <c r="F7" s="58">
        <v>0.08</v>
      </c>
      <c r="G7" s="59">
        <v>1.95</v>
      </c>
      <c r="H7" s="59">
        <v>1.7</v>
      </c>
      <c r="I7" s="59">
        <v>1.45</v>
      </c>
      <c r="J7" t="s" s="60">
        <v>127</v>
      </c>
    </row>
    <row r="8">
      <c r="B8" t="s">
        <v>4</v>
      </c>
      <c r="C8" s="57">
        <v>2013</v>
      </c>
      <c r="D8" s="58">
        <v>0.17</v>
      </c>
      <c r="E8" s="58">
        <v>0.13</v>
      </c>
      <c r="F8" s="58">
        <v>0.085</v>
      </c>
      <c r="G8" s="59">
        <v>2</v>
      </c>
      <c r="H8" s="59">
        <v>1.75</v>
      </c>
      <c r="I8" s="59">
        <v>1.45</v>
      </c>
      <c r="J8" t="s" s="60">
        <v>127</v>
      </c>
    </row>
    <row r="9">
      <c r="B9" t="s">
        <v>5</v>
      </c>
      <c r="C9" s="57">
        <v>2017</v>
      </c>
      <c r="D9" s="58">
        <v>0.22</v>
      </c>
      <c r="E9" s="58">
        <v>0.16</v>
      </c>
      <c r="F9" s="58">
        <v>0.105</v>
      </c>
      <c r="G9" s="59">
        <v>2.15</v>
      </c>
      <c r="H9" s="59">
        <v>1.8</v>
      </c>
      <c r="I9" s="59">
        <v>1.5</v>
      </c>
      <c r="J9" t="s" s="60">
        <v>128</v>
      </c>
    </row>
    <row r="10">
      <c r="B10" t="s">
        <v>6</v>
      </c>
      <c r="C10" s="57">
        <v>2021</v>
      </c>
      <c r="D10" s="58">
        <v>0.14</v>
      </c>
      <c r="E10" s="58">
        <v>0.095</v>
      </c>
      <c r="F10" s="58">
        <v>0.05</v>
      </c>
      <c r="G10" s="59">
        <v>1.45</v>
      </c>
      <c r="H10" s="59">
        <v>1.3</v>
      </c>
      <c r="I10" s="59">
        <v>1.15</v>
      </c>
      <c r="J10" t="s" s="60">
        <v>128</v>
      </c>
    </row>
    <row r="12">
      <c r="B12" t="s" s="5">
        <v>129</v>
      </c>
      <c r="C12" s="5"/>
      <c r="D12" s="5"/>
      <c r="E12" s="5"/>
      <c r="F12" s="5"/>
      <c r="G12" s="5"/>
      <c r="H12" s="5"/>
      <c r="I12" s="5"/>
      <c r="J12" s="5"/>
    </row>
    <row r="13" ht="40" customHeight="1">
      <c r="C13" t="s" s="56">
        <v>130</v>
      </c>
      <c r="D13" t="s" s="56">
        <v>131</v>
      </c>
      <c r="E13" t="s" s="56">
        <v>132</v>
      </c>
      <c r="F13" t="s" s="56">
        <v>131</v>
      </c>
      <c r="G13" t="s" s="56">
        <v>16</v>
      </c>
      <c r="H13" t="s" s="56">
        <v>131</v>
      </c>
      <c r="I13" t="s" s="56">
        <v>133</v>
      </c>
    </row>
    <row r="14">
      <c r="B14" t="s">
        <v>3</v>
      </c>
      <c r="C14" s="61">
        <f>'Track Record'!C17</f>
        <v>0.15324133038520815</v>
      </c>
      <c r="D14" t="str" s="60">
        <f>IF(C14&gt;=$D7,"First",IF(C14&gt;=$E7,"Second",IF(C14&gt;=$F7,"Third","Fourth")))</f>
        <v>Second</v>
      </c>
      <c r="E14" s="62">
        <f>C14</f>
        <v>0.15324133038520815</v>
      </c>
      <c r="F14" t="str" s="60">
        <f>IF(E14&gt;=$D7,"First",IF(E14&gt;=$E7,"Second",IF(E14&gt;=$F7,"Third","Fourth")))</f>
        <v>Second</v>
      </c>
      <c r="G14" s="63">
        <f>'Track Record'!C14</f>
        <v>1.8253599999999999</v>
      </c>
      <c r="H14" t="str" s="60">
        <f>IF(G14&gt;=$G7,"First",IF(G14&gt;=$H7,"Second",IF(G14&gt;=$I7,"Third","Fourth")))</f>
        <v>Second</v>
      </c>
      <c r="I14" t="str" s="64">
        <f>IF(AND(D14=J7,F14=J7,H14=J7),"Yes","No")</f>
        <v>Yes</v>
      </c>
      <c r="K14" s="2"/>
    </row>
    <row r="15">
      <c r="B15" t="s">
        <v>4</v>
      </c>
      <c r="C15" s="61">
        <f>'Track Record'!D17</f>
        <v>0.16180080771446229</v>
      </c>
      <c r="D15" t="str" s="60">
        <f>IF(C15&gt;=$D8,"First",IF(C15&gt;=$E8,"Second",IF(C15&gt;=$F8,"Third","Fourth")))</f>
        <v>Second</v>
      </c>
      <c r="E15" s="62">
        <f>C15</f>
        <v>0.16180080771446229</v>
      </c>
      <c r="F15" t="str" s="60">
        <f>IF(E15&gt;=$D8,"First",IF(E15&gt;=$E8,"Second",IF(E15&gt;=$F8,"Third","Fourth")))</f>
        <v>Second</v>
      </c>
      <c r="G15" s="63">
        <f>'Track Record'!D14</f>
        <v>1.9265738095238092</v>
      </c>
      <c r="H15" t="str" s="60">
        <f>IF(G15&gt;=$G8,"First",IF(G15&gt;=$H8,"Second",IF(G15&gt;=$I8,"Third","Fourth")))</f>
        <v>Second</v>
      </c>
      <c r="I15" t="str" s="64">
        <f>IF(AND(D15=J8,F15=J8,H15=J8),"Yes","No")</f>
        <v>Yes</v>
      </c>
      <c r="K15" t="s" s="2">
        <v>134</v>
      </c>
    </row>
    <row r="16">
      <c r="B16" t="s">
        <v>5</v>
      </c>
      <c r="C16" s="61">
        <f>'Track Record'!E17</f>
        <v>0.24977522492408755</v>
      </c>
      <c r="D16" t="str" s="60">
        <f>IF(C16&gt;=$D9,"First",IF(C16&gt;=$E9,"Second",IF(C16&gt;=$F9,"Third","Fourth")))</f>
        <v>First</v>
      </c>
      <c r="E16" s="61">
        <f>'Sub Line'!C8</f>
        <v>0.23269724249839782</v>
      </c>
      <c r="F16" t="str" s="60">
        <f>IF(E16&gt;=$D9,"First",IF(E16&gt;=$E9,"Second",IF(E16&gt;=$F9,"Third","Fourth")))</f>
        <v>First</v>
      </c>
      <c r="G16" s="63">
        <f>'Track Record'!E14</f>
        <v>2.379852661448141</v>
      </c>
      <c r="H16" t="str" s="60">
        <f>IF(G16&gt;=$G9,"First",IF(G16&gt;=$H9,"Second",IF(G16&gt;=$I9,"Third","Fourth")))</f>
        <v>First</v>
      </c>
      <c r="I16" t="str" s="64">
        <f>IF(AND(D16=J9,F16=J9,H16=J9),"Yes","No")</f>
        <v>Yes</v>
      </c>
      <c r="K16" s="2"/>
    </row>
    <row r="17">
      <c r="B17" t="s">
        <v>6</v>
      </c>
      <c r="C17" s="61">
        <f>'Track Record'!F17</f>
        <v>0.14515922665596012</v>
      </c>
      <c r="D17" t="str" s="60">
        <f>IF(C17&gt;=$D10,"First",IF(C17&gt;=$E10,"Second",IF(C17&gt;=$F10,"Third","Fourth")))</f>
        <v>First</v>
      </c>
      <c r="E17" s="61">
        <f>'Sub Line'!D8</f>
        <v>0.11821619868278502</v>
      </c>
      <c r="F17" t="str" s="60">
        <f>IF(E17&gt;=$D10,"First",IF(E17&gt;=$E10,"Second",IF(E17&gt;=$F10,"Third","Fourth")))</f>
        <v>Second</v>
      </c>
      <c r="G17" s="63">
        <f>'Track Record'!F14</f>
        <v>1.4315488129404466</v>
      </c>
      <c r="H17" t="str" s="60">
        <f>IF(G17&gt;=$G10,"First",IF(G17&gt;=$H10,"Second",IF(G17&gt;=$I10,"Third","Fourth")))</f>
        <v>Second</v>
      </c>
      <c r="I17" t="str" s="64">
        <f>IF(AND(D17=J10,F17=J10,H17=J10),"Yes","No")</f>
        <v>No</v>
      </c>
      <c r="K17" t="s" s="2">
        <v>135</v>
      </c>
    </row>
  </sheetData>
  <pageMargins left="0.7" right="0.7" top="0.75" bottom="0.75" header="0.3" footer="0.3"/>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2"/>
  <sheetViews>
    <sheetView showGridLines="0" workbookViewId="0">
      <selection activeCell="A1" sqref="A1"/>
    </sheetView>
  </sheetViews>
  <cols>
    <col min="1" max="1" width="2.21875" customWidth="1"/>
    <col min="2" max="2" width="47.50390625" customWidth="1"/>
    <col min="3" max="11" width="14.21875" customWidth="1"/>
    <col min="12" max="12" width="62.7890625" customWidth="1"/>
  </cols>
  <sheetData>
    <row r="2">
      <c r="B2" t="s" s="1">
        <v>136</v>
      </c>
    </row>
    <row r="3">
      <c r="B3" t="s" s="2">
        <v>137</v>
      </c>
    </row>
    <row r="5">
      <c r="B5" t="s" s="5">
        <v>138</v>
      </c>
      <c r="C5" s="5"/>
      <c r="D5" s="5"/>
      <c r="E5" s="5"/>
      <c r="F5" s="5"/>
      <c r="G5" s="5"/>
      <c r="H5" s="5"/>
      <c r="I5" s="5"/>
      <c r="J5" s="5"/>
      <c r="K5" s="5"/>
      <c r="L5" s="5"/>
    </row>
    <row r="6" ht="28" customHeight="1">
      <c r="B6" t="s" s="65">
        <v>139</v>
      </c>
      <c r="C6" t="s" s="56">
        <v>35</v>
      </c>
      <c r="D6" t="s" s="56">
        <v>140</v>
      </c>
      <c r="E6" t="s" s="56">
        <v>141</v>
      </c>
      <c r="F6" t="s" s="56">
        <v>142</v>
      </c>
      <c r="G6" t="s" s="56">
        <v>143</v>
      </c>
      <c r="H6" t="s" s="56">
        <v>144</v>
      </c>
      <c r="I6" t="s" s="56">
        <v>145</v>
      </c>
      <c r="J6" t="s" s="56">
        <v>11</v>
      </c>
      <c r="K6" t="s" s="56">
        <v>146</v>
      </c>
      <c r="L6" t="s" s="65">
        <v>147</v>
      </c>
    </row>
    <row r="7">
      <c r="B7" t="s">
        <v>148</v>
      </c>
      <c r="C7" t="s" s="60">
        <v>143</v>
      </c>
      <c r="D7" s="66">
        <v>43008</v>
      </c>
      <c r="E7" s="66">
        <v>44469</v>
      </c>
      <c r="F7" s="67">
        <v>60</v>
      </c>
      <c r="G7" s="67">
        <v>565</v>
      </c>
      <c r="H7" s="67">
        <v>0</v>
      </c>
      <c r="I7" s="8">
        <f>G7+H7</f>
        <v>565</v>
      </c>
      <c r="J7" s="14">
        <f>I7/F7</f>
        <v>9.416666666666666</v>
      </c>
      <c r="K7" t="str" s="60">
        <f>IF(C7="Realized","Yes","No")</f>
        <v>Yes</v>
      </c>
    </row>
    <row r="8">
      <c r="B8" t="s">
        <v>149</v>
      </c>
      <c r="C8" t="s" s="60">
        <v>143</v>
      </c>
      <c r="D8" s="66">
        <v>43190</v>
      </c>
      <c r="E8" s="66">
        <v>44742</v>
      </c>
      <c r="F8" s="67">
        <v>75</v>
      </c>
      <c r="G8" s="67">
        <v>240</v>
      </c>
      <c r="H8" s="67">
        <v>0</v>
      </c>
      <c r="I8" s="8">
        <f>G8+H8</f>
        <v>240</v>
      </c>
      <c r="J8" s="14">
        <f>I8/F8</f>
        <v>3.2</v>
      </c>
      <c r="K8" t="str" s="60">
        <f>IF(C8="Realized","Yes","No")</f>
        <v>Yes</v>
      </c>
    </row>
    <row r="9">
      <c r="B9" t="s">
        <v>150</v>
      </c>
      <c r="C9" t="s" s="60">
        <v>143</v>
      </c>
      <c r="D9" s="66">
        <v>43281</v>
      </c>
      <c r="E9" s="66">
        <v>45016</v>
      </c>
      <c r="F9" s="67">
        <v>70</v>
      </c>
      <c r="G9" s="67">
        <v>210</v>
      </c>
      <c r="H9" s="67">
        <v>0</v>
      </c>
      <c r="I9" s="8">
        <f>G9+H9</f>
        <v>210</v>
      </c>
      <c r="J9" s="14">
        <f>I9/F9</f>
        <v>3</v>
      </c>
      <c r="K9" t="str" s="60">
        <f>IF(C9="Realized","Yes","No")</f>
        <v>Yes</v>
      </c>
    </row>
    <row r="10">
      <c r="B10" t="s">
        <v>151</v>
      </c>
      <c r="C10" t="s" s="60">
        <v>143</v>
      </c>
      <c r="D10" s="66">
        <v>43373</v>
      </c>
      <c r="E10" s="66">
        <v>45107</v>
      </c>
      <c r="F10" s="67">
        <v>65</v>
      </c>
      <c r="G10" s="67">
        <v>175</v>
      </c>
      <c r="H10" s="67">
        <v>0</v>
      </c>
      <c r="I10" s="8">
        <f>G10+H10</f>
        <v>175</v>
      </c>
      <c r="J10" s="14">
        <f>I10/F10</f>
        <v>2.6923076923076925</v>
      </c>
      <c r="K10" t="str" s="60">
        <f>IF(C10="Realized","Yes","No")</f>
        <v>Yes</v>
      </c>
    </row>
    <row r="11">
      <c r="B11" t="s">
        <v>152</v>
      </c>
      <c r="C11" t="s" s="60">
        <v>144</v>
      </c>
      <c r="D11" s="66">
        <v>43465</v>
      </c>
      <c r="E11" s="47"/>
      <c r="F11" s="67">
        <v>45</v>
      </c>
      <c r="G11" s="67">
        <v>0</v>
      </c>
      <c r="H11" s="67">
        <v>13</v>
      </c>
      <c r="I11" s="8">
        <f>G11+H11</f>
        <v>13</v>
      </c>
      <c r="J11" s="14">
        <f>I11/F11</f>
        <v>0.28888888888888886</v>
      </c>
      <c r="K11" t="str" s="60">
        <f>IF(C11="Realized","Yes","No")</f>
        <v>No</v>
      </c>
      <c r="L11" t="s">
        <v>153</v>
      </c>
    </row>
    <row r="12">
      <c r="B12" t="s">
        <v>154</v>
      </c>
      <c r="C12" t="s" s="60">
        <v>143</v>
      </c>
      <c r="D12" s="66">
        <v>43555</v>
      </c>
      <c r="E12" s="66">
        <v>45382</v>
      </c>
      <c r="F12" s="67">
        <v>55</v>
      </c>
      <c r="G12" s="67">
        <v>140</v>
      </c>
      <c r="H12" s="67">
        <v>0</v>
      </c>
      <c r="I12" s="8">
        <f>G12+H12</f>
        <v>140</v>
      </c>
      <c r="J12" s="14">
        <f>I12/F12</f>
        <v>2.5454545454545454</v>
      </c>
      <c r="K12" t="str" s="60">
        <f>IF(C12="Realized","Yes","No")</f>
        <v>Yes</v>
      </c>
    </row>
    <row r="13">
      <c r="B13" t="s">
        <v>155</v>
      </c>
      <c r="C13" t="s" s="60">
        <v>143</v>
      </c>
      <c r="D13" s="66">
        <v>43646</v>
      </c>
      <c r="E13" s="66">
        <v>45473</v>
      </c>
      <c r="F13" s="67">
        <v>60</v>
      </c>
      <c r="G13" s="67">
        <v>150</v>
      </c>
      <c r="H13" s="67">
        <v>0</v>
      </c>
      <c r="I13" s="8">
        <f>G13+H13</f>
        <v>150</v>
      </c>
      <c r="J13" s="14">
        <f>I13/F13</f>
        <v>2.5</v>
      </c>
      <c r="K13" t="str" s="60">
        <f>IF(C13="Realized","Yes","No")</f>
        <v>Yes</v>
      </c>
    </row>
    <row r="14">
      <c r="B14" t="s">
        <v>156</v>
      </c>
      <c r="C14" t="s" s="60">
        <v>144</v>
      </c>
      <c r="D14" s="66">
        <v>43738</v>
      </c>
      <c r="E14" s="47"/>
      <c r="F14" s="67">
        <v>40</v>
      </c>
      <c r="G14" s="67">
        <v>0</v>
      </c>
      <c r="H14" s="67">
        <v>7</v>
      </c>
      <c r="I14" s="8">
        <f>G14+H14</f>
        <v>7</v>
      </c>
      <c r="J14" s="14">
        <f>I14/F14</f>
        <v>0.175</v>
      </c>
      <c r="K14" t="str" s="60">
        <f>IF(C14="Realized","Yes","No")</f>
        <v>No</v>
      </c>
      <c r="L14" t="s">
        <v>153</v>
      </c>
    </row>
    <row r="15">
      <c r="B15" t="s">
        <v>157</v>
      </c>
      <c r="C15" t="s" s="60">
        <v>143</v>
      </c>
      <c r="D15" s="66">
        <v>43830</v>
      </c>
      <c r="E15" s="66">
        <v>45747</v>
      </c>
      <c r="F15" s="67">
        <v>50</v>
      </c>
      <c r="G15" s="67">
        <v>100</v>
      </c>
      <c r="H15" s="67">
        <v>0</v>
      </c>
      <c r="I15" s="8">
        <f>G15+H15</f>
        <v>100</v>
      </c>
      <c r="J15" s="14">
        <f>I15/F15</f>
        <v>2</v>
      </c>
      <c r="K15" t="str" s="60">
        <f>IF(C15="Realized","Yes","No")</f>
        <v>Yes</v>
      </c>
    </row>
    <row r="16">
      <c r="B16" t="s">
        <v>158</v>
      </c>
      <c r="C16" t="s" s="60">
        <v>144</v>
      </c>
      <c r="D16" s="66">
        <v>43921</v>
      </c>
      <c r="E16" s="47"/>
      <c r="F16" s="67">
        <v>70</v>
      </c>
      <c r="G16" s="67">
        <v>0</v>
      </c>
      <c r="H16" s="67">
        <v>210</v>
      </c>
      <c r="I16" s="8">
        <f>G16+H16</f>
        <v>210</v>
      </c>
      <c r="J16" s="14">
        <f>I16/F16</f>
        <v>3</v>
      </c>
      <c r="K16" t="str" s="60">
        <f>IF(C16="Realized","Yes","No")</f>
        <v>No</v>
      </c>
      <c r="L16" t="s">
        <v>159</v>
      </c>
    </row>
    <row r="17">
      <c r="B17" t="s">
        <v>160</v>
      </c>
      <c r="C17" t="s" s="60">
        <v>144</v>
      </c>
      <c r="D17" s="66">
        <v>44104</v>
      </c>
      <c r="E17" s="47"/>
      <c r="F17" s="67">
        <v>65</v>
      </c>
      <c r="G17" s="67">
        <v>0</v>
      </c>
      <c r="H17" s="67">
        <v>160</v>
      </c>
      <c r="I17" s="8">
        <f>G17+H17</f>
        <v>160</v>
      </c>
      <c r="J17" s="14">
        <f>I17/F17</f>
        <v>2.4615384615384617</v>
      </c>
      <c r="K17" t="str" s="60">
        <f>IF(C17="Realized","Yes","No")</f>
        <v>No</v>
      </c>
      <c r="L17" t="s">
        <v>159</v>
      </c>
    </row>
    <row r="18">
      <c r="B18" t="s" s="30">
        <v>161</v>
      </c>
      <c r="C18" s="30"/>
      <c r="D18" s="30"/>
      <c r="E18" s="30"/>
      <c r="F18" s="68">
        <f>SUM(F7:F17)</f>
        <v>655</v>
      </c>
      <c r="G18" s="68">
        <f>SUM(G7:G17)</f>
        <v>1580</v>
      </c>
      <c r="H18" s="68">
        <f>SUM(H7:H17)</f>
        <v>390</v>
      </c>
      <c r="I18" s="68">
        <f>SUM(I7:I17)</f>
        <v>1970</v>
      </c>
      <c r="J18" s="69">
        <f>I18/F18</f>
        <v>3.0076335877862594</v>
      </c>
      <c r="K18" s="30"/>
      <c r="L18" s="30"/>
    </row>
    <row r="20">
      <c r="B20" t="s" s="5">
        <v>162</v>
      </c>
      <c r="C20" s="5"/>
      <c r="D20" s="5"/>
      <c r="E20" s="5"/>
      <c r="F20" s="5"/>
      <c r="G20" s="5"/>
      <c r="H20" s="5"/>
      <c r="I20" s="5"/>
      <c r="J20" s="5"/>
      <c r="K20" s="5"/>
      <c r="L20" s="5"/>
    </row>
    <row r="21" ht="28" customHeight="1">
      <c r="B21" t="s" s="65">
        <v>163</v>
      </c>
      <c r="C21" t="s" s="56">
        <v>164</v>
      </c>
      <c r="D21" t="s" s="56">
        <v>142</v>
      </c>
      <c r="E21" t="s" s="56">
        <v>145</v>
      </c>
      <c r="F21" t="s" s="56">
        <v>11</v>
      </c>
      <c r="G21" t="s" s="56">
        <v>12</v>
      </c>
      <c r="H21" t="s" s="56">
        <v>16</v>
      </c>
      <c r="I21" t="s" s="56">
        <v>165</v>
      </c>
      <c r="J21" t="s" s="56">
        <v>166</v>
      </c>
    </row>
    <row r="22">
      <c r="B22" t="s">
        <v>167</v>
      </c>
      <c r="C22" s="70">
        <v>7</v>
      </c>
      <c r="D22" s="67">
        <v>435</v>
      </c>
      <c r="E22" s="8"/>
      <c r="F22" s="71">
        <v>3.6</v>
      </c>
      <c r="G22" s="72">
        <v>0.38</v>
      </c>
      <c r="H22" s="14"/>
      <c r="I22" s="12"/>
      <c r="J22" s="12"/>
    </row>
    <row r="23">
      <c r="B23" t="s">
        <v>168</v>
      </c>
      <c r="C23" s="29"/>
      <c r="D23" s="67">
        <v>435</v>
      </c>
      <c r="E23" s="67">
        <v>1580</v>
      </c>
      <c r="F23" s="73">
        <v>3.63</v>
      </c>
      <c r="G23" s="74">
        <v>0.375</v>
      </c>
      <c r="H23" s="14"/>
      <c r="I23" s="12"/>
      <c r="J23" s="12"/>
    </row>
    <row r="24">
      <c r="B24" t="s" s="7">
        <v>169</v>
      </c>
      <c r="C24" s="75">
        <f>COUNTIF($K$7:$K$17,"Yes")</f>
        <v>7</v>
      </c>
      <c r="D24" s="76">
        <f>SUMIFS($F$7:$F$17,$K$7:$K$17,"Yes")</f>
        <v>435</v>
      </c>
      <c r="E24" s="76">
        <f>SUMIFS($I$7:$I$17,$K$7:$K$17,"Yes")</f>
        <v>1580</v>
      </c>
      <c r="F24" s="77">
        <f>E24/D24</f>
        <v>3.632183908045977</v>
      </c>
      <c r="G24" s="78">
        <f>XIRR('Deal CF'!$G$41:$G$62,'Deal CF'!$D$41:$D$62)</f>
        <v>0.37519205212593076</v>
      </c>
      <c r="H24" s="77"/>
      <c r="I24" s="79"/>
      <c r="J24" s="79"/>
    </row>
    <row r="25">
      <c r="B25" t="s" s="80">
        <v>170</v>
      </c>
      <c r="C25" s="29">
        <f>COUNTIFS($B$7:$B$17,"Bracken Fluid Systems")</f>
        <v>1</v>
      </c>
      <c r="D25" s="8">
        <f>SUMIFS($F$7:$F$17,$B$7:$B$17,"Bracken Fluid Systems")</f>
        <v>60</v>
      </c>
      <c r="E25" s="8">
        <f>SUMIFS($I$7:$I$17,$B$7:$B$17,"Bracken Fluid Systems")</f>
        <v>565</v>
      </c>
      <c r="F25" s="14">
        <f>E25/D25</f>
        <v>9.416666666666666</v>
      </c>
      <c r="G25" s="81">
        <f>XIRR('Deal CF'!$F$41:$F$42,'Deal CF'!$D$41:$D$42)</f>
        <v>0.751086699962616</v>
      </c>
      <c r="H25" s="14"/>
      <c r="I25" s="12"/>
      <c r="J25" s="12"/>
    </row>
    <row r="26">
      <c r="B26" t="s" s="80">
        <v>171</v>
      </c>
      <c r="C26" s="29">
        <f>C24-C25</f>
        <v>6</v>
      </c>
      <c r="D26" s="8">
        <f>D24-D25</f>
        <v>375</v>
      </c>
      <c r="E26" s="8">
        <f>E24-E25</f>
        <v>1015</v>
      </c>
      <c r="F26" s="14">
        <f>E26/D26</f>
        <v>2.7066666666666666</v>
      </c>
      <c r="G26" s="81">
        <f>XIRR('Deal CF'!$H$43:$H$62,'Deal CF'!$D$43:$D$62)</f>
        <v>0.2398110449314117</v>
      </c>
      <c r="H26" s="14"/>
      <c r="I26" s="12"/>
      <c r="J26" s="12"/>
    </row>
    <row r="27">
      <c r="B27" t="s" s="80">
        <v>172</v>
      </c>
      <c r="C27" s="29">
        <f>COUNTIF($K$7:$K$17,"No")</f>
        <v>4</v>
      </c>
      <c r="D27" s="8">
        <f>SUMIFS($F$7:$F$17,$K$7:$K$17,"No")</f>
        <v>220</v>
      </c>
      <c r="E27" s="8">
        <f>SUMIFS($I$7:$I$17,$K$7:$K$17,"No")</f>
        <v>390</v>
      </c>
      <c r="F27" s="14">
        <f>E27/D27</f>
        <v>1.7727272727272727</v>
      </c>
      <c r="G27" s="81">
        <f>XIRR('Deal CF'!$I$49:$I$62,'Deal CF'!$D$49:$D$62)</f>
        <v>0.09254399836063386</v>
      </c>
      <c r="H27" s="14"/>
      <c r="I27" s="12"/>
      <c r="J27" s="12"/>
    </row>
    <row r="28">
      <c r="B28" t="s" s="7">
        <v>173</v>
      </c>
      <c r="C28" s="75">
        <f>C24+C27</f>
        <v>11</v>
      </c>
      <c r="D28" s="82">
        <f>'Track Record'!E7</f>
        <v>655</v>
      </c>
      <c r="E28" s="82">
        <f>'Track Record'!E8</f>
        <v>1970</v>
      </c>
      <c r="F28" s="83">
        <f>'Track Record'!E9</f>
        <v>3.0076335877862594</v>
      </c>
      <c r="G28" s="78">
        <f>'Track Record'!E10</f>
        <v>0.3007669746875763</v>
      </c>
      <c r="H28" s="83">
        <f>'Track Record'!E14</f>
        <v>2.379852661448141</v>
      </c>
      <c r="I28" s="78">
        <f>'Track Record'!E17</f>
        <v>0.24977522492408755</v>
      </c>
      <c r="J28" s="78">
        <f>'Sub Line'!C8</f>
        <v>0.23269724249839782</v>
      </c>
    </row>
    <row r="29">
      <c r="B29" t="s" s="7">
        <v>174</v>
      </c>
      <c r="C29" s="84">
        <f>COUNTIF('Deal CF'!$E$5:$E$81,"Investment")</f>
        <v>38</v>
      </c>
      <c r="D29" s="82">
        <f>'Track Record'!G7</f>
        <v>2220</v>
      </c>
      <c r="E29" s="82">
        <f>'Track Record'!G8</f>
        <v>5155</v>
      </c>
      <c r="F29" s="83">
        <f>'Track Record'!G9</f>
        <v>2.3220720720720722</v>
      </c>
      <c r="G29" s="78">
        <f>'Track Record'!G10</f>
        <v>0.2277738630771637</v>
      </c>
      <c r="H29" s="83">
        <f>'Track Record'!G14</f>
        <v>1.8242593376359648</v>
      </c>
      <c r="I29" s="78">
        <f>'Track Record'!G17</f>
        <v>0.17957215905189514</v>
      </c>
      <c r="J29" s="79"/>
    </row>
    <row r="31">
      <c r="B31" t="s" s="50">
        <v>175</v>
      </c>
      <c r="C31" s="50"/>
      <c r="D31" s="50"/>
      <c r="E31" s="50"/>
      <c r="F31" s="85">
        <f>F23-F28</f>
        <v>0.6223664122137404</v>
      </c>
      <c r="G31" s="86">
        <f>G23-G28</f>
        <v>0.0742330253124237</v>
      </c>
      <c r="H31" s="50"/>
      <c r="I31" s="50"/>
      <c r="J31" s="50"/>
    </row>
    <row r="32">
      <c r="B32" t="s">
        <v>176</v>
      </c>
      <c r="F32" s="14">
        <f>F23-F29</f>
        <v>1.3079279279279277</v>
      </c>
      <c r="G32" s="12">
        <f>G23-G29</f>
        <v>0.1472261369228363</v>
      </c>
    </row>
  </sheetData>
  <pageMargins left="0.7" right="0.7" top="0.75" bottom="0.75" header="0.3" footer="0.3"/>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53"/>
  <sheetViews>
    <sheetView showGridLines="0" workbookViewId="0">
      <selection activeCell="A1" sqref="A1"/>
    </sheetView>
  </sheetViews>
  <cols>
    <col min="1" max="1" width="2" customWidth="1"/>
    <col min="2" max="2" width="52" customWidth="1"/>
    <col min="3" max="4" width="9" customWidth="1"/>
    <col min="5" max="9" width="11" customWidth="1"/>
  </cols>
  <sheetData>
    <row r="2">
      <c r="B2" t="s" s="1">
        <v>469</v>
      </c>
    </row>
    <row r="3">
      <c r="B3" t="s" s="2">
        <v>470</v>
      </c>
    </row>
    <row r="5">
      <c r="B5" t="s" s="99">
        <v>2</v>
      </c>
      <c r="C5" t="s" s="100">
        <v>471</v>
      </c>
      <c r="D5" t="s" s="100">
        <v>472</v>
      </c>
      <c r="E5" t="s" s="100">
        <v>3</v>
      </c>
      <c r="F5" t="s" s="100">
        <v>4</v>
      </c>
      <c r="G5" t="s" s="100">
        <v>5</v>
      </c>
      <c r="H5" t="s" s="100">
        <v>6</v>
      </c>
      <c r="I5" t="s" s="100">
        <v>473</v>
      </c>
    </row>
    <row r="6">
      <c r="I6" s="7"/>
    </row>
    <row r="7">
      <c r="B7" t="s" s="5">
        <v>474</v>
      </c>
      <c r="C7" s="5"/>
      <c r="D7" s="5"/>
      <c r="E7" s="5"/>
      <c r="F7" s="5"/>
      <c r="G7" s="5"/>
      <c r="H7" s="5"/>
      <c r="I7" s="5"/>
    </row>
    <row r="8">
      <c r="B8" t="s">
        <v>475</v>
      </c>
      <c r="E8" s="101">
        <f>COUNTIFS('Deal Returns'!$B$6:$B$43,E$5)</f>
        <v>8</v>
      </c>
      <c r="F8" s="101">
        <f>COUNTIFS('Deal Returns'!$B$6:$B$43,F$5)</f>
        <v>10</v>
      </c>
      <c r="G8" s="101">
        <f>COUNTIFS('Deal Returns'!$B$6:$B$43,G$5)</f>
        <v>11</v>
      </c>
      <c r="H8" s="101">
        <f>COUNTIFS('Deal Returns'!$B$6:$B$43,H$5)</f>
        <v>9</v>
      </c>
      <c r="I8" s="102">
        <f>COUNT('Deal Returns'!$N$6:$N$43)</f>
        <v>38</v>
      </c>
    </row>
    <row r="9">
      <c r="B9" t="s">
        <v>9</v>
      </c>
      <c r="E9" s="103">
        <f>SUMIFS('Deal Returns'!$I$6:$I$43,'Deal Returns'!$B$6:$B$43,E$5)</f>
        <v>230</v>
      </c>
      <c r="F9" s="103">
        <f>SUMIFS('Deal Returns'!$I$6:$I$43,'Deal Returns'!$B$6:$B$43,F$5)</f>
        <v>395</v>
      </c>
      <c r="G9" s="103">
        <f>SUMIFS('Deal Returns'!$I$6:$I$43,'Deal Returns'!$B$6:$B$43,G$5)</f>
        <v>655</v>
      </c>
      <c r="H9" s="103">
        <f>SUMIFS('Deal Returns'!$I$6:$I$43,'Deal Returns'!$B$6:$B$43,H$5)</f>
        <v>940</v>
      </c>
      <c r="I9" s="104">
        <f>SUM('Deal Returns'!$I$6:$I$43)</f>
        <v>2220</v>
      </c>
    </row>
    <row r="10">
      <c r="B10" t="s">
        <v>145</v>
      </c>
      <c r="E10" s="103">
        <f>SUMIFS('Deal Returns'!$L$6:$L$43,'Deal Returns'!$B$6:$B$43,E$5)</f>
        <v>520</v>
      </c>
      <c r="F10" s="103">
        <f>SUMIFS('Deal Returns'!$L$6:$L$43,'Deal Returns'!$B$6:$B$43,F$5)</f>
        <v>945</v>
      </c>
      <c r="G10" s="103">
        <f>SUMIFS('Deal Returns'!$L$6:$L$43,'Deal Returns'!$B$6:$B$43,G$5)</f>
        <v>1970</v>
      </c>
      <c r="H10" s="103">
        <f>SUMIFS('Deal Returns'!$L$6:$L$43,'Deal Returns'!$B$6:$B$43,H$5)</f>
        <v>1720</v>
      </c>
      <c r="I10" s="104">
        <f>SUM('Deal Returns'!$L$6:$L$43)</f>
        <v>5155</v>
      </c>
    </row>
    <row r="11">
      <c r="B11" t="s">
        <v>476</v>
      </c>
      <c r="E11" s="103">
        <f>E10-E9</f>
        <v>290</v>
      </c>
      <c r="F11" s="103">
        <f>F10-F9</f>
        <v>550</v>
      </c>
      <c r="G11" s="103">
        <f>G10-G9</f>
        <v>1315</v>
      </c>
      <c r="H11" s="103">
        <f>H10-H9</f>
        <v>780</v>
      </c>
      <c r="I11" s="104">
        <f>I10-I9</f>
        <v>2935</v>
      </c>
    </row>
    <row r="12">
      <c r="B12" t="s" s="30">
        <v>477</v>
      </c>
      <c r="C12" s="30"/>
      <c r="D12" s="30"/>
      <c r="E12" s="105">
        <f>E10/E9</f>
        <v>2.260869565217391</v>
      </c>
      <c r="F12" s="105">
        <f>F10/F9</f>
        <v>2.392405063291139</v>
      </c>
      <c r="G12" s="105">
        <f>G10/G9</f>
        <v>3.0076335877862594</v>
      </c>
      <c r="H12" s="105">
        <f>H10/H9</f>
        <v>1.8297872340425532</v>
      </c>
      <c r="I12" s="105">
        <f>I10/I9</f>
        <v>2.3220720720720722</v>
      </c>
    </row>
    <row r="13">
      <c r="I13" s="7"/>
    </row>
    <row r="14">
      <c r="B14" t="s" s="5">
        <v>478</v>
      </c>
      <c r="C14" s="5"/>
      <c r="D14" s="5"/>
      <c r="E14" s="5"/>
      <c r="F14" s="5"/>
      <c r="G14" s="5"/>
      <c r="H14" s="5"/>
      <c r="I14" s="5"/>
    </row>
    <row r="15">
      <c r="B15" t="s">
        <v>479</v>
      </c>
      <c r="C15" s="106">
        <v>0</v>
      </c>
      <c r="D15" s="106">
        <v>1</v>
      </c>
      <c r="E15" s="101">
        <f>COUNTIFS('Deal Returns'!$B$6:$B$43,E$5,'Deal Returns'!$N$6:$N$43,"&gt;="&amp;$C15,'Deal Returns'!$N$6:$N$43,"&lt;"&amp;IF($D15="",9e99,$D15))</f>
        <v>1</v>
      </c>
      <c r="F15" s="101">
        <f>COUNTIFS('Deal Returns'!$B$6:$B$43,F$5,'Deal Returns'!$N$6:$N$43,"&gt;="&amp;$C15,'Deal Returns'!$N$6:$N$43,"&lt;"&amp;IF($D15="",9e99,$D15))</f>
        <v>2</v>
      </c>
      <c r="G15" s="101">
        <f>COUNTIFS('Deal Returns'!$B$6:$B$43,G$5,'Deal Returns'!$N$6:$N$43,"&gt;="&amp;$C15,'Deal Returns'!$N$6:$N$43,"&lt;"&amp;IF($D15="",9e99,$D15))</f>
        <v>2</v>
      </c>
      <c r="H15" s="101">
        <f>COUNTIFS('Deal Returns'!$B$6:$B$43,H$5,'Deal Returns'!$N$6:$N$43,"&gt;="&amp;$C15,'Deal Returns'!$N$6:$N$43,"&lt;"&amp;IF($D15="",9e99,$D15))</f>
        <v>1</v>
      </c>
      <c r="I15" s="102">
        <f>COUNTIFS('Deal Returns'!$N$6:$N$43,"&gt;="&amp;$C15,'Deal Returns'!$N$6:$N$43,"&lt;"&amp;IF($D15="",9e99,$D15))</f>
        <v>6</v>
      </c>
    </row>
    <row r="16">
      <c r="B16" t="s">
        <v>480</v>
      </c>
      <c r="C16" s="106">
        <v>1</v>
      </c>
      <c r="D16" s="106">
        <v>2</v>
      </c>
      <c r="E16" s="101">
        <f>COUNTIFS('Deal Returns'!$B$6:$B$43,E$5,'Deal Returns'!$N$6:$N$43,"&gt;="&amp;$C16,'Deal Returns'!$N$6:$N$43,"&lt;"&amp;IF($D16="",9e99,$D16))</f>
        <v>1</v>
      </c>
      <c r="F16" s="101">
        <f>COUNTIFS('Deal Returns'!$B$6:$B$43,F$5,'Deal Returns'!$N$6:$N$43,"&gt;="&amp;$C16,'Deal Returns'!$N$6:$N$43,"&lt;"&amp;IF($D16="",9e99,$D16))</f>
        <v>1</v>
      </c>
      <c r="G16" s="101">
        <f>COUNTIFS('Deal Returns'!$B$6:$B$43,G$5,'Deal Returns'!$N$6:$N$43,"&gt;="&amp;$C16,'Deal Returns'!$N$6:$N$43,"&lt;"&amp;IF($D16="",9e99,$D16))</f>
        <v>0</v>
      </c>
      <c r="H16" s="101">
        <f>COUNTIFS('Deal Returns'!$B$6:$B$43,H$5,'Deal Returns'!$N$6:$N$43,"&gt;="&amp;$C16,'Deal Returns'!$N$6:$N$43,"&lt;"&amp;IF($D16="",9e99,$D16))</f>
        <v>4</v>
      </c>
      <c r="I16" s="102">
        <f>COUNTIFS('Deal Returns'!$N$6:$N$43,"&gt;="&amp;$C16,'Deal Returns'!$N$6:$N$43,"&lt;"&amp;IF($D16="",9e99,$D16))</f>
        <v>6</v>
      </c>
    </row>
    <row r="17">
      <c r="B17" t="s">
        <v>481</v>
      </c>
      <c r="C17" s="106">
        <v>2</v>
      </c>
      <c r="D17" s="106">
        <v>3</v>
      </c>
      <c r="E17" s="101">
        <f>COUNTIFS('Deal Returns'!$B$6:$B$43,E$5,'Deal Returns'!$N$6:$N$43,"&gt;="&amp;$C17,'Deal Returns'!$N$6:$N$43,"&lt;"&amp;IF($D17="",9e99,$D17))</f>
        <v>6</v>
      </c>
      <c r="F17" s="101">
        <f>COUNTIFS('Deal Returns'!$B$6:$B$43,F$5,'Deal Returns'!$N$6:$N$43,"&gt;="&amp;$C17,'Deal Returns'!$N$6:$N$43,"&lt;"&amp;IF($D17="",9e99,$D17))</f>
        <v>4</v>
      </c>
      <c r="G17" s="101">
        <f>COUNTIFS('Deal Returns'!$B$6:$B$43,G$5,'Deal Returns'!$N$6:$N$43,"&gt;="&amp;$C17,'Deal Returns'!$N$6:$N$43,"&lt;"&amp;IF($D17="",9e99,$D17))</f>
        <v>5</v>
      </c>
      <c r="H17" s="101">
        <f>COUNTIFS('Deal Returns'!$B$6:$B$43,H$5,'Deal Returns'!$N$6:$N$43,"&gt;="&amp;$C17,'Deal Returns'!$N$6:$N$43,"&lt;"&amp;IF($D17="",9e99,$D17))</f>
        <v>4</v>
      </c>
      <c r="I17" s="102">
        <f>COUNTIFS('Deal Returns'!$N$6:$N$43,"&gt;="&amp;$C17,'Deal Returns'!$N$6:$N$43,"&lt;"&amp;IF($D17="",9e99,$D17))</f>
        <v>19</v>
      </c>
    </row>
    <row r="18">
      <c r="B18" t="s">
        <v>482</v>
      </c>
      <c r="C18" s="106">
        <v>3</v>
      </c>
      <c r="D18" s="106">
        <v>5</v>
      </c>
      <c r="E18" s="101">
        <f>COUNTIFS('Deal Returns'!$B$6:$B$43,E$5,'Deal Returns'!$N$6:$N$43,"&gt;="&amp;$C18,'Deal Returns'!$N$6:$N$43,"&lt;"&amp;IF($D18="",9e99,$D18))</f>
        <v>0</v>
      </c>
      <c r="F18" s="101">
        <f>COUNTIFS('Deal Returns'!$B$6:$B$43,F$5,'Deal Returns'!$N$6:$N$43,"&gt;="&amp;$C18,'Deal Returns'!$N$6:$N$43,"&lt;"&amp;IF($D18="",9e99,$D18))</f>
        <v>3</v>
      </c>
      <c r="G18" s="101">
        <f>COUNTIFS('Deal Returns'!$B$6:$B$43,G$5,'Deal Returns'!$N$6:$N$43,"&gt;="&amp;$C18,'Deal Returns'!$N$6:$N$43,"&lt;"&amp;IF($D18="",9e99,$D18))</f>
        <v>3</v>
      </c>
      <c r="H18" s="101">
        <f>COUNTIFS('Deal Returns'!$B$6:$B$43,H$5,'Deal Returns'!$N$6:$N$43,"&gt;="&amp;$C18,'Deal Returns'!$N$6:$N$43,"&lt;"&amp;IF($D18="",9e99,$D18))</f>
        <v>0</v>
      </c>
      <c r="I18" s="102">
        <f>COUNTIFS('Deal Returns'!$N$6:$N$43,"&gt;="&amp;$C18,'Deal Returns'!$N$6:$N$43,"&lt;"&amp;IF($D18="",9e99,$D18))</f>
        <v>6</v>
      </c>
    </row>
    <row r="19">
      <c r="B19" t="s">
        <v>483</v>
      </c>
      <c r="C19" s="106">
        <v>5</v>
      </c>
      <c r="D19" s="106"/>
      <c r="E19" s="101">
        <f>COUNTIFS('Deal Returns'!$B$6:$B$43,E$5,'Deal Returns'!$N$6:$N$43,"&gt;="&amp;$C19,'Deal Returns'!$N$6:$N$43,"&lt;"&amp;IF($D19="",9e99,$D19))</f>
        <v>0</v>
      </c>
      <c r="F19" s="101">
        <f>COUNTIFS('Deal Returns'!$B$6:$B$43,F$5,'Deal Returns'!$N$6:$N$43,"&gt;="&amp;$C19,'Deal Returns'!$N$6:$N$43,"&lt;"&amp;IF($D19="",9e99,$D19))</f>
        <v>0</v>
      </c>
      <c r="G19" s="101">
        <f>COUNTIFS('Deal Returns'!$B$6:$B$43,G$5,'Deal Returns'!$N$6:$N$43,"&gt;="&amp;$C19,'Deal Returns'!$N$6:$N$43,"&lt;"&amp;IF($D19="",9e99,$D19))</f>
        <v>1</v>
      </c>
      <c r="H19" s="101">
        <f>COUNTIFS('Deal Returns'!$B$6:$B$43,H$5,'Deal Returns'!$N$6:$N$43,"&gt;="&amp;$C19,'Deal Returns'!$N$6:$N$43,"&lt;"&amp;IF($D19="",9e99,$D19))</f>
        <v>0</v>
      </c>
      <c r="I19" s="102">
        <f>COUNTIFS('Deal Returns'!$N$6:$N$43,"&gt;="&amp;$C19,'Deal Returns'!$N$6:$N$43,"&lt;"&amp;IF($D19="",9e99,$D19))</f>
        <v>1</v>
      </c>
    </row>
    <row r="20">
      <c r="B20" t="s" s="30">
        <v>484</v>
      </c>
      <c r="C20" s="107"/>
      <c r="D20" s="107"/>
      <c r="E20" s="108">
        <f>SUM(E15:E19)</f>
        <v>8</v>
      </c>
      <c r="F20" s="108">
        <f>SUM(F15:F19)</f>
        <v>10</v>
      </c>
      <c r="G20" s="108">
        <f>SUM(G15:G19)</f>
        <v>11</v>
      </c>
      <c r="H20" s="108">
        <f>SUM(H15:H19)</f>
        <v>9</v>
      </c>
      <c r="I20" s="108">
        <f>SUM(I15:I19)</f>
        <v>38</v>
      </c>
    </row>
    <row r="21">
      <c r="C21" s="109"/>
      <c r="D21" s="109"/>
      <c r="I21" s="7"/>
    </row>
    <row r="22">
      <c r="B22" t="s" s="5">
        <v>485</v>
      </c>
      <c r="C22" s="110"/>
      <c r="D22" s="110"/>
      <c r="E22" s="5"/>
      <c r="F22" s="5"/>
      <c r="G22" s="5"/>
      <c r="H22" s="5"/>
      <c r="I22" s="5"/>
    </row>
    <row r="23">
      <c r="B23" t="s">
        <v>479</v>
      </c>
      <c r="C23" s="109">
        <f>C15</f>
        <v>0</v>
      </c>
      <c r="D23" s="109">
        <f>D15</f>
        <v>1</v>
      </c>
      <c r="E23" s="103">
        <f>SUMIFS('Deal Returns'!$I$6:$I$43,'Deal Returns'!$B$6:$B$43,E$5,'Deal Returns'!$N$6:$N$43,"&gt;="&amp;$C23,'Deal Returns'!$N$6:$N$43,"&lt;"&amp;IF($D23="",9e99,$D23))</f>
        <v>22</v>
      </c>
      <c r="F23" s="103">
        <f>SUMIFS('Deal Returns'!$I$6:$I$43,'Deal Returns'!$B$6:$B$43,F$5,'Deal Returns'!$N$6:$N$43,"&gt;="&amp;$C23,'Deal Returns'!$N$6:$N$43,"&lt;"&amp;IF($D23="",9e99,$D23))</f>
        <v>71</v>
      </c>
      <c r="G23" s="103">
        <f>SUMIFS('Deal Returns'!$I$6:$I$43,'Deal Returns'!$B$6:$B$43,G$5,'Deal Returns'!$N$6:$N$43,"&gt;="&amp;$C23,'Deal Returns'!$N$6:$N$43,"&lt;"&amp;IF($D23="",9e99,$D23))</f>
        <v>85</v>
      </c>
      <c r="H23" s="103">
        <f>SUMIFS('Deal Returns'!$I$6:$I$43,'Deal Returns'!$B$6:$B$43,H$5,'Deal Returns'!$N$6:$N$43,"&gt;="&amp;$C23,'Deal Returns'!$N$6:$N$43,"&lt;"&amp;IF($D23="",9e99,$D23))</f>
        <v>100</v>
      </c>
      <c r="I23" s="104">
        <f>SUMIFS('Deal Returns'!$I$6:$I$43,'Deal Returns'!$N$6:$N$43,"&gt;="&amp;$C23,'Deal Returns'!$N$6:$N$43,"&lt;"&amp;IF($D23="",9e99,$D23))</f>
        <v>278</v>
      </c>
    </row>
    <row r="24">
      <c r="B24" t="s">
        <v>480</v>
      </c>
      <c r="C24" s="109">
        <f>C16</f>
        <v>1</v>
      </c>
      <c r="D24" s="109">
        <f>D16</f>
        <v>2</v>
      </c>
      <c r="E24" s="103">
        <f>SUMIFS('Deal Returns'!$I$6:$I$43,'Deal Returns'!$B$6:$B$43,E$5,'Deal Returns'!$N$6:$N$43,"&gt;="&amp;$C24,'Deal Returns'!$N$6:$N$43,"&lt;"&amp;IF($D24="",9e99,$D24))</f>
        <v>28</v>
      </c>
      <c r="F24" s="103">
        <f>SUMIFS('Deal Returns'!$I$6:$I$43,'Deal Returns'!$B$6:$B$43,F$5,'Deal Returns'!$N$6:$N$43,"&gt;="&amp;$C24,'Deal Returns'!$N$6:$N$43,"&lt;"&amp;IF($D24="",9e99,$D24))</f>
        <v>32</v>
      </c>
      <c r="G24" s="103">
        <f>SUMIFS('Deal Returns'!$I$6:$I$43,'Deal Returns'!$B$6:$B$43,G$5,'Deal Returns'!$N$6:$N$43,"&gt;="&amp;$C24,'Deal Returns'!$N$6:$N$43,"&lt;"&amp;IF($D24="",9e99,$D24))</f>
        <v>0</v>
      </c>
      <c r="H24" s="103">
        <f>SUMIFS('Deal Returns'!$I$6:$I$43,'Deal Returns'!$B$6:$B$43,H$5,'Deal Returns'!$N$6:$N$43,"&gt;="&amp;$C24,'Deal Returns'!$N$6:$N$43,"&lt;"&amp;IF($D24="",9e99,$D24))</f>
        <v>400</v>
      </c>
      <c r="I24" s="104">
        <f>SUMIFS('Deal Returns'!$I$6:$I$43,'Deal Returns'!$N$6:$N$43,"&gt;="&amp;$C24,'Deal Returns'!$N$6:$N$43,"&lt;"&amp;IF($D24="",9e99,$D24))</f>
        <v>460</v>
      </c>
    </row>
    <row r="25">
      <c r="B25" t="s">
        <v>481</v>
      </c>
      <c r="C25" s="109">
        <f>C17</f>
        <v>2</v>
      </c>
      <c r="D25" s="109">
        <f>D17</f>
        <v>3</v>
      </c>
      <c r="E25" s="103">
        <f>SUMIFS('Deal Returns'!$I$6:$I$43,'Deal Returns'!$B$6:$B$43,E$5,'Deal Returns'!$N$6:$N$43,"&gt;="&amp;$C25,'Deal Returns'!$N$6:$N$43,"&lt;"&amp;IF($D25="",9e99,$D25))</f>
        <v>180</v>
      </c>
      <c r="F25" s="103">
        <f>SUMIFS('Deal Returns'!$I$6:$I$43,'Deal Returns'!$B$6:$B$43,F$5,'Deal Returns'!$N$6:$N$43,"&gt;="&amp;$C25,'Deal Returns'!$N$6:$N$43,"&lt;"&amp;IF($D25="",9e99,$D25))</f>
        <v>165</v>
      </c>
      <c r="G25" s="103">
        <f>SUMIFS('Deal Returns'!$I$6:$I$43,'Deal Returns'!$B$6:$B$43,G$5,'Deal Returns'!$N$6:$N$43,"&gt;="&amp;$C25,'Deal Returns'!$N$6:$N$43,"&lt;"&amp;IF($D25="",9e99,$D25))</f>
        <v>295</v>
      </c>
      <c r="H25" s="103">
        <f>SUMIFS('Deal Returns'!$I$6:$I$43,'Deal Returns'!$B$6:$B$43,H$5,'Deal Returns'!$N$6:$N$43,"&gt;="&amp;$C25,'Deal Returns'!$N$6:$N$43,"&lt;"&amp;IF($D25="",9e99,$D25))</f>
        <v>440</v>
      </c>
      <c r="I25" s="104">
        <f>SUMIFS('Deal Returns'!$I$6:$I$43,'Deal Returns'!$N$6:$N$43,"&gt;="&amp;$C25,'Deal Returns'!$N$6:$N$43,"&lt;"&amp;IF($D25="",9e99,$D25))</f>
        <v>1080</v>
      </c>
    </row>
    <row r="26">
      <c r="B26" t="s">
        <v>482</v>
      </c>
      <c r="C26" s="109">
        <f>C18</f>
        <v>3</v>
      </c>
      <c r="D26" s="109">
        <f>D18</f>
        <v>5</v>
      </c>
      <c r="E26" s="103">
        <f>SUMIFS('Deal Returns'!$I$6:$I$43,'Deal Returns'!$B$6:$B$43,E$5,'Deal Returns'!$N$6:$N$43,"&gt;="&amp;$C26,'Deal Returns'!$N$6:$N$43,"&lt;"&amp;IF($D26="",9e99,$D26))</f>
        <v>0</v>
      </c>
      <c r="F26" s="103">
        <f>SUMIFS('Deal Returns'!$I$6:$I$43,'Deal Returns'!$B$6:$B$43,F$5,'Deal Returns'!$N$6:$N$43,"&gt;="&amp;$C26,'Deal Returns'!$N$6:$N$43,"&lt;"&amp;IF($D26="",9e99,$D26))</f>
        <v>127</v>
      </c>
      <c r="G26" s="103">
        <f>SUMIFS('Deal Returns'!$I$6:$I$43,'Deal Returns'!$B$6:$B$43,G$5,'Deal Returns'!$N$6:$N$43,"&gt;="&amp;$C26,'Deal Returns'!$N$6:$N$43,"&lt;"&amp;IF($D26="",9e99,$D26))</f>
        <v>215</v>
      </c>
      <c r="H26" s="103">
        <f>SUMIFS('Deal Returns'!$I$6:$I$43,'Deal Returns'!$B$6:$B$43,H$5,'Deal Returns'!$N$6:$N$43,"&gt;="&amp;$C26,'Deal Returns'!$N$6:$N$43,"&lt;"&amp;IF($D26="",9e99,$D26))</f>
        <v>0</v>
      </c>
      <c r="I26" s="104">
        <f>SUMIFS('Deal Returns'!$I$6:$I$43,'Deal Returns'!$N$6:$N$43,"&gt;="&amp;$C26,'Deal Returns'!$N$6:$N$43,"&lt;"&amp;IF($D26="",9e99,$D26))</f>
        <v>342</v>
      </c>
    </row>
    <row r="27">
      <c r="B27" t="s">
        <v>483</v>
      </c>
      <c r="C27" s="109">
        <f>C19</f>
        <v>5</v>
      </c>
      <c r="D27" s="109"/>
      <c r="E27" s="103">
        <f>SUMIFS('Deal Returns'!$I$6:$I$43,'Deal Returns'!$B$6:$B$43,E$5,'Deal Returns'!$N$6:$N$43,"&gt;="&amp;$C27,'Deal Returns'!$N$6:$N$43,"&lt;"&amp;IF($D27="",9e99,$D27))</f>
        <v>0</v>
      </c>
      <c r="F27" s="103">
        <f>SUMIFS('Deal Returns'!$I$6:$I$43,'Deal Returns'!$B$6:$B$43,F$5,'Deal Returns'!$N$6:$N$43,"&gt;="&amp;$C27,'Deal Returns'!$N$6:$N$43,"&lt;"&amp;IF($D27="",9e99,$D27))</f>
        <v>0</v>
      </c>
      <c r="G27" s="103">
        <f>SUMIFS('Deal Returns'!$I$6:$I$43,'Deal Returns'!$B$6:$B$43,G$5,'Deal Returns'!$N$6:$N$43,"&gt;="&amp;$C27,'Deal Returns'!$N$6:$N$43,"&lt;"&amp;IF($D27="",9e99,$D27))</f>
        <v>60</v>
      </c>
      <c r="H27" s="103">
        <f>SUMIFS('Deal Returns'!$I$6:$I$43,'Deal Returns'!$B$6:$B$43,H$5,'Deal Returns'!$N$6:$N$43,"&gt;="&amp;$C27,'Deal Returns'!$N$6:$N$43,"&lt;"&amp;IF($D27="",9e99,$D27))</f>
        <v>0</v>
      </c>
      <c r="I27" s="104">
        <f>SUMIFS('Deal Returns'!$I$6:$I$43,'Deal Returns'!$N$6:$N$43,"&gt;="&amp;$C27,'Deal Returns'!$N$6:$N$43,"&lt;"&amp;IF($D27="",9e99,$D27))</f>
        <v>60</v>
      </c>
    </row>
    <row r="28">
      <c r="B28" t="s" s="30">
        <v>486</v>
      </c>
      <c r="C28" s="107"/>
      <c r="D28" s="107"/>
      <c r="E28" s="111">
        <f>SUM(E23:E27)</f>
        <v>230</v>
      </c>
      <c r="F28" s="111">
        <f>SUM(F23:F27)</f>
        <v>395</v>
      </c>
      <c r="G28" s="111">
        <f>SUM(G23:G27)</f>
        <v>655</v>
      </c>
      <c r="H28" s="111">
        <f>SUM(H23:H27)</f>
        <v>940</v>
      </c>
      <c r="I28" s="111">
        <f>SUM(I23:I27)</f>
        <v>2220</v>
      </c>
    </row>
    <row r="29">
      <c r="C29" s="109"/>
      <c r="D29" s="109"/>
      <c r="I29" s="7"/>
    </row>
    <row r="30">
      <c r="B30" t="s" s="5">
        <v>487</v>
      </c>
      <c r="C30" s="110"/>
      <c r="D30" s="110"/>
      <c r="E30" s="5"/>
      <c r="F30" s="5"/>
      <c r="G30" s="5"/>
      <c r="H30" s="5"/>
      <c r="I30" s="5"/>
    </row>
    <row r="31">
      <c r="B31" t="s">
        <v>479</v>
      </c>
      <c r="C31" s="109">
        <f>C15</f>
        <v>0</v>
      </c>
      <c r="D31" s="109">
        <f>D15</f>
        <v>1</v>
      </c>
      <c r="E31" s="112">
        <f>E23/E$28</f>
        <v>0.09565217391304348</v>
      </c>
      <c r="F31" s="112">
        <f>F23/F$28</f>
        <v>0.17974683544303796</v>
      </c>
      <c r="G31" s="112">
        <f>G23/G$28</f>
        <v>0.1297709923664122</v>
      </c>
      <c r="H31" s="112">
        <f>H23/H$28</f>
        <v>0.10638297872340426</v>
      </c>
      <c r="I31" s="113">
        <f>I23/I$28</f>
        <v>0.12522522522522522</v>
      </c>
    </row>
    <row r="32">
      <c r="B32" t="s">
        <v>480</v>
      </c>
      <c r="C32" s="109">
        <f>C16</f>
        <v>1</v>
      </c>
      <c r="D32" s="109">
        <f>D16</f>
        <v>2</v>
      </c>
      <c r="E32" s="112">
        <f>E24/E$28</f>
        <v>0.12173913043478261</v>
      </c>
      <c r="F32" s="112">
        <f>F24/F$28</f>
        <v>0.0810126582278481</v>
      </c>
      <c r="G32" s="112">
        <f>G24/G$28</f>
        <v>0</v>
      </c>
      <c r="H32" s="112">
        <f>H24/H$28</f>
        <v>0.425531914893617</v>
      </c>
      <c r="I32" s="113">
        <f>I24/I$28</f>
        <v>0.2072072072072072</v>
      </c>
    </row>
    <row r="33">
      <c r="B33" t="s">
        <v>481</v>
      </c>
      <c r="C33" s="109">
        <f>C17</f>
        <v>2</v>
      </c>
      <c r="D33" s="109">
        <f>D17</f>
        <v>3</v>
      </c>
      <c r="E33" s="112">
        <f>E25/E$28</f>
        <v>0.782608695652174</v>
      </c>
      <c r="F33" s="112">
        <f>F25/F$28</f>
        <v>0.4177215189873418</v>
      </c>
      <c r="G33" s="112">
        <f>G25/G$28</f>
        <v>0.45038167938931295</v>
      </c>
      <c r="H33" s="112">
        <f>H25/H$28</f>
        <v>0.46808510638297873</v>
      </c>
      <c r="I33" s="113">
        <f>I25/I$28</f>
        <v>0.4864864864864865</v>
      </c>
    </row>
    <row r="34">
      <c r="B34" t="s">
        <v>482</v>
      </c>
      <c r="C34" s="109">
        <f>C18</f>
        <v>3</v>
      </c>
      <c r="D34" s="109">
        <f>D18</f>
        <v>5</v>
      </c>
      <c r="E34" s="112">
        <f>E26/E$28</f>
        <v>0</v>
      </c>
      <c r="F34" s="112">
        <f>F26/F$28</f>
        <v>0.32151898734177214</v>
      </c>
      <c r="G34" s="112">
        <f>G26/G$28</f>
        <v>0.3282442748091603</v>
      </c>
      <c r="H34" s="112">
        <f>H26/H$28</f>
        <v>0</v>
      </c>
      <c r="I34" s="113">
        <f>I26/I$28</f>
        <v>0.15405405405405406</v>
      </c>
    </row>
    <row r="35">
      <c r="B35" t="s">
        <v>483</v>
      </c>
      <c r="C35" s="109">
        <f>C19</f>
        <v>5</v>
      </c>
      <c r="D35" s="109"/>
      <c r="E35" s="112">
        <f>E27/E$28</f>
        <v>0</v>
      </c>
      <c r="F35" s="112">
        <f>F27/F$28</f>
        <v>0</v>
      </c>
      <c r="G35" s="112">
        <f>G27/G$28</f>
        <v>0.0916030534351145</v>
      </c>
      <c r="H35" s="112">
        <f>H27/H$28</f>
        <v>0</v>
      </c>
      <c r="I35" s="113">
        <f>I27/I$28</f>
        <v>0.02702702702702703</v>
      </c>
    </row>
    <row r="36">
      <c r="B36" t="s" s="30">
        <v>473</v>
      </c>
      <c r="C36" s="30"/>
      <c r="D36" s="30"/>
      <c r="E36" s="114">
        <f>SUM(E31:E35)</f>
        <v>1</v>
      </c>
      <c r="F36" s="114">
        <f>SUM(F31:F35)</f>
        <v>1</v>
      </c>
      <c r="G36" s="114">
        <f>SUM(G31:G35)</f>
        <v>1</v>
      </c>
      <c r="H36" s="114">
        <f>SUM(H31:H35)</f>
        <v>1</v>
      </c>
      <c r="I36" s="114">
        <f>SUM(I31:I35)</f>
        <v>1</v>
      </c>
    </row>
    <row r="37">
      <c r="I37" s="7"/>
    </row>
    <row r="38">
      <c r="B38" t="s" s="5">
        <v>488</v>
      </c>
      <c r="C38" s="5"/>
      <c r="D38" s="5"/>
      <c r="E38" s="5"/>
      <c r="F38" s="5"/>
      <c r="G38" s="5"/>
      <c r="H38" s="5"/>
      <c r="I38" s="5"/>
    </row>
    <row r="39">
      <c r="B39" t="s">
        <v>489</v>
      </c>
      <c r="E39" s="115">
        <f>MEDIAN('Deal Returns'!$N$6:$N$13)</f>
        <v>2.44</v>
      </c>
      <c r="F39" s="115">
        <f>MEDIAN('Deal Returns'!$N$14:$N$23)</f>
        <v>2.5</v>
      </c>
      <c r="G39" s="115">
        <f>MEDIAN('Deal Returns'!$N$24:$N$34)</f>
        <v>2.5454545454545454</v>
      </c>
      <c r="H39" s="115">
        <f>MEDIAN('Deal Returns'!$N$35:$N$43)</f>
        <v>1.8421052631578947</v>
      </c>
      <c r="I39" s="116">
        <f>MEDIAN('Deal Returns'!$N$6:$N$43)</f>
        <v>2.4305555555555554</v>
      </c>
    </row>
    <row r="40">
      <c r="B40" t="s">
        <v>490</v>
      </c>
      <c r="E40" s="115">
        <f>SUMPRODUCT('Deal Returns'!$I$6:$I$13,'Deal Returns'!$N$6:$N$13)/SUM('Deal Returns'!$I$6:$I$13)</f>
        <v>2.260869565217391</v>
      </c>
      <c r="F40" s="115">
        <f>SUMPRODUCT('Deal Returns'!$I$14:$I$23,'Deal Returns'!$N$14:$N$23)/SUM('Deal Returns'!$I$14:$I$23)</f>
        <v>2.392405063291139</v>
      </c>
      <c r="G40" s="115">
        <f>SUMPRODUCT('Deal Returns'!$I$24:$I$34,'Deal Returns'!$N$24:$N$34)/SUM('Deal Returns'!$I$24:$I$34)</f>
        <v>3.0076335877862594</v>
      </c>
      <c r="H40" s="115">
        <f>SUMPRODUCT('Deal Returns'!$I$35:$I$43,'Deal Returns'!$N$35:$N$43)/SUM('Deal Returns'!$I$35:$I$43)</f>
        <v>1.8297872340425532</v>
      </c>
      <c r="I40" s="116">
        <f>SUMPRODUCT('Deal Returns'!$I$6:$I$43,'Deal Returns'!$N$6:$N$43)/SUM('Deal Returns'!$I$6:$I$43)</f>
        <v>2.3220720720720722</v>
      </c>
    </row>
    <row r="41">
      <c r="B41" t="s">
        <v>491</v>
      </c>
      <c r="E41" s="115">
        <f>AVERAGE('Deal Returns'!$N$6:$N$13)</f>
        <v>2.1931777597402595</v>
      </c>
      <c r="F41" s="115">
        <f>AVERAGE('Deal Returns'!$N$14:$N$23)</f>
        <v>2.299563492063492</v>
      </c>
      <c r="G41" s="115">
        <f>AVERAGE('Deal Returns'!$N$24:$N$34)</f>
        <v>2.8436232958960233</v>
      </c>
      <c r="H41" s="115">
        <f>AVERAGE('Deal Returns'!$N$35:$N$43)</f>
        <v>1.7973129658215135</v>
      </c>
      <c r="I41" s="116">
        <f>AVERAGE('Deal Returns'!$N$6:$N$43)</f>
        <v>2.3157034196264967</v>
      </c>
    </row>
    <row r="42">
      <c r="B42" t="s">
        <v>492</v>
      </c>
      <c r="E42" s="115">
        <f>_xlfn.STDEV.S('Deal Returns'!$N$6:$N$13)</f>
        <v>0.8070938223353704</v>
      </c>
      <c r="F42" s="115">
        <f>_xlfn.STDEV.S('Deal Returns'!$N$14:$N$23)</f>
        <v>1.2358671735376425</v>
      </c>
      <c r="G42" s="115">
        <f>_xlfn.STDEV.S('Deal Returns'!$N$24:$N$34)</f>
        <v>2.4107383954571655</v>
      </c>
      <c r="H42" s="115">
        <f>_xlfn.STDEV.S('Deal Returns'!$N$35:$N$43)</f>
        <v>0.5929145717316889</v>
      </c>
      <c r="I42" s="116">
        <f>_xlfn.STDEV.S('Deal Returns'!$N$6:$N$43)</f>
        <v>1.5142748359768865</v>
      </c>
    </row>
    <row r="43">
      <c r="B43" t="s">
        <v>493</v>
      </c>
      <c r="E43" s="115">
        <f>MIN('Deal Returns'!$N$6:$N$13)</f>
        <v>0.36363636363636365</v>
      </c>
      <c r="F43" s="115">
        <f>MIN('Deal Returns'!$N$14:$N$23)</f>
        <v>0.34285714285714286</v>
      </c>
      <c r="G43" s="115">
        <f>MIN('Deal Returns'!$N$24:$N$34)</f>
        <v>0.175</v>
      </c>
      <c r="H43" s="115">
        <f>MIN('Deal Returns'!$N$35:$N$43)</f>
        <v>0.6</v>
      </c>
      <c r="I43" s="116">
        <f>MIN('Deal Returns'!$N$6:$N$43)</f>
        <v>0.175</v>
      </c>
    </row>
    <row r="44">
      <c r="B44" t="s">
        <v>494</v>
      </c>
      <c r="E44" s="115">
        <f>MAX('Deal Returns'!$N$6:$N$13)</f>
        <v>2.857142857142857</v>
      </c>
      <c r="F44" s="115">
        <f>MAX('Deal Returns'!$N$14:$N$23)</f>
        <v>4</v>
      </c>
      <c r="G44" s="115">
        <f>MAX('Deal Returns'!$N$24:$N$34)</f>
        <v>9.416666666666666</v>
      </c>
      <c r="H44" s="115">
        <f>MAX('Deal Returns'!$N$35:$N$43)</f>
        <v>2.4166666666666665</v>
      </c>
      <c r="I44" s="116">
        <f>MAX('Deal Returns'!$N$6:$N$43)</f>
        <v>9.416666666666666</v>
      </c>
    </row>
    <row r="45">
      <c r="I45" s="7"/>
    </row>
    <row r="46">
      <c r="B46" t="s" s="5">
        <v>495</v>
      </c>
      <c r="C46" s="5"/>
      <c r="D46" s="5"/>
      <c r="E46" s="5"/>
      <c r="F46" s="5"/>
      <c r="G46" s="5"/>
      <c r="H46" s="5"/>
      <c r="I46" s="5"/>
    </row>
    <row r="47">
      <c r="B47" t="s">
        <v>496</v>
      </c>
      <c r="C47" s="106">
        <v>1</v>
      </c>
      <c r="I47" s="7"/>
    </row>
    <row r="48">
      <c r="B48" t="s">
        <v>497</v>
      </c>
      <c r="E48" s="101">
        <f>COUNTIFS('Deal Returns'!$B$6:$B$43,E$5,'Deal Returns'!$N$6:$N$43,"&lt;"&amp;$C$47)</f>
        <v>1</v>
      </c>
      <c r="F48" s="101">
        <f>COUNTIFS('Deal Returns'!$B$6:$B$43,F$5,'Deal Returns'!$N$6:$N$43,"&lt;"&amp;$C$47)</f>
        <v>2</v>
      </c>
      <c r="G48" s="101">
        <f>COUNTIFS('Deal Returns'!$B$6:$B$43,G$5,'Deal Returns'!$N$6:$N$43,"&lt;"&amp;$C$47)</f>
        <v>2</v>
      </c>
      <c r="H48" s="101">
        <f>COUNTIFS('Deal Returns'!$B$6:$B$43,H$5,'Deal Returns'!$N$6:$N$43,"&lt;"&amp;$C$47)</f>
        <v>1</v>
      </c>
      <c r="I48" s="102">
        <f>COUNTIFS('Deal Returns'!$N$6:$N$43,"&lt;"&amp;$C$47)</f>
        <v>6</v>
      </c>
    </row>
    <row r="49">
      <c r="B49" t="s">
        <v>498</v>
      </c>
      <c r="E49" s="103">
        <f>SUMIFS('Deal Returns'!$I$6:$I$43,'Deal Returns'!$B$6:$B$43,E$5,'Deal Returns'!$N$6:$N$43,"&lt;"&amp;$C$47)</f>
        <v>22</v>
      </c>
      <c r="F49" s="103">
        <f>SUMIFS('Deal Returns'!$I$6:$I$43,'Deal Returns'!$B$6:$B$43,F$5,'Deal Returns'!$N$6:$N$43,"&lt;"&amp;$C$47)</f>
        <v>71</v>
      </c>
      <c r="G49" s="103">
        <f>SUMIFS('Deal Returns'!$I$6:$I$43,'Deal Returns'!$B$6:$B$43,G$5,'Deal Returns'!$N$6:$N$43,"&lt;"&amp;$C$47)</f>
        <v>85</v>
      </c>
      <c r="H49" s="103">
        <f>SUMIFS('Deal Returns'!$I$6:$I$43,'Deal Returns'!$B$6:$B$43,H$5,'Deal Returns'!$N$6:$N$43,"&lt;"&amp;$C$47)</f>
        <v>100</v>
      </c>
      <c r="I49" s="104">
        <f>SUMIFS('Deal Returns'!$I$6:$I$43,'Deal Returns'!$N$6:$N$43,"&lt;"&amp;$C$47)</f>
        <v>278</v>
      </c>
    </row>
    <row r="50">
      <c r="B50" t="s">
        <v>499</v>
      </c>
      <c r="E50" s="103">
        <f>SUMIFS('Deal Returns'!$L$6:$L$43,'Deal Returns'!$B$6:$B$43,E$5,'Deal Returns'!$N$6:$N$43,"&lt;"&amp;$C$47)</f>
        <v>8</v>
      </c>
      <c r="F50" s="103">
        <f>SUMIFS('Deal Returns'!$L$6:$L$43,'Deal Returns'!$B$6:$B$43,F$5,'Deal Returns'!$N$6:$N$43,"&lt;"&amp;$C$47)</f>
        <v>32</v>
      </c>
      <c r="G50" s="103">
        <f>SUMIFS('Deal Returns'!$L$6:$L$43,'Deal Returns'!$B$6:$B$43,G$5,'Deal Returns'!$N$6:$N$43,"&lt;"&amp;$C$47)</f>
        <v>20</v>
      </c>
      <c r="H50" s="103">
        <f>SUMIFS('Deal Returns'!$L$6:$L$43,'Deal Returns'!$B$6:$B$43,H$5,'Deal Returns'!$N$6:$N$43,"&lt;"&amp;$C$47)</f>
        <v>60</v>
      </c>
      <c r="I50" s="104">
        <f>SUMIFS('Deal Returns'!$L$6:$L$43,'Deal Returns'!$N$6:$N$43,"&lt;"&amp;$C$47)</f>
        <v>120</v>
      </c>
    </row>
    <row r="51">
      <c r="B51" t="s">
        <v>500</v>
      </c>
      <c r="E51" s="103">
        <f>E49-E50</f>
        <v>14</v>
      </c>
      <c r="F51" s="103">
        <f>F49-F50</f>
        <v>39</v>
      </c>
      <c r="G51" s="103">
        <f>G49-G50</f>
        <v>65</v>
      </c>
      <c r="H51" s="103">
        <f>H49-H50</f>
        <v>40</v>
      </c>
      <c r="I51" s="104">
        <f>I49-I50</f>
        <v>158</v>
      </c>
    </row>
    <row r="52">
      <c r="B52" t="s" s="30">
        <v>501</v>
      </c>
      <c r="C52" s="30"/>
      <c r="D52" s="30"/>
      <c r="E52" s="114">
        <f>E49/E9</f>
        <v>0.09565217391304348</v>
      </c>
      <c r="F52" s="114">
        <f>F49/F9</f>
        <v>0.17974683544303796</v>
      </c>
      <c r="G52" s="114">
        <f>G49/G9</f>
        <v>0.1297709923664122</v>
      </c>
      <c r="H52" s="114">
        <f>H49/H9</f>
        <v>0.10638297872340426</v>
      </c>
      <c r="I52" s="114">
        <f>I49/I9</f>
        <v>0.12522522522522522</v>
      </c>
    </row>
    <row r="53">
      <c r="B53" t="s" s="7">
        <v>502</v>
      </c>
      <c r="C53" s="7"/>
      <c r="D53" s="7"/>
      <c r="E53" s="113">
        <f>E51/E9</f>
        <v>0.06086956521739131</v>
      </c>
      <c r="F53" s="113">
        <f>F51/F9</f>
        <v>0.09873417721518987</v>
      </c>
      <c r="G53" s="113">
        <f>G51/G9</f>
        <v>0.09923664122137404</v>
      </c>
      <c r="H53" s="113">
        <f>H51/H9</f>
        <v>0.0425531914893617</v>
      </c>
      <c r="I53" s="113">
        <f>I51/I9</f>
        <v>0.07117117117117117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34"/>
  <sheetViews>
    <sheetView showGridLines="0" workbookViewId="0">
      <selection activeCell="A1" sqref="A1"/>
    </sheetView>
  </sheetViews>
  <cols>
    <col min="1" max="1" width="2" customWidth="1"/>
    <col min="2" max="2" width="30" customWidth="1"/>
    <col min="3" max="16" width="12" customWidth="1"/>
  </cols>
  <sheetData>
    <row r="2">
      <c r="B2" t="s" s="1">
        <v>503</v>
      </c>
    </row>
    <row r="3" ht="28" customHeight="1">
      <c r="B3" t="s" s="117">
        <v>504</v>
      </c>
      <c r="C3" s="118"/>
      <c r="D3" s="118"/>
      <c r="E3" s="118"/>
      <c r="F3" s="118"/>
      <c r="G3" s="118"/>
      <c r="H3" s="118"/>
      <c r="I3" s="118"/>
      <c r="J3" s="118"/>
      <c r="K3" s="118"/>
      <c r="L3" s="118"/>
      <c r="M3" s="118"/>
      <c r="N3" s="118"/>
      <c r="O3" s="118"/>
      <c r="P3" s="118"/>
    </row>
    <row r="5">
      <c r="B5" t="s" s="5">
        <v>505</v>
      </c>
      <c r="C5" s="5"/>
      <c r="D5" s="5"/>
      <c r="E5" s="5"/>
      <c r="F5" s="5"/>
      <c r="G5" s="5"/>
      <c r="H5" s="5"/>
      <c r="I5" s="5"/>
      <c r="J5" s="5"/>
      <c r="K5" s="5"/>
      <c r="L5" s="5"/>
      <c r="M5" s="5"/>
      <c r="N5" s="5"/>
      <c r="O5" s="5"/>
      <c r="P5" s="5"/>
    </row>
    <row r="6">
      <c r="C6" t="s" s="119">
        <v>506</v>
      </c>
      <c r="D6" s="119"/>
      <c r="E6" s="119"/>
      <c r="F6" s="119"/>
      <c r="G6" s="119"/>
      <c r="H6" s="119"/>
      <c r="I6" s="119"/>
      <c r="J6" t="s" s="119">
        <v>507</v>
      </c>
      <c r="K6" s="119"/>
      <c r="L6" s="119"/>
      <c r="M6" s="119"/>
      <c r="N6" s="119"/>
      <c r="O6" s="119"/>
      <c r="P6" s="119"/>
    </row>
    <row r="7">
      <c r="B7" t="s" s="99">
        <v>139</v>
      </c>
      <c r="C7" t="s" s="120">
        <v>508</v>
      </c>
      <c r="D7" t="s" s="120">
        <v>509</v>
      </c>
      <c r="E7" t="s" s="120">
        <v>510</v>
      </c>
      <c r="F7" t="s" s="120">
        <v>511</v>
      </c>
      <c r="G7" t="s" s="120">
        <v>512</v>
      </c>
      <c r="H7" t="s" s="120">
        <v>513</v>
      </c>
      <c r="I7" t="s" s="120">
        <v>514</v>
      </c>
      <c r="J7" t="s" s="120">
        <v>508</v>
      </c>
      <c r="K7" t="s" s="120">
        <v>509</v>
      </c>
      <c r="L7" t="s" s="120">
        <v>510</v>
      </c>
      <c r="M7" t="s" s="120">
        <v>511</v>
      </c>
      <c r="N7" t="s" s="120">
        <v>512</v>
      </c>
      <c r="O7" t="s" s="120">
        <v>515</v>
      </c>
      <c r="P7" t="s" s="120">
        <v>516</v>
      </c>
      <c r="Q7" t="s" s="99">
        <v>97</v>
      </c>
    </row>
    <row r="8">
      <c r="B8" t="s">
        <v>148</v>
      </c>
      <c r="C8" s="121">
        <v>100</v>
      </c>
      <c r="D8" s="122">
        <v>0.15</v>
      </c>
      <c r="E8" s="121">
        <v>15</v>
      </c>
      <c r="F8" s="123">
        <v>8</v>
      </c>
      <c r="G8" s="121">
        <v>120</v>
      </c>
      <c r="H8" s="121">
        <v>60</v>
      </c>
      <c r="I8" s="121">
        <v>60</v>
      </c>
      <c r="J8" s="121">
        <v>190</v>
      </c>
      <c r="K8" s="122">
        <v>0.2</v>
      </c>
      <c r="L8" s="121">
        <v>38</v>
      </c>
      <c r="M8" s="123">
        <v>16</v>
      </c>
      <c r="N8" s="121">
        <v>608</v>
      </c>
      <c r="O8" s="121">
        <v>43</v>
      </c>
      <c r="P8" s="121">
        <v>565</v>
      </c>
      <c r="Q8" t="s" s="2">
        <v>517</v>
      </c>
    </row>
    <row r="9">
      <c r="B9" t="s">
        <v>149</v>
      </c>
      <c r="C9" s="121">
        <v>200</v>
      </c>
      <c r="D9" s="122">
        <v>0.1</v>
      </c>
      <c r="E9" s="121">
        <v>20</v>
      </c>
      <c r="F9" s="123">
        <v>8.5</v>
      </c>
      <c r="G9" s="121">
        <v>170</v>
      </c>
      <c r="H9" s="121">
        <v>95</v>
      </c>
      <c r="I9" s="121">
        <v>75</v>
      </c>
      <c r="J9" s="121">
        <v>300</v>
      </c>
      <c r="K9" s="122">
        <v>0.11</v>
      </c>
      <c r="L9" s="121">
        <v>33</v>
      </c>
      <c r="M9" s="123">
        <v>9</v>
      </c>
      <c r="N9" s="121">
        <v>297</v>
      </c>
      <c r="O9" s="121">
        <v>57</v>
      </c>
      <c r="P9" s="121">
        <v>240</v>
      </c>
      <c r="Q9" t="s" s="2">
        <v>518</v>
      </c>
    </row>
    <row r="10">
      <c r="B10" t="s">
        <v>150</v>
      </c>
      <c r="C10" s="121">
        <v>120</v>
      </c>
      <c r="D10" s="122">
        <v>0.15</v>
      </c>
      <c r="E10" s="121">
        <v>18</v>
      </c>
      <c r="F10" s="123">
        <v>9</v>
      </c>
      <c r="G10" s="121">
        <v>162</v>
      </c>
      <c r="H10" s="121">
        <v>92</v>
      </c>
      <c r="I10" s="121">
        <v>70</v>
      </c>
      <c r="J10" s="121">
        <v>170</v>
      </c>
      <c r="K10" s="122">
        <v>0.16</v>
      </c>
      <c r="L10" s="121">
        <v>27.2</v>
      </c>
      <c r="M10" s="123">
        <v>10</v>
      </c>
      <c r="N10" s="121">
        <v>272</v>
      </c>
      <c r="O10" s="121">
        <v>62</v>
      </c>
      <c r="P10" s="121">
        <v>210</v>
      </c>
      <c r="Q10" t="s" s="2">
        <v>519</v>
      </c>
    </row>
    <row r="11">
      <c r="B11" t="s">
        <v>151</v>
      </c>
      <c r="C11" s="121">
        <v>150</v>
      </c>
      <c r="D11" s="122">
        <v>0.12</v>
      </c>
      <c r="E11" s="121">
        <v>18</v>
      </c>
      <c r="F11" s="123">
        <v>8</v>
      </c>
      <c r="G11" s="121">
        <v>144</v>
      </c>
      <c r="H11" s="121">
        <v>79</v>
      </c>
      <c r="I11" s="121">
        <v>65</v>
      </c>
      <c r="J11" s="121">
        <v>200</v>
      </c>
      <c r="K11" s="122">
        <v>0.13</v>
      </c>
      <c r="L11" s="121">
        <v>26</v>
      </c>
      <c r="M11" s="123">
        <v>8.5</v>
      </c>
      <c r="N11" s="121">
        <v>221</v>
      </c>
      <c r="O11" s="121">
        <v>46</v>
      </c>
      <c r="P11" s="121">
        <v>175</v>
      </c>
      <c r="Q11" t="s" s="2">
        <v>520</v>
      </c>
    </row>
    <row r="12">
      <c r="B12" t="s">
        <v>154</v>
      </c>
      <c r="C12" s="121">
        <v>80</v>
      </c>
      <c r="D12" s="122">
        <v>0.15</v>
      </c>
      <c r="E12" s="121">
        <v>12</v>
      </c>
      <c r="F12" s="123">
        <v>10</v>
      </c>
      <c r="G12" s="121">
        <v>120</v>
      </c>
      <c r="H12" s="121">
        <v>65</v>
      </c>
      <c r="I12" s="121">
        <v>55</v>
      </c>
      <c r="J12" s="121">
        <v>110</v>
      </c>
      <c r="K12" s="122">
        <v>0.17</v>
      </c>
      <c r="L12" s="121">
        <v>18.7</v>
      </c>
      <c r="M12" s="123">
        <v>10.5</v>
      </c>
      <c r="N12" s="121">
        <v>196.35</v>
      </c>
      <c r="O12" s="121">
        <v>56.35</v>
      </c>
      <c r="P12" s="121">
        <v>140</v>
      </c>
      <c r="Q12" t="s" s="2">
        <v>521</v>
      </c>
    </row>
    <row r="13">
      <c r="B13" t="s">
        <v>155</v>
      </c>
      <c r="C13" s="121">
        <v>90</v>
      </c>
      <c r="D13" s="122">
        <v>0.14</v>
      </c>
      <c r="E13" s="121">
        <v>12.6</v>
      </c>
      <c r="F13" s="123">
        <v>9.5</v>
      </c>
      <c r="G13" s="121">
        <v>119.7</v>
      </c>
      <c r="H13" s="121">
        <v>59.7</v>
      </c>
      <c r="I13" s="121">
        <v>60</v>
      </c>
      <c r="J13" s="121">
        <v>125</v>
      </c>
      <c r="K13" s="122">
        <v>0.15</v>
      </c>
      <c r="L13" s="121">
        <v>18.75</v>
      </c>
      <c r="M13" s="123">
        <v>10</v>
      </c>
      <c r="N13" s="121">
        <v>187.5</v>
      </c>
      <c r="O13" s="121">
        <v>37.5</v>
      </c>
      <c r="P13" s="121">
        <v>150</v>
      </c>
      <c r="Q13" t="s" s="2">
        <v>522</v>
      </c>
    </row>
    <row r="14">
      <c r="B14" t="s">
        <v>157</v>
      </c>
      <c r="C14" s="121">
        <v>140</v>
      </c>
      <c r="D14" s="122">
        <v>0.08</v>
      </c>
      <c r="E14" s="121">
        <v>11.2</v>
      </c>
      <c r="F14" s="123">
        <v>8</v>
      </c>
      <c r="G14" s="121">
        <v>89.6</v>
      </c>
      <c r="H14" s="121">
        <v>39.6</v>
      </c>
      <c r="I14" s="121">
        <v>50</v>
      </c>
      <c r="J14" s="121">
        <v>190</v>
      </c>
      <c r="K14" s="122">
        <v>0.08</v>
      </c>
      <c r="L14" s="121">
        <v>15.2</v>
      </c>
      <c r="M14" s="123">
        <v>8</v>
      </c>
      <c r="N14" s="121">
        <v>121.6</v>
      </c>
      <c r="O14" s="121">
        <v>21.6</v>
      </c>
      <c r="P14" s="121">
        <v>100</v>
      </c>
      <c r="Q14" t="s" s="2">
        <v>523</v>
      </c>
    </row>
    <row r="16">
      <c r="B16" t="s" s="5">
        <v>524</v>
      </c>
      <c r="C16" s="5"/>
      <c r="D16" s="5"/>
      <c r="E16" s="5"/>
      <c r="F16" s="5"/>
      <c r="G16" s="5"/>
      <c r="H16" s="5"/>
      <c r="I16" s="5"/>
      <c r="J16" s="5"/>
      <c r="K16" s="5"/>
      <c r="L16" s="5"/>
    </row>
    <row r="17">
      <c r="B17" t="s" s="99">
        <v>139</v>
      </c>
      <c r="C17" t="s" s="120">
        <v>525</v>
      </c>
      <c r="D17" t="s" s="120">
        <v>526</v>
      </c>
      <c r="E17" t="s" s="120">
        <v>527</v>
      </c>
      <c r="F17" t="s" s="120">
        <v>528</v>
      </c>
      <c r="G17" t="s" s="120">
        <v>529</v>
      </c>
      <c r="H17" t="s" s="120">
        <v>530</v>
      </c>
      <c r="I17" t="s" s="120">
        <v>531</v>
      </c>
      <c r="J17" t="s" s="120">
        <v>532</v>
      </c>
      <c r="K17" t="s" s="120">
        <v>533</v>
      </c>
      <c r="L17" t="s" s="120">
        <v>534</v>
      </c>
    </row>
    <row r="18">
      <c r="B18" t="str">
        <f>B8</f>
        <v>Bracken Fluid Systems</v>
      </c>
      <c r="C18" s="103">
        <f>(J8-C8)*D8*F8</f>
        <v>108</v>
      </c>
      <c r="D18" s="103">
        <f>J8*(K8-D8)*F8</f>
        <v>76.00000000000003</v>
      </c>
      <c r="E18" s="103">
        <f>(M8-F8)*L8</f>
        <v>304</v>
      </c>
      <c r="F18" s="103">
        <f>H8-O8</f>
        <v>17</v>
      </c>
      <c r="G18" s="104">
        <f>SUM(C18:F18)</f>
        <v>505</v>
      </c>
      <c r="H18" s="103">
        <f>P8-I8</f>
        <v>505</v>
      </c>
      <c r="I18" s="103">
        <f>G18-H18</f>
        <v>0</v>
      </c>
      <c r="J18" s="103">
        <f>INDEX('Deal Returns'!$M$6:$M$43,MATCH(B18,'Deal Returns'!$C$6:$C$43,0))</f>
        <v>505</v>
      </c>
      <c r="K18" s="103">
        <f>H18-J18</f>
        <v>0</v>
      </c>
      <c r="L18" s="115">
        <f>P8/I8</f>
        <v>9.416666666666666</v>
      </c>
    </row>
    <row r="19">
      <c r="B19" t="str">
        <f>B9</f>
        <v>Lowrie Facility Services</v>
      </c>
      <c r="C19" s="103">
        <f>(J9-C9)*D9*F9</f>
        <v>85</v>
      </c>
      <c r="D19" s="103">
        <f>J9*(K9-D9)*F9</f>
        <v>25.49999999999999</v>
      </c>
      <c r="E19" s="103">
        <f>(M9-F9)*L9</f>
        <v>16.5</v>
      </c>
      <c r="F19" s="103">
        <f>H9-O9</f>
        <v>38</v>
      </c>
      <c r="G19" s="104">
        <f>SUM(C19:F19)</f>
        <v>165</v>
      </c>
      <c r="H19" s="103">
        <f>P9-I9</f>
        <v>165</v>
      </c>
      <c r="I19" s="103">
        <f>G19-H19</f>
        <v>0</v>
      </c>
      <c r="J19" s="103">
        <f>INDEX('Deal Returns'!$M$6:$M$43,MATCH(B19,'Deal Returns'!$C$6:$C$43,0))</f>
        <v>165</v>
      </c>
      <c r="K19" s="103">
        <f>H19-J19</f>
        <v>0</v>
      </c>
      <c r="L19" s="115">
        <f>P9/I9</f>
        <v>3.2</v>
      </c>
    </row>
    <row r="20">
      <c r="B20" t="str">
        <f>B10</f>
        <v>Castine Testing Labs</v>
      </c>
      <c r="C20" s="103">
        <f>(J10-C10)*D10*F10</f>
        <v>67.5</v>
      </c>
      <c r="D20" s="103">
        <f>J10*(K10-D10)*F10</f>
        <v>15.300000000000013</v>
      </c>
      <c r="E20" s="103">
        <f>(M10-F10)*L10</f>
        <v>27.2</v>
      </c>
      <c r="F20" s="103">
        <f>H10-O10</f>
        <v>30</v>
      </c>
      <c r="G20" s="104">
        <f>SUM(C20:F20)</f>
        <v>140</v>
      </c>
      <c r="H20" s="103">
        <f>P10-I10</f>
        <v>140</v>
      </c>
      <c r="I20" s="103">
        <f>G20-H20</f>
        <v>0</v>
      </c>
      <c r="J20" s="103">
        <f>INDEX('Deal Returns'!$M$6:$M$43,MATCH(B20,'Deal Returns'!$C$6:$C$43,0))</f>
        <v>140</v>
      </c>
      <c r="K20" s="103">
        <f>H20-J20</f>
        <v>0</v>
      </c>
      <c r="L20" s="115">
        <f>P10/I10</f>
        <v>3</v>
      </c>
    </row>
    <row r="21">
      <c r="B21" t="str">
        <f>B11</f>
        <v>Ordway Packaging</v>
      </c>
      <c r="C21" s="103">
        <f>(J11-C11)*D11*F11</f>
        <v>48</v>
      </c>
      <c r="D21" s="103">
        <f>J11*(K11-D11)*F11</f>
        <v>16.000000000000014</v>
      </c>
      <c r="E21" s="103">
        <f>(M11-F11)*L11</f>
        <v>13</v>
      </c>
      <c r="F21" s="103">
        <f>H11-O11</f>
        <v>33</v>
      </c>
      <c r="G21" s="104">
        <f>SUM(C21:F21)</f>
        <v>110.00000000000001</v>
      </c>
      <c r="H21" s="103">
        <f>P11-I11</f>
        <v>110</v>
      </c>
      <c r="I21" s="103">
        <f>G21-H21</f>
        <v>0</v>
      </c>
      <c r="J21" s="103">
        <f>INDEX('Deal Returns'!$M$6:$M$43,MATCH(B21,'Deal Returns'!$C$6:$C$43,0))</f>
        <v>110</v>
      </c>
      <c r="K21" s="103">
        <f>H21-J21</f>
        <v>0</v>
      </c>
      <c r="L21" s="115">
        <f>P11/I11</f>
        <v>2.6923076923076925</v>
      </c>
    </row>
    <row r="22">
      <c r="B22" t="str">
        <f>B12</f>
        <v>Fennimore Data Services</v>
      </c>
      <c r="C22" s="103">
        <f>(J12-C12)*D12*F12</f>
        <v>45</v>
      </c>
      <c r="D22" s="103">
        <f>J12*(K12-D12)*F12</f>
        <v>22.00000000000002</v>
      </c>
      <c r="E22" s="103">
        <f>(M12-F12)*L12</f>
        <v>9.35</v>
      </c>
      <c r="F22" s="103">
        <f>H12-O12</f>
        <v>8.649999999999999</v>
      </c>
      <c r="G22" s="104">
        <f>SUM(C22:F22)</f>
        <v>85.00000000000003</v>
      </c>
      <c r="H22" s="103">
        <f>P12-I12</f>
        <v>85</v>
      </c>
      <c r="I22" s="103">
        <f>G22-H22</f>
        <v>0</v>
      </c>
      <c r="J22" s="103">
        <f>INDEX('Deal Returns'!$M$6:$M$43,MATCH(B22,'Deal Returns'!$C$6:$C$43,0))</f>
        <v>85</v>
      </c>
      <c r="K22" s="103">
        <f>H22-J22</f>
        <v>0</v>
      </c>
      <c r="L22" s="115">
        <f>P12/I12</f>
        <v>2.5454545454545454</v>
      </c>
    </row>
    <row r="23">
      <c r="B23" t="str">
        <f>B13</f>
        <v>Halvard Precision</v>
      </c>
      <c r="C23" s="103">
        <f>(J13-C13)*D13*F13</f>
        <v>46.550000000000004</v>
      </c>
      <c r="D23" s="103">
        <f>J13*(K13-D13)*F13</f>
        <v>11.874999999999977</v>
      </c>
      <c r="E23" s="103">
        <f>(M13-F13)*L13</f>
        <v>9.375</v>
      </c>
      <c r="F23" s="103">
        <f>H13-O13</f>
        <v>22.200000000000003</v>
      </c>
      <c r="G23" s="104">
        <f>SUM(C23:F23)</f>
        <v>89.99999999999999</v>
      </c>
      <c r="H23" s="103">
        <f>P13-I13</f>
        <v>90</v>
      </c>
      <c r="I23" s="103">
        <f>G23-H23</f>
        <v>0</v>
      </c>
      <c r="J23" s="103">
        <f>INDEX('Deal Returns'!$M$6:$M$43,MATCH(B23,'Deal Returns'!$C$6:$C$43,0))</f>
        <v>90</v>
      </c>
      <c r="K23" s="103">
        <f>H23-J23</f>
        <v>0</v>
      </c>
      <c r="L23" s="115">
        <f>P13/I13</f>
        <v>2.5</v>
      </c>
    </row>
    <row r="24">
      <c r="B24" t="str">
        <f>B14</f>
        <v>Quarry Hill Logistics</v>
      </c>
      <c r="C24" s="103">
        <f>(J14-C14)*D14*F14</f>
        <v>32</v>
      </c>
      <c r="D24" s="103">
        <f>J14*(K14-D14)*F14</f>
        <v>0</v>
      </c>
      <c r="E24" s="103">
        <f>(M14-F14)*L14</f>
        <v>0</v>
      </c>
      <c r="F24" s="103">
        <f>H14-O14</f>
        <v>18</v>
      </c>
      <c r="G24" s="104">
        <f>SUM(C24:F24)</f>
        <v>50</v>
      </c>
      <c r="H24" s="103">
        <f>P14-I14</f>
        <v>50</v>
      </c>
      <c r="I24" s="103">
        <f>G24-H24</f>
        <v>0</v>
      </c>
      <c r="J24" s="103">
        <f>INDEX('Deal Returns'!$M$6:$M$43,MATCH(B24,'Deal Returns'!$C$6:$C$43,0))</f>
        <v>50</v>
      </c>
      <c r="K24" s="103">
        <f>H24-J24</f>
        <v>0</v>
      </c>
      <c r="L24" s="115">
        <f>P14/I14</f>
        <v>2</v>
      </c>
    </row>
    <row r="25">
      <c r="B25" t="s" s="30">
        <v>535</v>
      </c>
      <c r="C25" s="111">
        <f>SUM(C18:C24)</f>
        <v>432.05</v>
      </c>
      <c r="D25" s="111">
        <f>SUM(D18:D24)</f>
        <v>166.67500000000004</v>
      </c>
      <c r="E25" s="111">
        <f>SUM(E18:E24)</f>
        <v>379.425</v>
      </c>
      <c r="F25" s="111">
        <f>SUM(F18:F24)</f>
        <v>166.85000000000002</v>
      </c>
      <c r="G25" s="111">
        <f>SUM(G18:G24)</f>
        <v>1145</v>
      </c>
      <c r="H25" s="111">
        <f>SUM(H18:H24)</f>
        <v>1145</v>
      </c>
      <c r="I25" s="111">
        <f>SUM(I18:I24)</f>
        <v>0</v>
      </c>
      <c r="J25" s="111">
        <f>SUM(J18:J24)</f>
        <v>1145</v>
      </c>
      <c r="K25" s="111">
        <f>SUM(K18:K24)</f>
        <v>0</v>
      </c>
      <c r="L25" s="105">
        <f>SUM(P8:P14)/SUM(I8:I14)</f>
        <v>3.632183908045977</v>
      </c>
    </row>
    <row r="26">
      <c r="B26" t="s">
        <v>536</v>
      </c>
      <c r="C26" s="103">
        <f>C25-C27</f>
        <v>324.05</v>
      </c>
      <c r="D26" s="103">
        <f>D25-D27</f>
        <v>90.67500000000001</v>
      </c>
      <c r="E26" s="103">
        <f>E25-E27</f>
        <v>75.42500000000001</v>
      </c>
      <c r="F26" s="103">
        <f>F25-F27</f>
        <v>149.85000000000002</v>
      </c>
      <c r="G26" s="104">
        <f>G25-G27</f>
        <v>640</v>
      </c>
      <c r="H26" s="103">
        <f>H25-H27</f>
        <v>640</v>
      </c>
      <c r="I26" s="103">
        <f>I25-I27</f>
        <v>0</v>
      </c>
      <c r="J26" s="103">
        <f>J25-J27</f>
        <v>640</v>
      </c>
      <c r="K26" s="103">
        <f>K25-K27</f>
        <v>0</v>
      </c>
      <c r="L26" s="115">
        <f>(SUM(P8:P14)-P8)/(SUM(I8:I14)-I8)</f>
        <v>2.7066666666666666</v>
      </c>
    </row>
    <row r="27">
      <c r="B27" t="s">
        <v>537</v>
      </c>
      <c r="C27" s="103">
        <f>C18</f>
        <v>108</v>
      </c>
      <c r="D27" s="103">
        <f>D18</f>
        <v>76.00000000000003</v>
      </c>
      <c r="E27" s="103">
        <f>E18</f>
        <v>304</v>
      </c>
      <c r="F27" s="103">
        <f>F18</f>
        <v>17</v>
      </c>
      <c r="G27" s="104">
        <f>G18</f>
        <v>505</v>
      </c>
      <c r="H27" s="103">
        <f>H18</f>
        <v>505</v>
      </c>
      <c r="I27" s="103">
        <f>I18</f>
        <v>0</v>
      </c>
      <c r="J27" s="103">
        <f>J18</f>
        <v>505</v>
      </c>
      <c r="K27" s="103">
        <f>K18</f>
        <v>0</v>
      </c>
      <c r="L27" s="115">
        <f>L18</f>
        <v>9.416666666666666</v>
      </c>
    </row>
    <row r="29">
      <c r="B29" t="s" s="5">
        <v>538</v>
      </c>
      <c r="C29" s="5"/>
      <c r="D29" s="5"/>
      <c r="E29" s="5"/>
      <c r="F29" s="5"/>
      <c r="G29" s="5"/>
    </row>
    <row r="30">
      <c r="B30" s="124"/>
      <c r="C30" t="s" s="125">
        <v>525</v>
      </c>
      <c r="D30" t="s" s="125">
        <v>526</v>
      </c>
      <c r="E30" t="s" s="125">
        <v>527</v>
      </c>
      <c r="F30" t="s" s="125">
        <v>528</v>
      </c>
      <c r="G30" t="s" s="125">
        <v>473</v>
      </c>
    </row>
    <row r="31">
      <c r="B31" t="s">
        <v>535</v>
      </c>
      <c r="C31" s="112">
        <f>C25/$G25</f>
        <v>0.37733624454148473</v>
      </c>
      <c r="D31" s="112">
        <f>D25/$G25</f>
        <v>0.14556768558951969</v>
      </c>
      <c r="E31" s="112">
        <f>E25/$G25</f>
        <v>0.3313755458515284</v>
      </c>
      <c r="F31" s="112">
        <f>F25/$G25</f>
        <v>0.14572052401746727</v>
      </c>
      <c r="G31" s="112">
        <f>G25/$G25</f>
        <v>1</v>
      </c>
    </row>
    <row r="32">
      <c r="B32" t="s">
        <v>536</v>
      </c>
      <c r="C32" s="112">
        <f>C26/$G26</f>
        <v>0.506328125</v>
      </c>
      <c r="D32" s="112">
        <f>D26/$G26</f>
        <v>0.1416796875</v>
      </c>
      <c r="E32" s="112">
        <f>E26/$G26</f>
        <v>0.11785156250000002</v>
      </c>
      <c r="F32" s="112">
        <f>F26/$G26</f>
        <v>0.23414062500000005</v>
      </c>
      <c r="G32" s="112">
        <f>G26/$G26</f>
        <v>1</v>
      </c>
    </row>
    <row r="33">
      <c r="B33" t="s">
        <v>537</v>
      </c>
      <c r="C33" s="112">
        <f>C27/$G27</f>
        <v>0.21386138613861386</v>
      </c>
      <c r="D33" s="112">
        <f>D27/$G27</f>
        <v>0.15049504950495055</v>
      </c>
      <c r="E33" s="112">
        <f>E27/$G27</f>
        <v>0.601980198019802</v>
      </c>
      <c r="F33" s="112">
        <f>F27/$G27</f>
        <v>0.033663366336633666</v>
      </c>
      <c r="G33" s="112">
        <f>G27/$G27</f>
        <v>1</v>
      </c>
    </row>
    <row r="34">
      <c r="B34" t="s" s="126">
        <v>539</v>
      </c>
      <c r="C34" s="127">
        <f>C27/C25</f>
        <v>0.249971068163407</v>
      </c>
      <c r="D34" s="127">
        <f>D27/D25</f>
        <v>0.45597720113994306</v>
      </c>
      <c r="E34" s="127">
        <f>E27/E25</f>
        <v>0.8012123608091191</v>
      </c>
      <c r="F34" s="127">
        <f>F27/F25</f>
        <v>0.10188792328438716</v>
      </c>
      <c r="G34" s="127">
        <f>G27/G25</f>
        <v>0.4410480349344978</v>
      </c>
    </row>
  </sheetData>
  <mergeCells count="1">
    <mergeCell ref="B3:P3"/>
  </mergeCells>
  <pageMargins left="0.7" right="0.7" top="0.75" bottom="0.75" header="0.3" footer="0.3"/>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30"/>
  <sheetViews>
    <sheetView showGridLines="0" workbookViewId="0">
      <selection activeCell="A1" sqref="A1"/>
    </sheetView>
  </sheetViews>
  <cols>
    <col min="1" max="1" width="2.21875" customWidth="1"/>
    <col min="2" max="2" width="61.21875" customWidth="1"/>
    <col min="3" max="6" width="14.359375" customWidth="1"/>
    <col min="7" max="7" width="18.9296875" customWidth="1"/>
    <col min="8" max="11" width="14.359375" customWidth="1"/>
  </cols>
  <sheetData>
    <row r="2">
      <c r="B2" t="s" s="1">
        <v>684</v>
      </c>
    </row>
    <row r="3">
      <c r="B3" t="s" s="2">
        <v>685</v>
      </c>
    </row>
    <row r="5">
      <c r="B5" t="s" s="5">
        <v>686</v>
      </c>
      <c r="C5" s="5"/>
      <c r="D5" s="5"/>
      <c r="E5" s="5"/>
      <c r="F5" s="5"/>
      <c r="G5" s="5"/>
    </row>
    <row r="6">
      <c r="C6" t="s" s="144">
        <v>687</v>
      </c>
      <c r="D6" t="s" s="144">
        <v>688</v>
      </c>
      <c r="E6" t="s" s="144">
        <v>689</v>
      </c>
      <c r="F6" t="s" s="144">
        <v>86</v>
      </c>
      <c r="G6" t="s" s="144">
        <v>690</v>
      </c>
    </row>
    <row r="7">
      <c r="B7" t="s">
        <v>691</v>
      </c>
      <c r="C7" s="145">
        <f>Inputs!$C$16</f>
        <v>21</v>
      </c>
      <c r="D7" s="146"/>
      <c r="E7" s="146"/>
      <c r="F7" s="146"/>
      <c r="G7" s="2"/>
    </row>
    <row r="8">
      <c r="B8" t="s">
        <v>692</v>
      </c>
      <c r="C8" s="145">
        <f>Inputs!$C$17</f>
        <v>12</v>
      </c>
      <c r="D8" s="146"/>
      <c r="E8" s="146"/>
      <c r="F8" s="146"/>
      <c r="G8" s="2"/>
    </row>
    <row r="9">
      <c r="B9" t="s" s="147">
        <v>693</v>
      </c>
      <c r="C9" s="148">
        <f>C7+C8</f>
        <v>33</v>
      </c>
      <c r="D9" s="149">
        <f>Inputs!$C$18</f>
        <v>33</v>
      </c>
      <c r="E9" s="148"/>
      <c r="F9" s="148">
        <f>C9-D9</f>
        <v>0</v>
      </c>
      <c r="G9" s="2"/>
    </row>
    <row r="10">
      <c r="B10" t="s">
        <v>694</v>
      </c>
      <c r="C10" s="145">
        <f>Inputs!$C$19</f>
        <v>3</v>
      </c>
      <c r="D10" s="146"/>
      <c r="E10" s="146"/>
      <c r="F10" s="146"/>
      <c r="G10" s="2"/>
    </row>
    <row r="11">
      <c r="B11" t="s" s="147">
        <v>695</v>
      </c>
      <c r="C11" s="148">
        <f>C9+C10</f>
        <v>36</v>
      </c>
      <c r="D11" s="149">
        <f>Inputs!$C$20</f>
        <v>36</v>
      </c>
      <c r="E11" s="149">
        <f>Inputs!$C$41</f>
        <v>36</v>
      </c>
      <c r="F11" s="148">
        <f>C11-D11</f>
        <v>0</v>
      </c>
      <c r="G11" s="2"/>
    </row>
    <row r="12">
      <c r="B12" t="s">
        <v>696</v>
      </c>
      <c r="C12" s="150">
        <f>Inputs!$C$21</f>
        <v>16.5</v>
      </c>
      <c r="D12" s="150">
        <f>Inputs!$C$21</f>
        <v>16.5</v>
      </c>
      <c r="E12" s="150">
        <f>Inputs!$C$42</f>
        <v>16.5</v>
      </c>
      <c r="F12" s="151">
        <f>C12-D12</f>
        <v>0</v>
      </c>
      <c r="G12" s="2"/>
    </row>
    <row r="13">
      <c r="B13" t="s" s="147">
        <v>697</v>
      </c>
      <c r="C13" s="148">
        <f>C11*C12</f>
        <v>594</v>
      </c>
      <c r="D13" s="149">
        <f>Inputs!$C$22</f>
        <v>594</v>
      </c>
      <c r="E13" s="149">
        <f>Inputs!$C$43</f>
        <v>594</v>
      </c>
      <c r="F13" s="148">
        <f>C13-D13</f>
        <v>0</v>
      </c>
      <c r="G13" s="2"/>
    </row>
    <row r="14">
      <c r="B14" t="s">
        <v>698</v>
      </c>
      <c r="C14" s="145">
        <f>-Inputs!$C$23</f>
        <v>-304</v>
      </c>
      <c r="D14" s="145">
        <f>-Inputs!$C$23</f>
        <v>-304</v>
      </c>
      <c r="E14" s="145">
        <f>-Inputs!$C$44</f>
        <v>-304</v>
      </c>
      <c r="F14" s="146">
        <f>C14-D14</f>
        <v>0</v>
      </c>
      <c r="G14" s="2"/>
    </row>
    <row r="15">
      <c r="B15" t="s" s="147">
        <v>699</v>
      </c>
      <c r="C15" s="148">
        <f>C13+C14</f>
        <v>290</v>
      </c>
      <c r="D15" s="149">
        <f>Inputs!$C$24</f>
        <v>290</v>
      </c>
      <c r="E15" s="149">
        <f>Inputs!$C$45</f>
        <v>290</v>
      </c>
      <c r="F15" s="148">
        <f>C15-D15</f>
        <v>0</v>
      </c>
      <c r="G15" t="s" s="2">
        <v>700</v>
      </c>
    </row>
    <row r="16">
      <c r="B16" t="s">
        <v>9</v>
      </c>
      <c r="C16" s="145">
        <f>Inputs!$C$25</f>
        <v>120</v>
      </c>
      <c r="D16" s="145">
        <f>Inputs!$C$25</f>
        <v>120</v>
      </c>
      <c r="E16" s="145">
        <f>Inputs!$C$46</f>
        <v>120</v>
      </c>
      <c r="F16" s="146">
        <f>C16-D16</f>
        <v>0</v>
      </c>
      <c r="G16" s="2"/>
    </row>
    <row r="17">
      <c r="B17" t="s" s="147">
        <v>701</v>
      </c>
      <c r="C17" s="152">
        <f>C15/C16</f>
        <v>2.4166666666666665</v>
      </c>
      <c r="D17" s="153">
        <f>Inputs!$C$26</f>
        <v>2.4</v>
      </c>
      <c r="E17" s="152">
        <f>E15/E16</f>
        <v>2.4166666666666665</v>
      </c>
      <c r="F17" s="152">
        <f>C17-D17</f>
        <v>0.016666666666666607</v>
      </c>
      <c r="G17" t="s" s="2">
        <v>702</v>
      </c>
    </row>
    <row r="18">
      <c r="G18" s="2"/>
    </row>
    <row r="19">
      <c r="B19" t="s" s="5">
        <v>703</v>
      </c>
      <c r="C19" s="5"/>
      <c r="D19" s="5"/>
      <c r="E19" s="5"/>
      <c r="F19" s="5"/>
      <c r="G19" s="154"/>
    </row>
    <row r="20">
      <c r="C20" t="s" s="144">
        <v>687</v>
      </c>
      <c r="D20" t="s" s="144">
        <v>704</v>
      </c>
      <c r="G20" s="2"/>
    </row>
    <row r="21">
      <c r="B21" t="s">
        <v>705</v>
      </c>
      <c r="C21" s="145">
        <f>Inputs!$C$61</f>
        <v>290</v>
      </c>
      <c r="D21" s="146"/>
      <c r="G21" s="2"/>
    </row>
    <row r="22">
      <c r="B22" t="s">
        <v>706</v>
      </c>
      <c r="C22" s="145">
        <f>Inputs!$C$51</f>
        <v>1560</v>
      </c>
      <c r="D22" s="146"/>
      <c r="G22" s="2"/>
    </row>
    <row r="23">
      <c r="B23" t="s" s="126">
        <v>707</v>
      </c>
      <c r="C23" s="155">
        <f>C21/C22</f>
        <v>0.1858974358974359</v>
      </c>
      <c r="D23" s="156">
        <f>Inputs!$C$62</f>
        <v>0.19</v>
      </c>
      <c r="E23" s="126"/>
      <c r="F23" s="126"/>
      <c r="G23" t="s" s="2">
        <v>708</v>
      </c>
    </row>
    <row r="24">
      <c r="B24" t="s">
        <v>709</v>
      </c>
      <c r="C24" s="145">
        <f>Inputs!$C$55</f>
        <v>1415.363469589041</v>
      </c>
      <c r="D24" s="146"/>
      <c r="G24" s="2"/>
    </row>
    <row r="25">
      <c r="B25" t="s" s="126">
        <v>710</v>
      </c>
      <c r="C25" s="155">
        <f>C21/C24</f>
        <v>0.2048943654623241</v>
      </c>
      <c r="D25" s="155"/>
      <c r="E25" s="126"/>
      <c r="F25" s="126"/>
      <c r="G25" s="2"/>
    </row>
    <row r="26">
      <c r="B26" t="s">
        <v>711</v>
      </c>
      <c r="C26" s="146">
        <f>C21-C16</f>
        <v>170</v>
      </c>
      <c r="D26" s="146"/>
      <c r="G26" s="2"/>
    </row>
    <row r="27">
      <c r="B27" t="s">
        <v>712</v>
      </c>
      <c r="C27" s="145">
        <f>Inputs!$C$49-Inputs!$C$63*(1-Inputs!$C$65)</f>
        <v>870</v>
      </c>
      <c r="D27" s="146"/>
      <c r="G27" t="s" s="2">
        <v>713</v>
      </c>
    </row>
    <row r="28">
      <c r="B28" t="s" s="147">
        <v>714</v>
      </c>
      <c r="C28" s="148">
        <f>C22-C27</f>
        <v>690</v>
      </c>
      <c r="D28" s="148"/>
      <c r="G28" s="2"/>
    </row>
    <row r="29">
      <c r="B29" t="s" s="126">
        <v>715</v>
      </c>
      <c r="C29" s="155">
        <f>C26/C28</f>
        <v>0.2463768115942029</v>
      </c>
      <c r="D29" s="155"/>
      <c r="E29" s="126"/>
      <c r="F29" s="126"/>
      <c r="G29" s="2"/>
    </row>
    <row r="30">
      <c r="G30" s="2"/>
    </row>
    <row r="31">
      <c r="G31" s="2"/>
    </row>
    <row r="32" ht="18" customHeight="1">
      <c r="B32" t="s" s="1">
        <v>716</v>
      </c>
      <c r="C32"/>
      <c r="D32"/>
      <c r="E32"/>
      <c r="F32"/>
      <c r="G32"/>
      <c r="H32"/>
      <c r="I32"/>
      <c r="J32"/>
      <c r="K32"/>
    </row>
    <row r="33">
      <c r="B33" t="s" s="2">
        <v>717</v>
      </c>
      <c r="C33"/>
      <c r="D33"/>
      <c r="E33"/>
      <c r="F33"/>
      <c r="G33"/>
      <c r="H33"/>
      <c r="I33"/>
      <c r="J33"/>
      <c r="K33"/>
    </row>
    <row r="34">
      <c r="B34"/>
      <c r="C34"/>
      <c r="D34"/>
      <c r="E34"/>
      <c r="F34"/>
      <c r="G34"/>
      <c r="H34"/>
      <c r="I34"/>
      <c r="J34"/>
      <c r="K34"/>
    </row>
    <row r="35">
      <c r="B35" t="s" s="5">
        <v>718</v>
      </c>
      <c r="C35" s="5"/>
      <c r="D35" s="5"/>
      <c r="E35" s="5"/>
      <c r="F35" s="5"/>
      <c r="G35" s="5"/>
      <c r="H35" s="5"/>
      <c r="I35" s="5"/>
      <c r="J35" s="5"/>
      <c r="K35" s="5"/>
    </row>
    <row r="36">
      <c r="B36"/>
      <c r="C36" t="s" s="144">
        <v>719</v>
      </c>
      <c r="D36" t="s" s="144">
        <v>720</v>
      </c>
      <c r="E36" t="s" s="144">
        <v>721</v>
      </c>
      <c r="F36"/>
      <c r="G36"/>
      <c r="H36"/>
      <c r="I36"/>
      <c r="J36"/>
      <c r="K36"/>
    </row>
    <row r="37">
      <c r="B37" t="s">
        <v>722</v>
      </c>
      <c r="C37" s="146">
        <f>C9</f>
        <v>33</v>
      </c>
      <c r="D37" s="146">
        <f>C11</f>
        <v>36</v>
      </c>
      <c r="E37" s="146">
        <f>C37-D37</f>
        <v>-3</v>
      </c>
      <c r="F37"/>
      <c r="G37"/>
      <c r="H37"/>
      <c r="I37"/>
      <c r="J37"/>
      <c r="K37"/>
    </row>
    <row r="38">
      <c r="B38" t="s">
        <v>723</v>
      </c>
      <c r="C38" s="150">
        <f>MEDIAN(Inputs!$C$32:$C$37)</f>
        <v>13</v>
      </c>
      <c r="D38" s="151">
        <f>C12</f>
        <v>16.5</v>
      </c>
      <c r="E38" s="151">
        <f>C38-D38</f>
        <v>-3.5</v>
      </c>
      <c r="F38"/>
      <c r="G38"/>
      <c r="H38"/>
      <c r="I38"/>
      <c r="J38"/>
      <c r="K38"/>
    </row>
    <row r="39">
      <c r="B39" t="s">
        <v>697</v>
      </c>
      <c r="C39" s="146">
        <f>C37*C38</f>
        <v>429</v>
      </c>
      <c r="D39" s="146">
        <f>D37*D38</f>
        <v>594</v>
      </c>
      <c r="E39" s="146">
        <f>C39-D39</f>
        <v>-165</v>
      </c>
      <c r="F39"/>
      <c r="G39"/>
      <c r="H39"/>
      <c r="I39"/>
      <c r="J39"/>
      <c r="K39"/>
    </row>
    <row r="40">
      <c r="B40" t="s">
        <v>698</v>
      </c>
      <c r="C40" s="145">
        <f>-Inputs!$C$23</f>
        <v>-304</v>
      </c>
      <c r="D40" s="145">
        <f>-Inputs!$C$23</f>
        <v>-304</v>
      </c>
      <c r="E40" s="146">
        <f>C40-D40</f>
        <v>0</v>
      </c>
      <c r="F40"/>
      <c r="G40"/>
      <c r="H40"/>
      <c r="I40"/>
      <c r="J40"/>
      <c r="K40"/>
    </row>
    <row r="41">
      <c r="B41" t="s" s="147">
        <v>724</v>
      </c>
      <c r="C41" s="148">
        <f>MAX(0,C39+C40)</f>
        <v>125</v>
      </c>
      <c r="D41" s="148">
        <f>MAX(0,D39+D40)</f>
        <v>290</v>
      </c>
      <c r="E41" s="148">
        <f>C41-D41</f>
        <v>-165</v>
      </c>
      <c r="F41"/>
      <c r="G41"/>
      <c r="H41"/>
      <c r="I41"/>
      <c r="J41"/>
      <c r="K41"/>
    </row>
    <row r="42">
      <c r="B42" t="s">
        <v>9</v>
      </c>
      <c r="C42" s="145">
        <f>Inputs!$C$25</f>
        <v>120</v>
      </c>
      <c r="D42" s="145">
        <f>Inputs!$C$25</f>
        <v>120</v>
      </c>
      <c r="E42" s="146">
        <f>C42-D42</f>
        <v>0</v>
      </c>
      <c r="F42"/>
      <c r="G42"/>
      <c r="H42"/>
      <c r="I42"/>
      <c r="J42"/>
      <c r="K42"/>
    </row>
    <row r="43">
      <c r="B43" t="s" s="147">
        <v>701</v>
      </c>
      <c r="C43" s="152">
        <f>C41/C42</f>
        <v>1.0416666666666667</v>
      </c>
      <c r="D43" s="152">
        <f>D41/D42</f>
        <v>2.4166666666666665</v>
      </c>
      <c r="E43" s="152">
        <f>C43-D43</f>
        <v>-1.3749999999999998</v>
      </c>
      <c r="F43"/>
      <c r="G43"/>
      <c r="H43"/>
      <c r="I43"/>
      <c r="J43"/>
      <c r="K43"/>
    </row>
    <row r="44">
      <c r="B44" t="s" s="126">
        <v>725</v>
      </c>
      <c r="C44" s="155">
        <f>C41/D41-1</f>
        <v>-0.5689655172413793</v>
      </c>
      <c r="D44" s="126"/>
      <c r="E44" s="126"/>
      <c r="F44" s="126"/>
      <c r="G44" s="126"/>
      <c r="H44" s="126"/>
      <c r="I44" s="126"/>
      <c r="J44" s="126"/>
      <c r="K44" s="126"/>
    </row>
    <row r="45">
      <c r="B45"/>
      <c r="C45"/>
      <c r="D45"/>
      <c r="E45"/>
      <c r="F45"/>
      <c r="G45"/>
      <c r="H45"/>
      <c r="I45"/>
      <c r="J45"/>
      <c r="K45"/>
    </row>
    <row r="46">
      <c r="B46" t="s" s="5">
        <v>726</v>
      </c>
      <c r="C46" s="5"/>
      <c r="D46" s="5"/>
      <c r="E46" s="5"/>
      <c r="F46" s="5"/>
      <c r="G46" s="5"/>
      <c r="H46" s="5"/>
      <c r="I46" s="5"/>
      <c r="J46" s="5"/>
      <c r="K46" s="5"/>
    </row>
    <row r="47">
      <c r="B47"/>
      <c r="C47" t="s" s="144">
        <v>727</v>
      </c>
      <c r="D47" t="s" s="144">
        <v>728</v>
      </c>
      <c r="E47" t="s" s="144">
        <v>729</v>
      </c>
      <c r="F47"/>
      <c r="G47"/>
      <c r="H47"/>
      <c r="I47"/>
      <c r="J47"/>
      <c r="K47"/>
    </row>
    <row r="48">
      <c r="B48" t="s">
        <v>730</v>
      </c>
      <c r="C48" s="151">
        <f>C12</f>
        <v>16.5</v>
      </c>
      <c r="D48"/>
      <c r="E48"/>
      <c r="F48"/>
      <c r="G48"/>
      <c r="H48"/>
      <c r="I48"/>
      <c r="J48"/>
      <c r="K48"/>
    </row>
    <row r="49">
      <c r="B49" t="s">
        <v>731</v>
      </c>
      <c r="C49" s="151">
        <f>C38</f>
        <v>13</v>
      </c>
      <c r="D49" s="151">
        <f>$C$48-C49</f>
        <v>3.5</v>
      </c>
      <c r="E49" s="157">
        <f>$C$48/C49-1</f>
        <v>0.26923076923076916</v>
      </c>
      <c r="F49"/>
      <c r="G49"/>
      <c r="H49"/>
      <c r="I49"/>
      <c r="J49"/>
      <c r="K49"/>
    </row>
    <row r="50">
      <c r="B50" t="s">
        <v>732</v>
      </c>
      <c r="C50" s="150">
        <f>MAX(Inputs!$C$32:$C$37)</f>
        <v>14.6</v>
      </c>
      <c r="D50" s="151">
        <f>$C$48-C50</f>
        <v>1.9000000000000004</v>
      </c>
      <c r="E50" s="157">
        <f>$C$48/C50-1</f>
        <v>0.13013698630136994</v>
      </c>
      <c r="F50"/>
      <c r="G50"/>
      <c r="H50"/>
      <c r="I50"/>
      <c r="J50"/>
      <c r="K50"/>
    </row>
    <row r="51">
      <c r="B51" t="s">
        <v>733</v>
      </c>
      <c r="C51" s="150">
        <f>MIN(Inputs!$C$32:$C$37)</f>
        <v>11.4</v>
      </c>
      <c r="D51" s="151">
        <f>$C$48-C51</f>
        <v>5.1</v>
      </c>
      <c r="E51" s="157">
        <f>$C$48/C51-1</f>
        <v>0.44736842105263164</v>
      </c>
      <c r="F51"/>
      <c r="G51"/>
      <c r="H51"/>
      <c r="I51"/>
      <c r="J51"/>
      <c r="K51"/>
    </row>
    <row r="52">
      <c r="B52" t="s">
        <v>734</v>
      </c>
      <c r="C52" s="150">
        <f>Inputs!$C$8</f>
        <v>11</v>
      </c>
      <c r="D52" s="151">
        <f>$C$48-C52</f>
        <v>5.5</v>
      </c>
      <c r="E52" s="157">
        <f>$C$48/C52-1</f>
        <v>0.5</v>
      </c>
      <c r="F52"/>
      <c r="G52"/>
      <c r="H52"/>
      <c r="I52"/>
      <c r="J52"/>
      <c r="K52"/>
    </row>
    <row r="53">
      <c r="B53" t="s">
        <v>735</v>
      </c>
      <c r="C53" s="150">
        <f>Inputs!$C$28</f>
        <v>16</v>
      </c>
      <c r="D53" s="151">
        <f>$C$48-C53</f>
        <v>0.5</v>
      </c>
      <c r="E53" s="157">
        <f>$C$48/C53-1</f>
        <v>0.03125</v>
      </c>
      <c r="F53"/>
      <c r="G53"/>
      <c r="H53"/>
      <c r="I53"/>
      <c r="J53"/>
      <c r="K53"/>
    </row>
    <row r="54">
      <c r="B54" t="s">
        <v>736</v>
      </c>
      <c r="C54" s="150">
        <f>Inputs!$C$38</f>
        <v>13</v>
      </c>
      <c r="D54"/>
      <c r="E54"/>
      <c r="F54"/>
      <c r="G54"/>
      <c r="H54"/>
      <c r="I54"/>
      <c r="J54"/>
      <c r="K54"/>
    </row>
    <row r="55">
      <c r="B55" t="s">
        <v>737</v>
      </c>
      <c r="C55" s="151">
        <f>C49-C54</f>
        <v>0</v>
      </c>
      <c r="D55"/>
      <c r="E55"/>
      <c r="F55"/>
      <c r="G55"/>
      <c r="H55"/>
      <c r="I55"/>
      <c r="J55"/>
      <c r="K55"/>
    </row>
    <row r="56">
      <c r="B56"/>
      <c r="C56"/>
      <c r="D56"/>
      <c r="E56"/>
      <c r="F56"/>
      <c r="G56"/>
      <c r="H56"/>
      <c r="I56"/>
      <c r="J56"/>
      <c r="K56"/>
    </row>
    <row r="57">
      <c r="B57" t="s" s="5">
        <v>738</v>
      </c>
      <c r="C57" s="5"/>
      <c r="D57" s="5"/>
      <c r="E57" s="5"/>
      <c r="F57" s="5"/>
      <c r="G57" s="5"/>
      <c r="H57" s="5"/>
      <c r="I57" s="5"/>
      <c r="J57" s="5"/>
      <c r="K57" s="5"/>
    </row>
    <row r="58">
      <c r="B58"/>
      <c r="C58"/>
      <c r="D58" t="s" s="158">
        <v>739</v>
      </c>
      <c r="E58" s="158"/>
      <c r="F58" t="s" s="158">
        <v>740</v>
      </c>
      <c r="G58" s="158"/>
      <c r="H58" t="s" s="158">
        <v>741</v>
      </c>
      <c r="I58" s="158"/>
      <c r="J58" t="s" s="158">
        <v>742</v>
      </c>
      <c r="K58" t="s" s="158">
        <v>743</v>
      </c>
    </row>
    <row r="59">
      <c r="B59" t="s">
        <v>744</v>
      </c>
      <c r="C59" s="159">
        <f>C41</f>
        <v>125</v>
      </c>
      <c r="D59" s="160">
        <f>C51</f>
        <v>11.4</v>
      </c>
      <c r="E59" s="161">
        <v>12</v>
      </c>
      <c r="F59" s="160">
        <f>C49</f>
        <v>13</v>
      </c>
      <c r="G59" s="161">
        <v>14</v>
      </c>
      <c r="H59" s="160">
        <f>C50</f>
        <v>14.6</v>
      </c>
      <c r="I59" s="161">
        <v>15</v>
      </c>
      <c r="J59" s="160">
        <f>C53</f>
        <v>16</v>
      </c>
      <c r="K59" s="160">
        <f>C48</f>
        <v>16.5</v>
      </c>
    </row>
    <row r="60">
      <c r="B60" t="s">
        <v>745</v>
      </c>
      <c r="C60" s="146">
        <f>C7</f>
        <v>21</v>
      </c>
      <c r="D60" s="146">
        <f>MAX(0,$C60*D$59+$C$40)</f>
        <v>0</v>
      </c>
      <c r="E60" s="146">
        <f>MAX(0,$C60*E$59+$C$40)</f>
        <v>0</v>
      </c>
      <c r="F60" s="146">
        <f>MAX(0,$C60*F$59+$C$40)</f>
        <v>0</v>
      </c>
      <c r="G60" s="146">
        <f>MAX(0,$C60*G$59+$C$40)</f>
        <v>0</v>
      </c>
      <c r="H60" s="146">
        <f>MAX(0,$C60*H$59+$C$40)</f>
        <v>2.599999999999966</v>
      </c>
      <c r="I60" s="146">
        <f>MAX(0,$C60*I$59+$C$40)</f>
        <v>11</v>
      </c>
      <c r="J60" s="146">
        <f>MAX(0,$C60*J$59+$C$40)</f>
        <v>32</v>
      </c>
      <c r="K60" s="146">
        <f>MAX(0,$C60*K$59+$C$40)</f>
        <v>42.5</v>
      </c>
    </row>
    <row r="61">
      <c r="B61" t="s">
        <v>746</v>
      </c>
      <c r="C61" s="146">
        <f>C9</f>
        <v>33</v>
      </c>
      <c r="D61" s="146">
        <f>MAX(0,$C61*D$59+$C$40)</f>
        <v>72.19999999999999</v>
      </c>
      <c r="E61" s="146">
        <f>MAX(0,$C61*E$59+$C$40)</f>
        <v>92</v>
      </c>
      <c r="F61" s="146">
        <f>MAX(0,$C61*F$59+$C$40)</f>
        <v>125</v>
      </c>
      <c r="G61" s="146">
        <f>MAX(0,$C61*G$59+$C$40)</f>
        <v>158</v>
      </c>
      <c r="H61" s="146">
        <f>MAX(0,$C61*H$59+$C$40)</f>
        <v>177.8</v>
      </c>
      <c r="I61" s="146">
        <f>MAX(0,$C61*I$59+$C$40)</f>
        <v>191</v>
      </c>
      <c r="J61" s="146">
        <f>MAX(0,$C61*J$59+$C$40)</f>
        <v>224</v>
      </c>
      <c r="K61" s="146">
        <f>MAX(0,$C61*K$59+$C$40)</f>
        <v>240.5</v>
      </c>
    </row>
    <row r="62">
      <c r="B62" t="s">
        <v>747</v>
      </c>
      <c r="C62" s="146">
        <f>C11</f>
        <v>36</v>
      </c>
      <c r="D62" s="146">
        <f>MAX(0,$C62*D$59+$C$40)</f>
        <v>106.40000000000003</v>
      </c>
      <c r="E62" s="146">
        <f>MAX(0,$C62*E$59+$C$40)</f>
        <v>128</v>
      </c>
      <c r="F62" s="146">
        <f>MAX(0,$C62*F$59+$C$40)</f>
        <v>164</v>
      </c>
      <c r="G62" s="146">
        <f>MAX(0,$C62*G$59+$C$40)</f>
        <v>200</v>
      </c>
      <c r="H62" s="146">
        <f>MAX(0,$C62*H$59+$C$40)</f>
        <v>221.60000000000002</v>
      </c>
      <c r="I62" s="146">
        <f>MAX(0,$C62*I$59+$C$40)</f>
        <v>236</v>
      </c>
      <c r="J62" s="146">
        <f>MAX(0,$C62*J$59+$C$40)</f>
        <v>272</v>
      </c>
      <c r="K62" s="146">
        <f>MAX(0,$C62*K$59+$C$40)</f>
        <v>290</v>
      </c>
    </row>
    <row r="63">
      <c r="B63"/>
      <c r="C63"/>
      <c r="D63"/>
      <c r="E63"/>
      <c r="F63"/>
      <c r="G63"/>
      <c r="H63"/>
      <c r="I63"/>
      <c r="J63"/>
      <c r="K63"/>
    </row>
    <row r="64">
      <c r="B64" t="s" s="5">
        <v>748</v>
      </c>
      <c r="C64" s="5"/>
      <c r="D64" s="5"/>
      <c r="E64" s="5"/>
      <c r="F64" s="5"/>
      <c r="G64" s="5"/>
      <c r="H64" s="5"/>
      <c r="I64" s="5"/>
      <c r="J64" s="5"/>
      <c r="K64" s="5"/>
    </row>
    <row r="65">
      <c r="B65"/>
      <c r="C65"/>
      <c r="D65" t="s" s="158">
        <v>739</v>
      </c>
      <c r="E65" s="158"/>
      <c r="F65" t="s" s="158">
        <v>740</v>
      </c>
      <c r="G65" s="158"/>
      <c r="H65" t="s" s="158">
        <v>741</v>
      </c>
      <c r="I65" s="158"/>
      <c r="J65" t="s" s="158">
        <v>742</v>
      </c>
      <c r="K65" t="s" s="158">
        <v>743</v>
      </c>
    </row>
    <row r="66">
      <c r="B66" t="s">
        <v>744</v>
      </c>
      <c r="C66" s="159">
        <f>C43</f>
        <v>1.0416666666666667</v>
      </c>
      <c r="D66" s="160">
        <f>D59</f>
        <v>11.4</v>
      </c>
      <c r="E66" s="160">
        <f>E59</f>
        <v>12</v>
      </c>
      <c r="F66" s="160">
        <f>F59</f>
        <v>13</v>
      </c>
      <c r="G66" s="160">
        <f>G59</f>
        <v>14</v>
      </c>
      <c r="H66" s="160">
        <f>H59</f>
        <v>14.6</v>
      </c>
      <c r="I66" s="160">
        <f>I59</f>
        <v>15</v>
      </c>
      <c r="J66" s="160">
        <f>J59</f>
        <v>16</v>
      </c>
      <c r="K66" s="160">
        <f>K59</f>
        <v>16.5</v>
      </c>
    </row>
    <row r="67">
      <c r="B67" t="s">
        <v>745</v>
      </c>
      <c r="C67" s="146">
        <f>C60</f>
        <v>21</v>
      </c>
      <c r="D67" s="162">
        <f>D60/$C$42</f>
        <v>0</v>
      </c>
      <c r="E67" s="162">
        <f>E60/$C$42</f>
        <v>0</v>
      </c>
      <c r="F67" s="162">
        <f>F60/$C$42</f>
        <v>0</v>
      </c>
      <c r="G67" s="162">
        <f>G60/$C$42</f>
        <v>0</v>
      </c>
      <c r="H67" s="162">
        <f>H60/$C$42</f>
        <v>0.021666666666666383</v>
      </c>
      <c r="I67" s="162">
        <f>I60/$C$42</f>
        <v>0.09166666666666666</v>
      </c>
      <c r="J67" s="162">
        <f>J60/$C$42</f>
        <v>0.26666666666666666</v>
      </c>
      <c r="K67" s="162">
        <f>K60/$C$42</f>
        <v>0.3541666666666667</v>
      </c>
    </row>
    <row r="68">
      <c r="B68" t="s">
        <v>746</v>
      </c>
      <c r="C68" s="146">
        <f>C61</f>
        <v>33</v>
      </c>
      <c r="D68" s="162">
        <f>D61/$C$42</f>
        <v>0.6016666666666666</v>
      </c>
      <c r="E68" s="162">
        <f>E61/$C$42</f>
        <v>0.7666666666666667</v>
      </c>
      <c r="F68" s="162">
        <f>F61/$C$42</f>
        <v>1.0416666666666667</v>
      </c>
      <c r="G68" s="162">
        <f>G61/$C$42</f>
        <v>1.3166666666666667</v>
      </c>
      <c r="H68" s="162">
        <f>H61/$C$42</f>
        <v>1.4816666666666667</v>
      </c>
      <c r="I68" s="162">
        <f>I61/$C$42</f>
        <v>1.5916666666666666</v>
      </c>
      <c r="J68" s="162">
        <f>J61/$C$42</f>
        <v>1.8666666666666667</v>
      </c>
      <c r="K68" s="162">
        <f>K61/$C$42</f>
        <v>2.004166666666667</v>
      </c>
    </row>
    <row r="69">
      <c r="B69" t="s">
        <v>747</v>
      </c>
      <c r="C69" s="146">
        <f>C62</f>
        <v>36</v>
      </c>
      <c r="D69" s="162">
        <f>D62/$C$42</f>
        <v>0.8866666666666669</v>
      </c>
      <c r="E69" s="162">
        <f>E62/$C$42</f>
        <v>1.0666666666666667</v>
      </c>
      <c r="F69" s="162">
        <f>F62/$C$42</f>
        <v>1.3666666666666667</v>
      </c>
      <c r="G69" s="162">
        <f>G62/$C$42</f>
        <v>1.6666666666666667</v>
      </c>
      <c r="H69" s="162">
        <f>H62/$C$42</f>
        <v>1.846666666666667</v>
      </c>
      <c r="I69" s="162">
        <f>I62/$C$42</f>
        <v>1.9666666666666666</v>
      </c>
      <c r="J69" s="162">
        <f>J62/$C$42</f>
        <v>2.2666666666666666</v>
      </c>
      <c r="K69" s="162">
        <f>K62/$C$42</f>
        <v>2.4166666666666665</v>
      </c>
    </row>
    <row r="70">
      <c r="B70"/>
      <c r="C70"/>
      <c r="D70"/>
      <c r="E70"/>
      <c r="F70"/>
      <c r="G70"/>
      <c r="H70"/>
      <c r="I70"/>
      <c r="J70"/>
      <c r="K70"/>
    </row>
    <row r="71">
      <c r="B71" t="str" s="163">
        <f>"&lt;&lt; Equity floored at zero where enterprise value is below net debt; on organic EBITDA, equity is zero below "&amp;TEXT(Inputs!$C$23/Inputs!$C$16,"0.0x")&amp;" (net debt / organic EBITDA)."</f>
        <v>&lt;&lt; Equity floored at zero where enterprise value is below net debt; on organic EBITDA, equity is zero below 14.5x (net debt / organic EBITDA).</v>
      </c>
      <c r="C71"/>
      <c r="D71"/>
      <c r="E71"/>
      <c r="F71"/>
      <c r="G71"/>
      <c r="H71"/>
      <c r="I71"/>
      <c r="J71"/>
      <c r="K71"/>
    </row>
    <row r="72">
      <c r="G72" s="2"/>
    </row>
    <row r="73">
      <c r="G73" s="2"/>
    </row>
    <row r="74" ht="18" customHeight="1">
      <c r="B74" t="s" s="1">
        <v>749</v>
      </c>
      <c r="C74"/>
      <c r="D74"/>
      <c r="E74"/>
      <c r="F74"/>
      <c r="G74"/>
      <c r="H74"/>
    </row>
    <row r="75">
      <c r="B75" t="s" s="2">
        <v>750</v>
      </c>
      <c r="C75"/>
      <c r="D75"/>
      <c r="E75"/>
      <c r="F75"/>
      <c r="G75"/>
      <c r="H75"/>
    </row>
    <row r="76">
      <c r="B76"/>
      <c r="C76"/>
      <c r="D76"/>
      <c r="E76"/>
      <c r="F76"/>
      <c r="G76"/>
      <c r="H76"/>
    </row>
    <row r="77">
      <c r="B77" t="s" s="5">
        <v>751</v>
      </c>
      <c r="C77" s="5"/>
      <c r="D77" s="5"/>
      <c r="E77" s="5"/>
      <c r="F77" s="5"/>
      <c r="G77" s="5"/>
      <c r="H77" s="5"/>
    </row>
    <row r="78">
      <c r="B78"/>
      <c r="C78" t="s" s="144">
        <v>720</v>
      </c>
      <c r="D78" t="s" s="144">
        <v>719</v>
      </c>
      <c r="E78" t="s" s="144">
        <v>721</v>
      </c>
      <c r="F78" t="s" s="144">
        <v>752</v>
      </c>
      <c r="G78" t="s" s="144">
        <v>753</v>
      </c>
      <c r="H78" t="s">
        <v>690</v>
      </c>
    </row>
    <row r="79">
      <c r="B79" t="s">
        <v>705</v>
      </c>
      <c r="C79" s="146">
        <f>C15</f>
        <v>290</v>
      </c>
      <c r="D79" s="146">
        <f>C41</f>
        <v>125</v>
      </c>
      <c r="E79" s="146">
        <f>D79-C79</f>
        <v>-165</v>
      </c>
      <c r="F79" s="146"/>
      <c r="G79" s="146"/>
      <c r="H79" s="2"/>
    </row>
    <row r="80">
      <c r="B80" t="s">
        <v>754</v>
      </c>
      <c r="C80" s="145">
        <f>Inputs!$C$51-C79</f>
        <v>1270</v>
      </c>
      <c r="D80" s="146">
        <f>C80</f>
        <v>1270</v>
      </c>
      <c r="E80" s="146">
        <f>D80-C80</f>
        <v>0</v>
      </c>
      <c r="F80" s="146"/>
      <c r="G80" s="146"/>
      <c r="H80" s="2"/>
    </row>
    <row r="81">
      <c r="B81" t="s">
        <v>545</v>
      </c>
      <c r="C81" s="146">
        <f>C79+C80</f>
        <v>1560</v>
      </c>
      <c r="D81" s="146">
        <f>D79+D80</f>
        <v>1395</v>
      </c>
      <c r="E81" s="146">
        <f>D81-C81</f>
        <v>-165</v>
      </c>
      <c r="F81" s="145">
        <f>Inputs!$C$51</f>
        <v>1560</v>
      </c>
      <c r="G81" s="146">
        <f>C81-F81</f>
        <v>0</v>
      </c>
      <c r="H81" s="2"/>
    </row>
    <row r="82">
      <c r="B82" t="s">
        <v>544</v>
      </c>
      <c r="C82" s="145">
        <f>Inputs!$C$50</f>
        <v>160</v>
      </c>
      <c r="D82" s="146">
        <f>C82</f>
        <v>160</v>
      </c>
      <c r="E82" s="146">
        <f>D82-C82</f>
        <v>0</v>
      </c>
      <c r="F82" s="146"/>
      <c r="G82" s="146"/>
      <c r="H82" s="2"/>
    </row>
    <row r="83">
      <c r="B83" t="s" s="147">
        <v>755</v>
      </c>
      <c r="C83" s="148">
        <f>C81+C82</f>
        <v>1720</v>
      </c>
      <c r="D83" s="148">
        <f>D81+D82</f>
        <v>1555</v>
      </c>
      <c r="E83" s="148">
        <f>D83-C83</f>
        <v>-165</v>
      </c>
      <c r="F83" s="148"/>
      <c r="G83" s="148"/>
      <c r="H83" s="2"/>
    </row>
    <row r="84">
      <c r="B84" t="s">
        <v>9</v>
      </c>
      <c r="C84" s="145">
        <f>Inputs!$C$49</f>
        <v>940</v>
      </c>
      <c r="D84" s="146">
        <f>C84</f>
        <v>940</v>
      </c>
      <c r="E84" s="146">
        <f>D84-C84</f>
        <v>0</v>
      </c>
      <c r="F84" s="146"/>
      <c r="G84" s="146"/>
      <c r="H84" s="2"/>
    </row>
    <row r="85">
      <c r="B85" t="s" s="147">
        <v>477</v>
      </c>
      <c r="C85" s="152">
        <f>C83/C84</f>
        <v>1.8297872340425532</v>
      </c>
      <c r="D85" s="152">
        <f>D83/D84</f>
        <v>1.6542553191489362</v>
      </c>
      <c r="E85" s="152">
        <f>D85-C85</f>
        <v>-0.17553191489361697</v>
      </c>
      <c r="F85" s="153">
        <f>Inputs!$C$52</f>
        <v>1.83</v>
      </c>
      <c r="G85" s="152">
        <f>C85-F85</f>
        <v>-0.0002127659574469032</v>
      </c>
      <c r="H85" s="2"/>
    </row>
    <row r="86">
      <c r="B86"/>
      <c r="C86"/>
      <c r="D86"/>
      <c r="E86"/>
      <c r="F86"/>
      <c r="G86"/>
      <c r="H86" s="2"/>
    </row>
    <row r="87">
      <c r="B87" t="s" s="5">
        <v>756</v>
      </c>
      <c r="C87" s="5"/>
      <c r="D87" s="5"/>
      <c r="E87" s="5"/>
      <c r="F87" s="5"/>
      <c r="G87" s="5"/>
      <c r="H87" s="154"/>
    </row>
    <row r="88">
      <c r="B88"/>
      <c r="C88" t="s" s="144">
        <v>720</v>
      </c>
      <c r="D88" t="s" s="144">
        <v>719</v>
      </c>
      <c r="E88" t="s" s="144">
        <v>721</v>
      </c>
      <c r="F88" t="s" s="144">
        <v>752</v>
      </c>
      <c r="G88" t="s" s="144">
        <v>753</v>
      </c>
      <c r="H88" s="2"/>
    </row>
    <row r="89">
      <c r="B89" t="s">
        <v>757</v>
      </c>
      <c r="C89" s="145">
        <f>Inputs!$C$53</f>
        <v>1100.460882191781</v>
      </c>
      <c r="D89" s="146">
        <f>C89</f>
        <v>1100.460882191781</v>
      </c>
      <c r="E89" s="146">
        <f>D89-C89</f>
        <v>0</v>
      </c>
      <c r="F89" s="146"/>
      <c r="G89" s="146"/>
      <c r="H89" s="2"/>
    </row>
    <row r="90">
      <c r="B90" t="s">
        <v>14</v>
      </c>
      <c r="C90" s="145">
        <f>Inputs!$C$54</f>
        <v>160</v>
      </c>
      <c r="D90" s="146">
        <f>C90</f>
        <v>160</v>
      </c>
      <c r="E90" s="146">
        <f>D90-C90</f>
        <v>0</v>
      </c>
      <c r="F90" s="146"/>
      <c r="G90" s="146"/>
      <c r="H90" s="2"/>
    </row>
    <row r="91">
      <c r="B91" t="s">
        <v>758</v>
      </c>
      <c r="C91" s="145">
        <f>Inputs!$C$55+Inputs!$C$59</f>
        <v>1534.0891164383559</v>
      </c>
      <c r="D91" s="146">
        <f>C91+E79</f>
        <v>1369.0891164383559</v>
      </c>
      <c r="E91" s="146">
        <f>D91-C91</f>
        <v>-165</v>
      </c>
      <c r="F91" s="146"/>
      <c r="G91" s="146"/>
      <c r="H91" t="s" s="2">
        <v>759</v>
      </c>
    </row>
    <row r="92">
      <c r="B92" t="s">
        <v>760</v>
      </c>
      <c r="C92" s="146">
        <f>C90+C91-C89</f>
        <v>593.628234246575</v>
      </c>
      <c r="D92" s="146">
        <f>D90+D91-D89</f>
        <v>428.62823424657495</v>
      </c>
      <c r="E92" s="146">
        <f>D92-C92</f>
        <v>-165</v>
      </c>
      <c r="F92" s="146"/>
      <c r="G92" s="146"/>
      <c r="H92" s="2"/>
    </row>
    <row r="93">
      <c r="B93" t="s">
        <v>761</v>
      </c>
      <c r="C93" s="146">
        <f>$C$130</f>
        <v>244.57238087613473</v>
      </c>
      <c r="D93" s="146">
        <f>$C$130</f>
        <v>244.57238087613473</v>
      </c>
      <c r="E93" s="146">
        <f>D93-C93</f>
        <v>0</v>
      </c>
      <c r="F93" s="146"/>
      <c r="G93" s="146"/>
      <c r="H93" s="2"/>
    </row>
    <row r="94">
      <c r="B94" t="s">
        <v>762</v>
      </c>
      <c r="C94" s="145">
        <f>MIN(Inputs!$C$68*C92,MAX(0,Inputs!$C$70*(C92-C93)))</f>
        <v>118.725646849315</v>
      </c>
      <c r="D94" s="145">
        <f>MIN(Inputs!$C$68*D92,MAX(0,Inputs!$C$70*(D92-D93)))</f>
        <v>85.725646849315</v>
      </c>
      <c r="E94" s="146">
        <f>D94-C94</f>
        <v>-33</v>
      </c>
      <c r="F94" s="145">
        <f>Inputs!$C$59</f>
        <v>118.725646849315</v>
      </c>
      <c r="G94" s="146">
        <f>C94-F94</f>
        <v>0</v>
      </c>
      <c r="H94" t="s" s="2">
        <v>763</v>
      </c>
    </row>
    <row r="95">
      <c r="B95" t="s" s="147">
        <v>764</v>
      </c>
      <c r="C95" s="148">
        <f>C91-C94</f>
        <v>1415.363469589041</v>
      </c>
      <c r="D95" s="148">
        <f>D91-D94</f>
        <v>1283.363469589041</v>
      </c>
      <c r="E95" s="148">
        <f>D95-C95</f>
        <v>-132</v>
      </c>
      <c r="F95" s="149">
        <f>Inputs!$C$55</f>
        <v>1415.363469589041</v>
      </c>
      <c r="G95" s="148">
        <f>C95-F95</f>
        <v>0</v>
      </c>
      <c r="H95" t="s" s="2">
        <v>765</v>
      </c>
    </row>
    <row r="96">
      <c r="B96" t="s">
        <v>766</v>
      </c>
      <c r="C96" s="146"/>
      <c r="D96" s="146"/>
      <c r="E96" s="146">
        <f>E79</f>
        <v>-165</v>
      </c>
      <c r="F96" s="146"/>
      <c r="G96" s="146"/>
      <c r="H96" s="2"/>
    </row>
    <row r="97">
      <c r="B97" t="s">
        <v>767</v>
      </c>
      <c r="C97" s="146"/>
      <c r="D97" s="146"/>
      <c r="E97" s="146">
        <f>-E94</f>
        <v>33</v>
      </c>
      <c r="F97" s="146"/>
      <c r="G97" s="146"/>
      <c r="H97" s="2"/>
    </row>
    <row r="98">
      <c r="B98" t="s" s="147">
        <v>768</v>
      </c>
      <c r="C98" s="148"/>
      <c r="D98" s="148"/>
      <c r="E98" s="148">
        <f>E96+E97</f>
        <v>-132</v>
      </c>
      <c r="F98" s="148"/>
      <c r="G98" s="148"/>
      <c r="H98" s="2"/>
    </row>
    <row r="99">
      <c r="B99" t="s">
        <v>769</v>
      </c>
      <c r="C99" s="162">
        <f>(C90+C95)/C89</f>
        <v>1.431548812940447</v>
      </c>
      <c r="D99" s="162">
        <f>(D90+D95)/D89</f>
        <v>1.3115990699408626</v>
      </c>
      <c r="E99" s="162">
        <f>D99-C99</f>
        <v>-0.11994974299958439</v>
      </c>
      <c r="F99" s="164">
        <f>Inputs!$C$56</f>
        <v>1.43</v>
      </c>
      <c r="G99" s="162">
        <f>C99-F99</f>
        <v>0.001548812940447064</v>
      </c>
      <c r="H99" s="2"/>
    </row>
    <row r="100">
      <c r="B100" t="s">
        <v>770</v>
      </c>
      <c r="C100" s="162">
        <f>C95/C89</f>
        <v>1.2861551850621629</v>
      </c>
      <c r="D100" s="162">
        <f>D95/D89</f>
        <v>1.1662054420625785</v>
      </c>
      <c r="E100" s="162">
        <f>D100-C100</f>
        <v>-0.11994974299958439</v>
      </c>
      <c r="F100" s="164">
        <f>Inputs!$C$57</f>
        <v>1.29</v>
      </c>
      <c r="G100" s="162">
        <f>C100-F100</f>
        <v>-0.003844814937837171</v>
      </c>
      <c r="H100" s="2"/>
    </row>
    <row r="101">
      <c r="B101" t="s">
        <v>771</v>
      </c>
      <c r="C101" s="162">
        <f>C90/C89</f>
        <v>0.14539362787828408</v>
      </c>
      <c r="D101" s="162">
        <f>D90/D89</f>
        <v>0.14539362787828408</v>
      </c>
      <c r="E101" s="162">
        <f>D101-C101</f>
        <v>0</v>
      </c>
      <c r="F101" s="162"/>
      <c r="G101" s="162"/>
      <c r="H101" s="2"/>
    </row>
    <row r="102">
      <c r="B102" t="s">
        <v>772</v>
      </c>
      <c r="C102" s="157">
        <f>XIRR(C107:C126,$B$107:$B$126)</f>
        <v>0.14515922665596012</v>
      </c>
      <c r="D102" s="157">
        <f>XIRR(D107:D126,$B$107:$B$126)</f>
        <v>0.10883719325065613</v>
      </c>
      <c r="E102" s="157">
        <f>D102-C102</f>
        <v>-0.03632203340530399</v>
      </c>
      <c r="F102" s="165">
        <f>Inputs!$C$58</f>
        <v>0.1451592235623492</v>
      </c>
      <c r="G102" s="157">
        <f>C102-F102</f>
        <v>0.0000000030936109229884323</v>
      </c>
      <c r="H102" t="s" s="2">
        <v>773</v>
      </c>
    </row>
    <row r="103">
      <c r="B103"/>
      <c r="C103"/>
      <c r="D103"/>
      <c r="E103"/>
      <c r="F103"/>
      <c r="G103"/>
      <c r="H103" s="2"/>
    </row>
    <row r="104">
      <c r="B104" t="s" s="5">
        <v>774</v>
      </c>
      <c r="C104" s="5"/>
      <c r="D104" s="5"/>
      <c r="E104" s="5"/>
      <c r="F104" s="5"/>
      <c r="G104" s="5"/>
      <c r="H104" s="154"/>
    </row>
    <row r="105">
      <c r="B105" t="s" s="100">
        <v>180</v>
      </c>
      <c r="C105" t="s" s="144">
        <v>743</v>
      </c>
      <c r="D105" t="s" s="144">
        <v>719</v>
      </c>
      <c r="E105" t="s" s="144">
        <v>775</v>
      </c>
      <c r="F105" t="s" s="144">
        <v>776</v>
      </c>
      <c r="G105" t="s" s="144">
        <v>296</v>
      </c>
      <c r="H105" s="2"/>
    </row>
    <row r="106">
      <c r="B106"/>
      <c r="C106"/>
      <c r="D106"/>
      <c r="E106"/>
      <c r="F106"/>
      <c r="G106"/>
      <c r="H106" s="2"/>
    </row>
    <row r="107">
      <c r="B107" s="166">
        <f>Inputs!$D$79</f>
        <v>44646</v>
      </c>
      <c r="C107" s="145">
        <f>Inputs!$C$79</f>
        <v>-6.628253424657534</v>
      </c>
      <c r="D107" s="146">
        <f>C107</f>
        <v>-6.628253424657534</v>
      </c>
      <c r="E107" s="167">
        <f>YEARFRAC(B107,$B$126,3)</f>
        <v>4.265753424657534</v>
      </c>
      <c r="F107" s="145">
        <f>-C107*(1+Inputs!$C$69)^E107</f>
        <v>9.20399987957682</v>
      </c>
      <c r="G107" t="str" s="168">
        <f>Inputs!$B$79</f>
        <v>Capital call</v>
      </c>
      <c r="H107" s="2"/>
    </row>
    <row r="108">
      <c r="B108" s="166">
        <f>Inputs!$D$80</f>
        <v>44737</v>
      </c>
      <c r="C108" s="145">
        <f>Inputs!$C$80</f>
        <v>-128.6034863013699</v>
      </c>
      <c r="D108" s="146">
        <f>C108</f>
        <v>-128.6034863013699</v>
      </c>
      <c r="E108" s="167">
        <f>YEARFRAC(B108,$B$126,3)</f>
        <v>4.016438356164383</v>
      </c>
      <c r="F108" s="145">
        <f>-C108*(1+Inputs!$C$69)^E108</f>
        <v>175.1851121604568</v>
      </c>
      <c r="G108" t="str" s="168">
        <f>Inputs!$B$80</f>
        <v>Capital call</v>
      </c>
      <c r="H108" s="2"/>
    </row>
    <row r="109">
      <c r="B109" s="166">
        <f>Inputs!$D$81</f>
        <v>44829</v>
      </c>
      <c r="C109" s="145">
        <f>Inputs!$C$81</f>
        <v>-108.2742808219178</v>
      </c>
      <c r="D109" s="146">
        <f>C109</f>
        <v>-108.2742808219178</v>
      </c>
      <c r="E109" s="167">
        <f>YEARFRAC(B109,$B$126,3)</f>
        <v>3.7643835616438355</v>
      </c>
      <c r="F109" s="145">
        <f>-C109*(1+Inputs!$C$69)^E109</f>
        <v>144.6588950410706</v>
      </c>
      <c r="G109" t="str" s="168">
        <f>Inputs!$B$81</f>
        <v>Capital call</v>
      </c>
      <c r="H109" s="2"/>
    </row>
    <row r="110">
      <c r="B110" s="166">
        <f>Inputs!$D$82</f>
        <v>44921</v>
      </c>
      <c r="C110" s="145">
        <f>Inputs!$C$82</f>
        <v>-6.628253424657534</v>
      </c>
      <c r="D110" s="146">
        <f>C110</f>
        <v>-6.628253424657534</v>
      </c>
      <c r="E110" s="167">
        <f>YEARFRAC(B110,$B$126,3)</f>
        <v>3.5123287671232877</v>
      </c>
      <c r="F110" s="145">
        <f>-C110*(1+Inputs!$C$69)^E110</f>
        <v>8.685489963632824</v>
      </c>
      <c r="G110" t="str" s="168">
        <f>Inputs!$B$82</f>
        <v>Capital call</v>
      </c>
      <c r="H110" s="2"/>
    </row>
    <row r="111">
      <c r="B111" s="166">
        <f>Inputs!$D$83</f>
        <v>45011</v>
      </c>
      <c r="C111" s="145">
        <f>Inputs!$C$83</f>
        <v>-118.4388835616438</v>
      </c>
      <c r="D111" s="146">
        <f>C111</f>
        <v>-118.4388835616438</v>
      </c>
      <c r="E111" s="167">
        <f>YEARFRAC(B111,$B$126,3)</f>
        <v>3.265753424657534</v>
      </c>
      <c r="F111" s="145">
        <f>-C111*(1+Inputs!$C$69)^E111</f>
        <v>152.28181657977242</v>
      </c>
      <c r="G111" t="str" s="168">
        <f>Inputs!$B$83</f>
        <v>Capital call</v>
      </c>
      <c r="H111" s="2"/>
    </row>
    <row r="112">
      <c r="B112" s="166">
        <f>Inputs!$D$84</f>
        <v>45102</v>
      </c>
      <c r="C112" s="145">
        <f>Inputs!$C$84</f>
        <v>-113.3565821917808</v>
      </c>
      <c r="D112" s="146">
        <f>C112</f>
        <v>-113.3565821917808</v>
      </c>
      <c r="E112" s="167">
        <f>YEARFRAC(B112,$B$126,3)</f>
        <v>3.0164383561643837</v>
      </c>
      <c r="F112" s="145">
        <f>-C112*(1+Inputs!$C$69)^E112</f>
        <v>142.97741508299092</v>
      </c>
      <c r="G112" t="str" s="168">
        <f>Inputs!$B$84</f>
        <v>Capital call</v>
      </c>
      <c r="H112" s="2"/>
    </row>
    <row r="113">
      <c r="B113" s="166">
        <f>Inputs!$D$85</f>
        <v>45194</v>
      </c>
      <c r="C113" s="145">
        <f>Inputs!$C$85</f>
        <v>-107.6617924657534</v>
      </c>
      <c r="D113" s="146">
        <f>C113</f>
        <v>-107.6617924657534</v>
      </c>
      <c r="E113" s="167">
        <f>YEARFRAC(B113,$B$126,3)</f>
        <v>2.7643835616438355</v>
      </c>
      <c r="F113" s="145">
        <f>-C113*(1+Inputs!$C$69)^E113</f>
        <v>133.18572721408353</v>
      </c>
      <c r="G113" t="str" s="168">
        <f>Inputs!$B$85</f>
        <v>Capital call</v>
      </c>
      <c r="H113" s="2"/>
    </row>
    <row r="114">
      <c r="B114" s="166">
        <f>Inputs!$D$86</f>
        <v>45286</v>
      </c>
      <c r="C114" s="145">
        <f>Inputs!$C$86</f>
        <v>-128.8715678082192</v>
      </c>
      <c r="D114" s="146">
        <f>C114</f>
        <v>-128.8715678082192</v>
      </c>
      <c r="E114" s="167">
        <f>YEARFRAC(B114,$B$126,3)</f>
        <v>2.5123287671232877</v>
      </c>
      <c r="F114" s="145">
        <f>-C114*(1+Inputs!$C$69)^E114</f>
        <v>156.36104866434886</v>
      </c>
      <c r="G114" t="str" s="168">
        <f>Inputs!$B$86</f>
        <v>Capital call</v>
      </c>
      <c r="H114" s="2"/>
    </row>
    <row r="115">
      <c r="B115" s="166">
        <f>Inputs!$D$87</f>
        <v>45376</v>
      </c>
      <c r="C115" s="145">
        <f>Inputs!$C$87</f>
        <v>-123.5691239726027</v>
      </c>
      <c r="D115" s="146">
        <f>C115</f>
        <v>-123.5691239726027</v>
      </c>
      <c r="E115" s="167">
        <f>YEARFRAC(B115,$B$126,3)</f>
        <v>2.265753424657534</v>
      </c>
      <c r="F115" s="145">
        <f>-C115*(1+Inputs!$C$69)^E115</f>
        <v>147.10924150680128</v>
      </c>
      <c r="G115" t="str" s="168">
        <f>Inputs!$B$87</f>
        <v>Capital call</v>
      </c>
      <c r="H115" s="2"/>
    </row>
    <row r="116">
      <c r="B116" s="166">
        <f>Inputs!$D$88</f>
        <v>45467</v>
      </c>
      <c r="C116" s="145">
        <f>Inputs!$C$88</f>
        <v>-6.915359589041095</v>
      </c>
      <c r="D116" s="146">
        <f>C116</f>
        <v>-6.915359589041095</v>
      </c>
      <c r="E116" s="167">
        <f>YEARFRAC(B116,$B$126,3)</f>
        <v>2.0164383561643837</v>
      </c>
      <c r="F116" s="145">
        <f>-C116*(1+Inputs!$C$69)^E116</f>
        <v>8.076286379220207</v>
      </c>
      <c r="G116" t="str" s="168">
        <f>Inputs!$B$88</f>
        <v>Capital call</v>
      </c>
      <c r="H116" s="2"/>
    </row>
    <row r="117">
      <c r="B117" s="166">
        <f>Inputs!$D$89</f>
        <v>45559</v>
      </c>
      <c r="C117" s="145">
        <f>Inputs!$C$89</f>
        <v>-112.9642363013699</v>
      </c>
      <c r="D117" s="146">
        <f>C117</f>
        <v>-112.9642363013699</v>
      </c>
      <c r="E117" s="167">
        <f>YEARFRAC(B117,$B$126,3)</f>
        <v>1.7643835616438357</v>
      </c>
      <c r="F117" s="145">
        <f>-C117*(1+Inputs!$C$69)^E117</f>
        <v>129.3937487736519</v>
      </c>
      <c r="G117" t="str" s="168">
        <f>Inputs!$B$89</f>
        <v>Capital call</v>
      </c>
      <c r="H117" s="2"/>
    </row>
    <row r="118">
      <c r="B118" s="166">
        <f>Inputs!$D$90</f>
        <v>45651</v>
      </c>
      <c r="C118" s="145">
        <f>Inputs!$C$90</f>
        <v>-6.915359589041095</v>
      </c>
      <c r="D118" s="146">
        <f>C118</f>
        <v>-6.915359589041095</v>
      </c>
      <c r="E118" s="167">
        <f>YEARFRAC(B118,$B$126,3)</f>
        <v>1.5123287671232877</v>
      </c>
      <c r="F118" s="145">
        <f>-C118*(1+Inputs!$C$69)^E118</f>
        <v>7.768952652453931</v>
      </c>
      <c r="G118" t="str" s="168">
        <f>Inputs!$B$90</f>
        <v>Capital call</v>
      </c>
      <c r="H118" s="2"/>
    </row>
    <row r="119">
      <c r="B119" s="166">
        <f>Inputs!$D$91</f>
        <v>45742</v>
      </c>
      <c r="C119" s="145">
        <f>Inputs!$C$91</f>
        <v>-97.05690479452055</v>
      </c>
      <c r="D119" s="146">
        <f>C119</f>
        <v>-97.05690479452055</v>
      </c>
      <c r="E119" s="167">
        <f>YEARFRAC(B119,$B$126,3)</f>
        <v>1.263013698630137</v>
      </c>
      <c r="F119" s="145">
        <f>-C119*(1+Inputs!$C$69)^E119</f>
        <v>106.96485291538222</v>
      </c>
      <c r="G119" t="str" s="168">
        <f>Inputs!$B$91</f>
        <v>Capital call</v>
      </c>
      <c r="H119" s="2"/>
    </row>
    <row r="120">
      <c r="B120" s="166">
        <f>Inputs!$D$92</f>
        <v>45833</v>
      </c>
      <c r="C120" s="145">
        <f>Inputs!$C$92</f>
        <v>-6.915359589041095</v>
      </c>
      <c r="D120" s="146">
        <f>C120</f>
        <v>-6.915359589041095</v>
      </c>
      <c r="E120" s="167">
        <f>YEARFRAC(B120,$B$126,3)</f>
        <v>1.0136986301369864</v>
      </c>
      <c r="F120" s="145">
        <f>-C120*(1+Inputs!$C$69)^E120</f>
        <v>7.476466348379213</v>
      </c>
      <c r="G120" t="str" s="168">
        <f>Inputs!$B$92</f>
        <v>Capital call</v>
      </c>
      <c r="H120" s="2"/>
    </row>
    <row r="121">
      <c r="B121" s="166">
        <f>Inputs!$D$93</f>
        <v>45838</v>
      </c>
      <c r="C121" s="145">
        <f>Inputs!$C$93</f>
        <v>160</v>
      </c>
      <c r="D121" s="146">
        <f>C121</f>
        <v>160</v>
      </c>
      <c r="E121" s="167">
        <f>YEARFRAC(B121,$B$126,3)</f>
        <v>1</v>
      </c>
      <c r="F121" s="145">
        <f>-C121*(1+Inputs!$C$69)^E121</f>
        <v>-172.8</v>
      </c>
      <c r="G121" t="str" s="168">
        <f>Inputs!$B$93</f>
        <v>Cash distribution</v>
      </c>
      <c r="H121" s="2"/>
    </row>
    <row r="122">
      <c r="B122" s="166">
        <f>Inputs!$D$94</f>
        <v>45925</v>
      </c>
      <c r="C122" s="145">
        <f>Inputs!$C$94</f>
        <v>-6.915359589041095</v>
      </c>
      <c r="D122" s="146">
        <f>C122</f>
        <v>-6.915359589041095</v>
      </c>
      <c r="E122" s="167">
        <f>YEARFRAC(B122,$B$126,3)</f>
        <v>0.7616438356164383</v>
      </c>
      <c r="F122" s="145">
        <f>-C122*(1+Inputs!$C$69)^E122</f>
        <v>7.332832505372744</v>
      </c>
      <c r="G122" t="str" s="168">
        <f>Inputs!$B$94</f>
        <v>Capital call</v>
      </c>
      <c r="H122" s="2"/>
    </row>
    <row r="123">
      <c r="B123" s="166">
        <f>Inputs!$D$95</f>
        <v>46017</v>
      </c>
      <c r="C123" s="145">
        <f>Inputs!$C$95</f>
        <v>-6.915359589041095</v>
      </c>
      <c r="D123" s="146">
        <f>C123</f>
        <v>-6.915359589041095</v>
      </c>
      <c r="E123" s="167">
        <f>YEARFRAC(B123,$B$126,3)</f>
        <v>0.5095890410958904</v>
      </c>
      <c r="F123" s="145">
        <f>-C123*(1+Inputs!$C$69)^E123</f>
        <v>7.191958078365156</v>
      </c>
      <c r="G123" t="str" s="168">
        <f>Inputs!$B$95</f>
        <v>Capital call</v>
      </c>
      <c r="H123" s="2"/>
    </row>
    <row r="124">
      <c r="B124" s="166">
        <f>Inputs!$D$96</f>
        <v>46107</v>
      </c>
      <c r="C124" s="145">
        <f>Inputs!$C$96</f>
        <v>-6.915359589041095</v>
      </c>
      <c r="D124" s="146">
        <f>C124</f>
        <v>-6.915359589041095</v>
      </c>
      <c r="E124" s="167">
        <f>YEARFRAC(B124,$B$126,3)</f>
        <v>0.26301369863013696</v>
      </c>
      <c r="F124" s="145">
        <f>-C124*(1+Inputs!$C$69)^E124</f>
        <v>7.056765296079356</v>
      </c>
      <c r="G124" t="str" s="168">
        <f>Inputs!$B$96</f>
        <v>Capital call</v>
      </c>
      <c r="H124" s="2"/>
    </row>
    <row r="125">
      <c r="B125" s="166">
        <f>Inputs!$D$97</f>
        <v>46198</v>
      </c>
      <c r="C125" s="145">
        <f>Inputs!$C$97</f>
        <v>-6.915359589041095</v>
      </c>
      <c r="D125" s="146">
        <f>C125</f>
        <v>-6.915359589041095</v>
      </c>
      <c r="E125" s="167">
        <f>YEARFRAC(B125,$B$126,3)</f>
        <v>0.0136986301369863</v>
      </c>
      <c r="F125" s="145">
        <f>-C125*(1+Inputs!$C$69)^E125</f>
        <v>6.9226540262770495</v>
      </c>
      <c r="G125" t="str" s="168">
        <f>Inputs!$B$97</f>
        <v>Capital call</v>
      </c>
      <c r="H125" s="2"/>
    </row>
    <row r="126">
      <c r="B126" s="166">
        <f>Inputs!$D$98</f>
        <v>46203</v>
      </c>
      <c r="C126" s="146">
        <f>C95</f>
        <v>1415.363469589041</v>
      </c>
      <c r="D126" s="146">
        <f>D95</f>
        <v>1283.363469589041</v>
      </c>
      <c r="E126"/>
      <c r="F126"/>
      <c r="G126" t="str" s="168">
        <f>Inputs!$B$98</f>
        <v>NAV after accrued carried interest</v>
      </c>
      <c r="H126" s="2"/>
    </row>
    <row r="127">
      <c r="B127"/>
      <c r="C127"/>
      <c r="D127"/>
      <c r="E127"/>
      <c r="F127"/>
      <c r="G127"/>
      <c r="H127" s="2"/>
    </row>
    <row r="128">
      <c r="B128" t="s">
        <v>777</v>
      </c>
      <c r="C128" s="146">
        <f>SUM(F107:F125)</f>
        <v>1185.0332630679159</v>
      </c>
      <c r="D128"/>
      <c r="E128"/>
      <c r="F128"/>
      <c r="G128"/>
      <c r="H128" s="2"/>
    </row>
    <row r="129">
      <c r="B129" t="s">
        <v>778</v>
      </c>
      <c r="C129" s="146">
        <f>SUM(C107:C125)</f>
        <v>-940.4608821917811</v>
      </c>
      <c r="D129"/>
      <c r="E129"/>
      <c r="F129"/>
      <c r="G129"/>
      <c r="H129" s="2"/>
    </row>
    <row r="130">
      <c r="B130" t="s" s="147">
        <v>779</v>
      </c>
      <c r="C130" s="148">
        <f>C128+C129</f>
        <v>244.57238087613473</v>
      </c>
      <c r="D130"/>
      <c r="E130"/>
      <c r="F130"/>
      <c r="G130"/>
      <c r="H130" s="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9"/>
  <sheetViews>
    <sheetView showGridLines="0" workbookViewId="0">
      <pane xSplit="2" ySplit="5" topLeftCell="C6" activePane="bottomRight" state="frozen"/>
      <selection pane="topRight" activeCell="C1" sqref="C1"/>
      <selection pane="bottomLeft" activeCell="A6" sqref="A6"/>
      <selection pane="bottomRight" activeCell="A1" sqref="A1"/>
    </sheetView>
  </sheetViews>
  <cols>
    <col min="1" max="1" width="2.21875" customWidth="1"/>
    <col min="2" max="2" width="26.64453125" customWidth="1"/>
    <col min="3" max="3" width="36.07421875" customWidth="1"/>
    <col min="4" max="5" width="23.7890625" customWidth="1"/>
    <col min="6" max="6" width="72.359375" customWidth="1"/>
    <col min="7" max="7" width="18.07421875" customWidth="1"/>
    <col min="8" max="8" width="45.64453125" customWidth="1"/>
    <col min="9" max="9" width="28.50390625" customWidth="1"/>
  </cols>
  <sheetData>
    <row r="2">
      <c r="B2" t="s" s="1">
        <v>950</v>
      </c>
    </row>
    <row r="3">
      <c r="B3" t="s" s="178">
        <v>951</v>
      </c>
      <c r="C3" s="179"/>
      <c r="D3" s="179"/>
      <c r="E3" s="179"/>
      <c r="F3" s="179"/>
      <c r="G3" s="179"/>
      <c r="H3" s="179"/>
      <c r="I3" s="179"/>
    </row>
    <row r="5" ht="20" customHeight="1">
      <c r="B5" t="s" s="180">
        <v>952</v>
      </c>
      <c r="C5" t="s" s="180">
        <v>953</v>
      </c>
      <c r="D5" t="s" s="180">
        <v>954</v>
      </c>
      <c r="E5" t="s" s="180">
        <v>955</v>
      </c>
      <c r="F5" t="s" s="180">
        <v>956</v>
      </c>
      <c r="G5" t="s" s="180">
        <v>957</v>
      </c>
      <c r="H5" t="s" s="180">
        <v>958</v>
      </c>
      <c r="I5" t="s" s="180">
        <v>97</v>
      </c>
    </row>
    <row r="6">
      <c r="B6" t="s" s="181">
        <v>959</v>
      </c>
      <c r="C6" s="181"/>
      <c r="D6" s="181"/>
      <c r="E6" s="181"/>
      <c r="F6" s="181"/>
      <c r="G6" s="181"/>
      <c r="H6" s="181"/>
      <c r="I6" s="181"/>
    </row>
    <row r="7" ht="95.60000000000001" customHeight="1">
      <c r="B7" t="s" s="182">
        <v>960</v>
      </c>
      <c r="C7" t="s" s="183">
        <v>961</v>
      </c>
      <c r="D7" t="s" s="183">
        <v>962</v>
      </c>
      <c r="E7" t="s" s="183">
        <v>962</v>
      </c>
      <c r="F7" t="s" s="184">
        <v>963</v>
      </c>
      <c r="G7" t="s" s="185">
        <v>964</v>
      </c>
      <c r="H7" t="s" s="183">
        <v>965</v>
      </c>
      <c r="I7" t="s" s="186">
        <v>966</v>
      </c>
    </row>
    <row r="8" ht="31.6" customHeight="1">
      <c r="B8" t="s" s="182">
        <v>967</v>
      </c>
      <c r="C8" t="s" s="183">
        <v>968</v>
      </c>
      <c r="D8" t="s" s="183">
        <v>969</v>
      </c>
      <c r="E8" t="s" s="183">
        <v>970</v>
      </c>
      <c r="F8" t="s" s="184">
        <v>971</v>
      </c>
      <c r="G8" t="s" s="187">
        <v>972</v>
      </c>
      <c r="H8" t="s" s="183">
        <v>973</v>
      </c>
      <c r="I8" t="s" s="186">
        <v>974</v>
      </c>
    </row>
    <row r="9" ht="44.400000000000006" customHeight="1">
      <c r="B9" t="s" s="182">
        <v>975</v>
      </c>
      <c r="C9" t="s" s="183">
        <v>976</v>
      </c>
      <c r="D9" t="s" s="183">
        <v>977</v>
      </c>
      <c r="E9" t="s" s="183">
        <v>977</v>
      </c>
      <c r="F9" t="s" s="184">
        <v>978</v>
      </c>
      <c r="G9" t="s" s="188">
        <v>979</v>
      </c>
      <c r="H9" t="s" s="183">
        <v>980</v>
      </c>
      <c r="I9" t="s" s="186">
        <v>981</v>
      </c>
    </row>
    <row r="10" ht="70" customHeight="1">
      <c r="B10" t="s" s="182">
        <v>982</v>
      </c>
      <c r="C10" t="s" s="183">
        <v>983</v>
      </c>
      <c r="D10" t="s" s="183">
        <v>984</v>
      </c>
      <c r="E10" t="s" s="183">
        <v>984</v>
      </c>
      <c r="F10" t="s" s="184">
        <v>985</v>
      </c>
      <c r="G10" t="s" s="185">
        <v>964</v>
      </c>
      <c r="H10" t="s" s="183">
        <v>986</v>
      </c>
      <c r="I10" t="s" s="186">
        <v>987</v>
      </c>
    </row>
    <row r="11" ht="82.80000000000001" customHeight="1">
      <c r="B11" t="s" s="182">
        <v>988</v>
      </c>
      <c r="C11" t="s" s="183">
        <v>989</v>
      </c>
      <c r="D11" t="s" s="183">
        <v>990</v>
      </c>
      <c r="E11" t="s" s="183">
        <v>990</v>
      </c>
      <c r="F11" t="s" s="184">
        <v>991</v>
      </c>
      <c r="G11" t="s" s="188">
        <v>979</v>
      </c>
      <c r="H11" t="s" s="183">
        <v>992</v>
      </c>
      <c r="I11" t="s" s="186">
        <v>974</v>
      </c>
    </row>
    <row r="12" ht="57.2" customHeight="1">
      <c r="B12" t="s" s="182">
        <v>865</v>
      </c>
      <c r="C12" t="s" s="183">
        <v>993</v>
      </c>
      <c r="D12" t="s" s="183">
        <v>993</v>
      </c>
      <c r="E12" t="s" s="183">
        <v>993</v>
      </c>
      <c r="F12" t="s" s="184">
        <v>994</v>
      </c>
      <c r="G12" t="s" s="188">
        <v>979</v>
      </c>
      <c r="H12" t="s" s="183">
        <v>995</v>
      </c>
      <c r="I12" t="s" s="186">
        <v>974</v>
      </c>
    </row>
    <row r="13" ht="95.60000000000001" customHeight="1">
      <c r="B13" t="s" s="182">
        <v>996</v>
      </c>
      <c r="C13" t="s" s="183">
        <v>997</v>
      </c>
      <c r="D13" t="s" s="183">
        <v>998</v>
      </c>
      <c r="E13" t="s" s="183">
        <v>999</v>
      </c>
      <c r="F13" t="s" s="184">
        <v>1000</v>
      </c>
      <c r="G13" t="s" s="185">
        <v>964</v>
      </c>
      <c r="H13" t="s" s="183">
        <v>1001</v>
      </c>
      <c r="I13" t="s" s="186">
        <v>1002</v>
      </c>
    </row>
    <row r="14" ht="57.2" customHeight="1">
      <c r="B14" t="s" s="182">
        <v>1003</v>
      </c>
      <c r="C14" t="s" s="183">
        <v>1004</v>
      </c>
      <c r="D14" t="s" s="183">
        <v>1005</v>
      </c>
      <c r="E14" t="s" s="183">
        <v>1005</v>
      </c>
      <c r="F14" t="s" s="184">
        <v>1006</v>
      </c>
      <c r="G14" t="s" s="188">
        <v>979</v>
      </c>
      <c r="H14" t="s" s="183">
        <v>1007</v>
      </c>
      <c r="I14" t="s" s="186">
        <v>974</v>
      </c>
    </row>
    <row r="15" ht="134" customHeight="1">
      <c r="B15" t="s" s="182">
        <v>1008</v>
      </c>
      <c r="C15" t="s" s="183">
        <v>1009</v>
      </c>
      <c r="D15" t="s" s="183">
        <v>1010</v>
      </c>
      <c r="E15" t="s" s="183">
        <v>1010</v>
      </c>
      <c r="F15" t="s" s="184">
        <v>1011</v>
      </c>
      <c r="G15" t="s" s="188">
        <v>979</v>
      </c>
      <c r="H15" t="s" s="183">
        <v>1012</v>
      </c>
      <c r="I15" t="s" s="186">
        <v>974</v>
      </c>
    </row>
    <row r="16" ht="82.80000000000001" customHeight="1">
      <c r="B16" t="s" s="182">
        <v>1013</v>
      </c>
      <c r="C16" t="s" s="183">
        <v>1014</v>
      </c>
      <c r="D16" t="s" s="183">
        <v>1015</v>
      </c>
      <c r="E16" t="s" s="183">
        <v>1015</v>
      </c>
      <c r="F16" t="s" s="184">
        <v>1016</v>
      </c>
      <c r="G16" t="s" s="185">
        <v>964</v>
      </c>
      <c r="H16" t="s" s="183">
        <v>1017</v>
      </c>
      <c r="I16" t="s" s="186">
        <v>1018</v>
      </c>
    </row>
    <row r="17" ht="44.400000000000006" customHeight="1">
      <c r="B17" t="s" s="182">
        <v>1019</v>
      </c>
      <c r="C17" t="s" s="183">
        <v>1020</v>
      </c>
      <c r="D17" t="s" s="183">
        <v>1021</v>
      </c>
      <c r="E17" t="s" s="183">
        <v>1021</v>
      </c>
      <c r="F17" t="s" s="184">
        <v>1022</v>
      </c>
      <c r="G17" t="s" s="185">
        <v>964</v>
      </c>
      <c r="H17" t="s" s="183">
        <v>1023</v>
      </c>
      <c r="I17" t="s" s="186">
        <v>1024</v>
      </c>
    </row>
    <row r="18">
      <c r="B18" t="s" s="189">
        <v>1025</v>
      </c>
      <c r="C18" s="189"/>
      <c r="D18" s="189"/>
      <c r="E18" s="189"/>
      <c r="F18" s="190"/>
      <c r="G18" s="189"/>
      <c r="H18" s="189"/>
      <c r="I18" s="191"/>
    </row>
    <row r="19" ht="82.80000000000001" customHeight="1">
      <c r="B19" t="s" s="182">
        <v>1026</v>
      </c>
      <c r="C19" t="s" s="183">
        <v>1027</v>
      </c>
      <c r="D19" t="s" s="183">
        <v>1028</v>
      </c>
      <c r="E19" t="s" s="183">
        <v>1029</v>
      </c>
      <c r="F19" t="s" s="184">
        <v>1030</v>
      </c>
      <c r="G19" t="s" s="185">
        <v>964</v>
      </c>
      <c r="H19" t="s" s="183">
        <v>1031</v>
      </c>
      <c r="I19" t="s" s="186">
        <v>1032</v>
      </c>
    </row>
    <row r="20" ht="57.2" customHeight="1">
      <c r="B20" t="s" s="182">
        <v>1033</v>
      </c>
      <c r="C20" t="s" s="183">
        <v>1034</v>
      </c>
      <c r="D20" t="s" s="183">
        <v>1035</v>
      </c>
      <c r="E20" t="s" s="183">
        <v>1035</v>
      </c>
      <c r="F20" t="s" s="184">
        <v>1036</v>
      </c>
      <c r="G20" t="s" s="185">
        <v>964</v>
      </c>
      <c r="H20" t="s" s="183">
        <v>1037</v>
      </c>
      <c r="I20" t="s" s="186">
        <v>974</v>
      </c>
    </row>
    <row r="21" ht="44.400000000000006" customHeight="1">
      <c r="B21" t="s" s="182">
        <v>1038</v>
      </c>
      <c r="C21" t="s" s="183">
        <v>1039</v>
      </c>
      <c r="D21" t="s" s="183">
        <v>1040</v>
      </c>
      <c r="E21" t="s" s="183">
        <v>1040</v>
      </c>
      <c r="F21" t="s" s="184">
        <v>1041</v>
      </c>
      <c r="G21" t="s" s="185">
        <v>964</v>
      </c>
      <c r="H21" t="s" s="183">
        <v>1042</v>
      </c>
      <c r="I21" t="s" s="186">
        <v>974</v>
      </c>
    </row>
    <row r="22" ht="44.400000000000006" customHeight="1">
      <c r="B22" t="s" s="182">
        <v>1043</v>
      </c>
      <c r="C22" t="s" s="183">
        <v>1044</v>
      </c>
      <c r="D22" t="s" s="183">
        <v>1039</v>
      </c>
      <c r="E22" t="s" s="183">
        <v>1039</v>
      </c>
      <c r="F22" t="s" s="184">
        <v>1045</v>
      </c>
      <c r="G22" t="s" s="185">
        <v>964</v>
      </c>
      <c r="H22" t="s" s="183">
        <v>1046</v>
      </c>
      <c r="I22" t="s" s="186">
        <v>974</v>
      </c>
    </row>
    <row r="23" ht="110" customHeight="1">
      <c r="B23" t="s" s="182">
        <v>1047</v>
      </c>
      <c r="C23" t="s" s="183">
        <v>1048</v>
      </c>
      <c r="D23" t="s" s="183">
        <v>1049</v>
      </c>
      <c r="E23" t="s" s="183">
        <v>1050</v>
      </c>
      <c r="F23" t="s" s="184">
        <v>1051</v>
      </c>
      <c r="G23" t="s" s="188">
        <v>979</v>
      </c>
      <c r="H23" t="str" s="183">
        <f>"Cap borrowings and the facility at 20% of commitments and each borrowing at 180 days; report net IRR with and without the facility. Fund V's 25% is tighter than Fund IV's "&amp;TEXT('Source Data'!C85,"0%")&amp;", but Fund IV used the room: its $"&amp;TEXT('Source Data'!C84,"#,##0")&amp;"M facility is "&amp;TEXT('Source Data'!C84/'Source Data'!C26,"0.0%")&amp;" of commitments and peaked at $"&amp;TEXT('Source Data'!C89,"#,##0.0")&amp;"M ("&amp;TEXT('Source Data'!C89/'Source Data'!C26,"0.0%")&amp;"). Fund III ran at "&amp;TEXT('Source Data'!C87,"0%")&amp;" and "&amp;TEXT('Source Data'!C88,"0")&amp;" days. Fund IV has paid $"&amp;TEXT('Source Data'!C82,"0.0")&amp;"M of facility interest since inception."</f>
        <v>Cap borrowings and the facility at 20% of commitments and each borrowing at 180 days; report net IRR with and without the facility. Fund V's 25% is tighter than Fund IV's 40%, but Fund IV used the room: its $460M facility is 40.0% of commitments and peaked at $447.5M (38.9%). Fund III ran at 15% and 90 days. Fund IV has paid $53.2M of facility interest since inception.</v>
      </c>
      <c r="I23" t="s" s="186">
        <v>1052</v>
      </c>
    </row>
    <row r="24" ht="95.60000000000001" customHeight="1">
      <c r="B24" t="s" s="182">
        <v>1053</v>
      </c>
      <c r="C24" t="s" s="183">
        <v>1054</v>
      </c>
      <c r="D24" t="s" s="183">
        <v>1055</v>
      </c>
      <c r="E24" t="s" s="183">
        <v>1055</v>
      </c>
      <c r="F24" t="s" s="184">
        <v>1056</v>
      </c>
      <c r="G24" t="s" s="185">
        <v>964</v>
      </c>
      <c r="H24" t="s" s="183">
        <v>1057</v>
      </c>
      <c r="I24" t="s" s="186">
        <v>974</v>
      </c>
    </row>
    <row r="25" ht="70" customHeight="1">
      <c r="B25" t="s" s="182">
        <v>1058</v>
      </c>
      <c r="C25" t="s" s="183">
        <v>1059</v>
      </c>
      <c r="D25" t="s" s="183">
        <v>1060</v>
      </c>
      <c r="E25" t="s" s="183">
        <v>1060</v>
      </c>
      <c r="F25" t="s" s="184">
        <v>1061</v>
      </c>
      <c r="G25" t="s" s="188">
        <v>979</v>
      </c>
      <c r="H25" t="s" s="183">
        <v>1062</v>
      </c>
      <c r="I25" t="s" s="186">
        <v>1063</v>
      </c>
    </row>
    <row r="26">
      <c r="B26" t="s" s="189">
        <v>1064</v>
      </c>
      <c r="C26" s="189"/>
      <c r="D26" s="189"/>
      <c r="E26" s="189"/>
      <c r="F26" s="190"/>
      <c r="G26" s="189"/>
      <c r="H26" s="189"/>
      <c r="I26" s="191"/>
    </row>
    <row r="27" ht="44.400000000000006" customHeight="1">
      <c r="B27" t="s" s="182">
        <v>1065</v>
      </c>
      <c r="C27" t="s" s="183">
        <v>1066</v>
      </c>
      <c r="D27" t="s" s="183">
        <v>1067</v>
      </c>
      <c r="E27" t="s" s="183">
        <v>1067</v>
      </c>
      <c r="F27" t="s" s="184">
        <v>1068</v>
      </c>
      <c r="G27" t="s" s="185">
        <v>964</v>
      </c>
      <c r="H27" t="s" s="183">
        <v>1069</v>
      </c>
      <c r="I27" t="s" s="186">
        <v>974</v>
      </c>
    </row>
    <row r="28" ht="44.400000000000006" customHeight="1">
      <c r="B28" t="s" s="182">
        <v>1070</v>
      </c>
      <c r="C28" t="s" s="183">
        <v>1071</v>
      </c>
      <c r="D28" t="s" s="183">
        <v>1072</v>
      </c>
      <c r="E28" t="s" s="183">
        <v>1073</v>
      </c>
      <c r="F28" t="s" s="184">
        <v>1074</v>
      </c>
      <c r="G28" t="s" s="185">
        <v>964</v>
      </c>
      <c r="H28" t="s" s="183">
        <v>1075</v>
      </c>
      <c r="I28" t="s" s="186">
        <v>974</v>
      </c>
    </row>
    <row r="29" ht="57.2" customHeight="1">
      <c r="B29" t="s" s="182">
        <v>1076</v>
      </c>
      <c r="C29" t="s" s="183">
        <v>1077</v>
      </c>
      <c r="D29" s="192">
        <v>0.75</v>
      </c>
      <c r="E29" s="192">
        <v>0.75</v>
      </c>
      <c r="F29" t="s" s="184">
        <v>1078</v>
      </c>
      <c r="G29" t="s" s="185">
        <v>964</v>
      </c>
      <c r="H29" t="s" s="183">
        <v>1079</v>
      </c>
      <c r="I29" t="s" s="186">
        <v>974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62"/>
  <sheetViews>
    <sheetView showGridLines="0" workbookViewId="0">
      <pane ySplit="3" topLeftCell="A4" activePane="bottomLeft" state="frozen"/>
      <selection pane="bottomLeft" activeCell="A1" sqref="A1"/>
    </sheetView>
  </sheetViews>
  <cols>
    <col min="1" max="1" width="2.21875" customWidth="1"/>
    <col min="2" max="2" width="57.07421875" customWidth="1"/>
    <col min="3" max="21" width="14.7890625" customWidth="1"/>
  </cols>
  <sheetData>
    <row r="2">
      <c r="B2" t="s" s="1">
        <v>1080</v>
      </c>
    </row>
    <row r="3">
      <c r="B3" t="s" s="2">
        <v>1081</v>
      </c>
    </row>
    <row r="5">
      <c r="B5" t="s" s="5">
        <v>1082</v>
      </c>
      <c r="C5" s="5"/>
      <c r="D5" s="5"/>
      <c r="E5" s="5"/>
      <c r="F5" s="5"/>
      <c r="G5" s="5"/>
      <c r="H5" s="5"/>
      <c r="I5" s="5"/>
      <c r="J5" s="5"/>
      <c r="K5" s="5"/>
      <c r="L5" s="5"/>
      <c r="M5" s="5"/>
      <c r="N5" s="5"/>
      <c r="O5" s="5"/>
      <c r="P5" s="5"/>
      <c r="Q5" s="5"/>
      <c r="R5" s="5"/>
      <c r="S5" s="5"/>
      <c r="T5" s="5"/>
      <c r="U5" s="5"/>
    </row>
    <row r="6">
      <c r="B6" t="s">
        <v>1083</v>
      </c>
      <c r="F6" s="193">
        <f>P43</f>
        <v>194.31092672287562</v>
      </c>
    </row>
    <row r="7">
      <c r="B7" t="s">
        <v>1084</v>
      </c>
      <c r="F7" s="193">
        <f>Q43</f>
        <v>164.7367157534247</v>
      </c>
    </row>
    <row r="8">
      <c r="B8" t="s" s="7">
        <v>1085</v>
      </c>
      <c r="C8" s="7"/>
      <c r="D8" s="7"/>
      <c r="E8" s="7"/>
      <c r="F8" s="195">
        <f>F6-F7</f>
        <v>29.574210969450917</v>
      </c>
    </row>
    <row r="9">
      <c r="B9" t="s" s="7">
        <v>1086</v>
      </c>
      <c r="C9" s="7"/>
      <c r="D9" s="7"/>
      <c r="E9" s="7"/>
      <c r="F9" s="195">
        <f>T43</f>
        <v>120.91655411481757</v>
      </c>
    </row>
    <row r="10">
      <c r="B10" t="s">
        <v>1087</v>
      </c>
      <c r="F10" s="193">
        <f>U43</f>
        <v>0</v>
      </c>
    </row>
    <row r="11">
      <c r="B11" t="s">
        <v>1088</v>
      </c>
      <c r="F11" s="196">
        <f>_xlfn.MINIFS(D36:D42,R36:R42,"&gt;="&amp;F22)</f>
        <v>45016</v>
      </c>
    </row>
    <row r="12">
      <c r="B12" t="s">
        <v>1089</v>
      </c>
      <c r="F12" s="196">
        <f>_xlfn.MINIFS(D36:D42,S36:S42,"&gt;="&amp;F22)</f>
        <v>44742</v>
      </c>
    </row>
    <row r="13">
      <c r="B13" t="s">
        <v>1090</v>
      </c>
      <c r="F13" s="193">
        <f>MAX(C51:H51)</f>
        <v>120.91655411481757</v>
      </c>
    </row>
    <row r="14">
      <c r="B14" t="s">
        <v>1091</v>
      </c>
      <c r="F14" s="193">
        <f>INDEX(C52:H52,MATCH(DATE(2025,12,31),C46:H46,0))</f>
        <v>58.293278016862686</v>
      </c>
    </row>
    <row r="15">
      <c r="B15" t="s">
        <v>1092</v>
      </c>
      <c r="F15" s="193">
        <f>F9*F20</f>
        <v>36.27496623444527</v>
      </c>
    </row>
    <row r="17">
      <c r="B17" t="s" s="5">
        <v>1093</v>
      </c>
      <c r="C17" s="5"/>
      <c r="D17" s="5"/>
      <c r="E17" s="5"/>
      <c r="F17" s="5"/>
      <c r="G17" s="5"/>
      <c r="H17" s="5"/>
      <c r="I17" s="5"/>
      <c r="J17" s="5"/>
      <c r="K17" s="5"/>
      <c r="L17" s="5"/>
      <c r="M17" s="5"/>
      <c r="N17" s="5"/>
      <c r="O17" s="5"/>
      <c r="P17" s="5"/>
      <c r="Q17" s="5"/>
      <c r="R17" s="5"/>
      <c r="S17" s="5"/>
      <c r="T17" s="5"/>
      <c r="U17" s="5"/>
    </row>
    <row r="18">
      <c r="B18" t="s">
        <v>1094</v>
      </c>
      <c r="F18" s="197">
        <f>'Source Data'!C78</f>
        <v>0.08</v>
      </c>
    </row>
    <row r="19">
      <c r="B19" t="s">
        <v>1095</v>
      </c>
      <c r="F19" s="197">
        <f>'Source Data'!C79</f>
        <v>0.2</v>
      </c>
    </row>
    <row r="20">
      <c r="B20" t="s">
        <v>1096</v>
      </c>
      <c r="F20" s="198">
        <v>0.3</v>
      </c>
    </row>
    <row r="21">
      <c r="B21" t="s">
        <v>1097</v>
      </c>
      <c r="F21" s="199">
        <v>365</v>
      </c>
    </row>
    <row r="22">
      <c r="B22" t="s">
        <v>1098</v>
      </c>
      <c r="F22" s="200">
        <f>'Source Data'!E25</f>
        <v>700</v>
      </c>
    </row>
    <row r="23">
      <c r="B23" t="s">
        <v>1099</v>
      </c>
      <c r="F23" s="200">
        <f>'Source Data'!D25</f>
        <v>655</v>
      </c>
    </row>
    <row r="24">
      <c r="B24" t="s">
        <v>1100</v>
      </c>
      <c r="F24" s="200">
        <f>'Source Data'!H19</f>
        <v>65</v>
      </c>
    </row>
    <row r="26">
      <c r="B26" t="s" s="5">
        <v>1101</v>
      </c>
      <c r="C26" s="5"/>
      <c r="D26" s="5"/>
      <c r="E26" s="5"/>
      <c r="F26" s="5"/>
      <c r="G26" s="5"/>
      <c r="H26" s="5"/>
      <c r="I26" s="5"/>
      <c r="J26" s="5"/>
      <c r="K26" s="5"/>
      <c r="L26" s="5"/>
      <c r="M26" s="5"/>
      <c r="N26" s="5"/>
      <c r="O26" s="5"/>
      <c r="P26" s="5"/>
      <c r="Q26" s="5"/>
      <c r="R26" s="5"/>
      <c r="S26" s="5"/>
      <c r="T26" s="5"/>
      <c r="U26" s="5"/>
    </row>
    <row r="27">
      <c r="B27" t="s" s="7">
        <v>1102</v>
      </c>
      <c r="C27" s="201">
        <f>DATE(YEAR('Source Data'!C83),12,31)</f>
        <v>43100</v>
      </c>
      <c r="D27" s="202">
        <f>DATE(YEAR(C27)+1,12,31)</f>
        <v>43465</v>
      </c>
      <c r="E27" s="202">
        <f>DATE(YEAR(D27)+1,12,31)</f>
        <v>43830</v>
      </c>
      <c r="F27" s="202">
        <f>DATE(YEAR(E27)+1,12,31)</f>
        <v>44196</v>
      </c>
      <c r="G27" s="202">
        <f>DATE(YEAR(F27)+1,12,31)</f>
        <v>44561</v>
      </c>
      <c r="H27" s="202">
        <f>DATE(YEAR(G27)+1,12,31)</f>
        <v>44926</v>
      </c>
      <c r="I27" s="202">
        <f>DATE(YEAR(H27)+1,12,31)</f>
        <v>45291</v>
      </c>
      <c r="J27" s="202">
        <f>DATE(YEAR(I27)+1,12,31)</f>
        <v>45657</v>
      </c>
      <c r="K27" s="202">
        <f>DATE(YEAR(J27)+1,12,31)</f>
        <v>46022</v>
      </c>
      <c r="L27" s="202">
        <f>DATE(YEAR(K27)+1,12,31)</f>
        <v>46387</v>
      </c>
    </row>
    <row r="28">
      <c r="B28" t="s" s="80">
        <v>1103</v>
      </c>
      <c r="C28" s="200">
        <f>SUMIFS('Source Data'!$G$31:$G$68,'Source Data'!$B$31:$B$68,"Fund III",'Source Data'!$C$31:$C$68,YEAR(C$27))</f>
        <v>10.02</v>
      </c>
      <c r="D28" s="200">
        <f>SUMIFS('Source Data'!$G$31:$G$68,'Source Data'!$B$31:$B$68,"Fund III",'Source Data'!$C$31:$C$68,YEAR(D$27))</f>
        <v>11.96</v>
      </c>
      <c r="E28" s="200">
        <f>SUMIFS('Source Data'!$G$31:$G$68,'Source Data'!$B$31:$B$68,"Fund III",'Source Data'!$C$31:$C$68,YEAR(E$27))</f>
        <v>12.36</v>
      </c>
      <c r="F28" s="200">
        <f>SUMIFS('Source Data'!$G$31:$G$68,'Source Data'!$B$31:$B$68,"Fund III",'Source Data'!$C$31:$C$68,YEAR(F$27))</f>
        <v>12.92</v>
      </c>
      <c r="G28" s="200">
        <f>SUMIFS('Source Data'!$G$31:$G$68,'Source Data'!$B$31:$B$68,"Fund III",'Source Data'!$C$31:$C$68,YEAR(G$27))</f>
        <v>14</v>
      </c>
      <c r="H28" s="200">
        <f>SUMIFS('Source Data'!$G$31:$G$68,'Source Data'!$B$31:$B$68,"Fund III",'Source Data'!$C$31:$C$68,YEAR(H$27))</f>
        <v>10.9</v>
      </c>
      <c r="I28" s="200">
        <f>SUMIFS('Source Data'!$G$31:$G$68,'Source Data'!$B$31:$B$68,"Fund III",'Source Data'!$C$31:$C$68,YEAR(I$27))</f>
        <v>6.01875</v>
      </c>
      <c r="J28" s="200">
        <f>SUMIFS('Source Data'!$G$31:$G$68,'Source Data'!$B$31:$B$68,"Fund III",'Source Data'!$C$31:$C$68,YEAR(J$27))</f>
        <v>4.275</v>
      </c>
      <c r="K28" s="200">
        <f>SUMIFS('Source Data'!$G$31:$G$68,'Source Data'!$B$31:$B$68,"Fund III",'Source Data'!$C$31:$C$68,YEAR(K$27))</f>
        <v>3.3</v>
      </c>
      <c r="L28" s="200">
        <f>SUMIFS('Source Data'!$G$31:$G$68,'Source Data'!$B$31:$B$68,"Fund III",'Source Data'!$C$31:$C$68,YEAR(L$27))</f>
        <v>1.65</v>
      </c>
    </row>
    <row r="29">
      <c r="B29" t="s" s="80">
        <v>1104</v>
      </c>
      <c r="C29" s="200">
        <f>SUMIFS('Source Data'!$H$31:$H$68,'Source Data'!$B$31:$B$68,"Fund III",'Source Data'!$C$31:$C$68,YEAR(C$27))</f>
        <v>1.3125</v>
      </c>
      <c r="D29" s="200">
        <f>SUMIFS('Source Data'!$H$31:$H$68,'Source Data'!$B$31:$B$68,"Fund III",'Source Data'!$C$31:$C$68,YEAR(D$27))</f>
        <v>1.75</v>
      </c>
      <c r="E29" s="200">
        <f>SUMIFS('Source Data'!$H$31:$H$68,'Source Data'!$B$31:$B$68,"Fund III",'Source Data'!$C$31:$C$68,YEAR(E$27))</f>
        <v>1.75</v>
      </c>
      <c r="F29" s="200">
        <f>SUMIFS('Source Data'!$H$31:$H$68,'Source Data'!$B$31:$B$68,"Fund III",'Source Data'!$C$31:$C$68,YEAR(F$27))</f>
        <v>1.75</v>
      </c>
      <c r="G29" s="200">
        <f>SUMIFS('Source Data'!$H$31:$H$68,'Source Data'!$B$31:$B$68,"Fund III",'Source Data'!$C$31:$C$68,YEAR(G$27))</f>
        <v>1.75</v>
      </c>
      <c r="H29" s="200">
        <f>SUMIFS('Source Data'!$H$31:$H$68,'Source Data'!$B$31:$B$68,"Fund III",'Source Data'!$C$31:$C$68,YEAR(H$27))</f>
        <v>1.75</v>
      </c>
      <c r="I29" s="200">
        <f>SUMIFS('Source Data'!$H$31:$H$68,'Source Data'!$B$31:$B$68,"Fund III",'Source Data'!$C$31:$C$68,YEAR(I$27))</f>
        <v>1.75</v>
      </c>
      <c r="J29" s="200">
        <f>SUMIFS('Source Data'!$H$31:$H$68,'Source Data'!$B$31:$B$68,"Fund III",'Source Data'!$C$31:$C$68,YEAR(J$27))</f>
        <v>1.75</v>
      </c>
      <c r="K29" s="200">
        <f>SUMIFS('Source Data'!$H$31:$H$68,'Source Data'!$B$31:$B$68,"Fund III",'Source Data'!$C$31:$C$68,YEAR(K$27))</f>
        <v>1.75</v>
      </c>
      <c r="L29" s="200">
        <f>SUMIFS('Source Data'!$H$31:$H$68,'Source Data'!$B$31:$B$68,"Fund III",'Source Data'!$C$31:$C$68,YEAR(L$27))</f>
        <v>0.875</v>
      </c>
    </row>
    <row r="30">
      <c r="B30" t="s" s="80">
        <v>302</v>
      </c>
      <c r="C30" s="200">
        <f>SUMIFS('Source Data'!$I$31:$I$68,'Source Data'!$B$31:$B$68,"Fund III",'Source Data'!$C$31:$C$68,YEAR(C$27))</f>
        <v>0.3698630136986301</v>
      </c>
      <c r="D30" s="200">
        <f>SUMIFS('Source Data'!$I$31:$I$68,'Source Data'!$B$31:$B$68,"Fund III",'Source Data'!$C$31:$C$68,YEAR(D$27))</f>
        <v>1.294520547945206</v>
      </c>
      <c r="E30" s="200">
        <f>SUMIFS('Source Data'!$I$31:$I$68,'Source Data'!$B$31:$B$68,"Fund III",'Source Data'!$C$31:$C$68,YEAR(E$27))</f>
        <v>1.232876712328767</v>
      </c>
      <c r="F30" s="200">
        <f>SUMIFS('Source Data'!$I$31:$I$68,'Source Data'!$B$31:$B$68,"Fund III",'Source Data'!$C$31:$C$68,YEAR(F$27))</f>
        <v>1.14041095890411</v>
      </c>
      <c r="G30" s="200">
        <f>SUMIFS('Source Data'!$I$31:$I$68,'Source Data'!$B$31:$B$68,"Fund III",'Source Data'!$C$31:$C$68,YEAR(G$27))</f>
        <v>0</v>
      </c>
      <c r="H30" s="200">
        <f>SUMIFS('Source Data'!$I$31:$I$68,'Source Data'!$B$31:$B$68,"Fund III",'Source Data'!$C$31:$C$68,YEAR(H$27))</f>
        <v>0</v>
      </c>
      <c r="I30" s="200">
        <f>SUMIFS('Source Data'!$I$31:$I$68,'Source Data'!$B$31:$B$68,"Fund III",'Source Data'!$C$31:$C$68,YEAR(I$27))</f>
        <v>0</v>
      </c>
      <c r="J30" s="200">
        <f>SUMIFS('Source Data'!$I$31:$I$68,'Source Data'!$B$31:$B$68,"Fund III",'Source Data'!$C$31:$C$68,YEAR(J$27))</f>
        <v>0</v>
      </c>
      <c r="K30" s="200">
        <f>SUMIFS('Source Data'!$I$31:$I$68,'Source Data'!$B$31:$B$68,"Fund III",'Source Data'!$C$31:$C$68,YEAR(K$27))</f>
        <v>0</v>
      </c>
      <c r="L30" s="200">
        <f>SUMIFS('Source Data'!$I$31:$I$68,'Source Data'!$B$31:$B$68,"Fund III",'Source Data'!$C$31:$C$68,YEAR(L$27))</f>
        <v>0</v>
      </c>
    </row>
    <row r="31">
      <c r="B31" t="s" s="147">
        <v>1105</v>
      </c>
      <c r="C31" s="203">
        <f>SUM(C28:C30)</f>
        <v>11.70236301369863</v>
      </c>
      <c r="D31" s="203">
        <f>SUM(D28:D30)</f>
        <v>15.004520547945207</v>
      </c>
      <c r="E31" s="203">
        <f>SUM(E28:E30)</f>
        <v>15.342876712328767</v>
      </c>
      <c r="F31" s="203">
        <f>SUM(F28:F30)</f>
        <v>15.81041095890411</v>
      </c>
      <c r="G31" s="203">
        <f>SUM(G28:G30)</f>
        <v>15.75</v>
      </c>
      <c r="H31" s="203">
        <f>SUM(H28:H30)</f>
        <v>12.65</v>
      </c>
      <c r="I31" s="203">
        <f>SUM(I28:I30)</f>
        <v>7.76875</v>
      </c>
      <c r="J31" s="203">
        <f>SUM(J28:J30)</f>
        <v>6.025</v>
      </c>
      <c r="K31" s="203">
        <f>SUM(K28:K30)</f>
        <v>5.05</v>
      </c>
      <c r="L31" s="203">
        <f>SUM(L28:L30)</f>
        <v>2.525</v>
      </c>
    </row>
    <row r="32">
      <c r="B32" t="s" s="80">
        <v>1106</v>
      </c>
      <c r="C32" s="204">
        <f>MAX(DATE(YEAR(C27),1,1),'Source Data'!$C$83)+(C27-MAX(DATE(YEAR(C27),1,1),'Source Data'!$C$83))/2</f>
        <v>43008</v>
      </c>
      <c r="D32" s="204">
        <f>MAX(DATE(YEAR(D27),1,1),'Source Data'!$C$83)+(D27-MAX(DATE(YEAR(D27),1,1),'Source Data'!$C$83))/2</f>
        <v>43283</v>
      </c>
      <c r="E32" s="204">
        <f>MAX(DATE(YEAR(E27),1,1),'Source Data'!$C$83)+(E27-MAX(DATE(YEAR(E27),1,1),'Source Data'!$C$83))/2</f>
        <v>43648</v>
      </c>
      <c r="F32" s="204">
        <f>MAX(DATE(YEAR(F27),1,1),'Source Data'!$C$83)+(F27-MAX(DATE(YEAR(F27),1,1),'Source Data'!$C$83))/2</f>
        <v>44013.5</v>
      </c>
      <c r="G32" s="204">
        <f>MAX(DATE(YEAR(G27),1,1),'Source Data'!$C$83)+(G27-MAX(DATE(YEAR(G27),1,1),'Source Data'!$C$83))/2</f>
        <v>44379</v>
      </c>
      <c r="H32" s="204">
        <f>MAX(DATE(YEAR(H27),1,1),'Source Data'!$C$83)+(H27-MAX(DATE(YEAR(H27),1,1),'Source Data'!$C$83))/2</f>
        <v>44744</v>
      </c>
      <c r="I32" s="204">
        <f>MAX(DATE(YEAR(I27),1,1),'Source Data'!$C$83)+(I27-MAX(DATE(YEAR(I27),1,1),'Source Data'!$C$83))/2</f>
        <v>45109</v>
      </c>
      <c r="J32" s="204">
        <f>MAX(DATE(YEAR(J27),1,1),'Source Data'!$C$83)+(J27-MAX(DATE(YEAR(J27),1,1),'Source Data'!$C$83))/2</f>
        <v>45474.5</v>
      </c>
      <c r="K32" s="204">
        <f>MAX(DATE(YEAR(K27),1,1),'Source Data'!$C$83)+(K27-MAX(DATE(YEAR(K27),1,1),'Source Data'!$C$83))/2</f>
        <v>45840</v>
      </c>
      <c r="L32" s="204">
        <f>MAX(DATE(YEAR(L27),1,1),'Source Data'!$C$83)+(L27-MAX(DATE(YEAR(L27),1,1),'Source Data'!$C$83))/2</f>
        <v>46205</v>
      </c>
    </row>
    <row r="34">
      <c r="B34" t="s" s="5">
        <v>1107</v>
      </c>
      <c r="C34" s="5"/>
      <c r="D34" s="5"/>
      <c r="E34" s="5"/>
      <c r="F34" s="5"/>
      <c r="G34" s="5"/>
      <c r="H34" s="5"/>
      <c r="I34" s="5"/>
      <c r="J34" s="5"/>
      <c r="K34" s="5"/>
      <c r="L34" s="5"/>
      <c r="M34" s="5"/>
      <c r="N34" s="5"/>
      <c r="O34" s="5"/>
      <c r="P34" s="5"/>
      <c r="Q34" s="5"/>
      <c r="R34" s="5"/>
      <c r="S34" s="5"/>
      <c r="T34" s="5"/>
      <c r="U34" s="5"/>
    </row>
    <row r="35" ht="42" customHeight="1">
      <c r="B35" t="s" s="205">
        <v>139</v>
      </c>
      <c r="C35" t="s" s="206">
        <v>1108</v>
      </c>
      <c r="D35" t="s" s="206">
        <v>1109</v>
      </c>
      <c r="E35" t="s" s="206">
        <v>9</v>
      </c>
      <c r="F35" t="s" s="206">
        <v>1110</v>
      </c>
      <c r="G35" t="s" s="206">
        <v>1111</v>
      </c>
      <c r="H35" t="s" s="206">
        <v>1112</v>
      </c>
      <c r="I35" t="s" s="206">
        <v>1113</v>
      </c>
      <c r="J35" t="s" s="206">
        <v>1114</v>
      </c>
      <c r="K35" t="s" s="206">
        <v>1115</v>
      </c>
      <c r="L35" t="s" s="206">
        <v>1116</v>
      </c>
      <c r="M35" t="s" s="206">
        <v>1117</v>
      </c>
      <c r="N35" t="s" s="206">
        <v>1118</v>
      </c>
      <c r="O35" t="s" s="206">
        <v>1119</v>
      </c>
      <c r="P35" t="s" s="207">
        <v>1120</v>
      </c>
      <c r="Q35" t="s" s="207">
        <v>1121</v>
      </c>
      <c r="R35" t="s" s="206">
        <v>1122</v>
      </c>
      <c r="S35" t="s" s="206">
        <v>1123</v>
      </c>
      <c r="T35" t="s" s="206">
        <v>1124</v>
      </c>
      <c r="U35" t="s" s="206">
        <v>1125</v>
      </c>
    </row>
    <row r="36">
      <c r="B36" t="str" s="208">
        <f>'Source Data'!B7</f>
        <v>Bracken Fluid Systems</v>
      </c>
      <c r="C36" s="209">
        <f>'Source Data'!D7</f>
        <v>43098</v>
      </c>
      <c r="D36" s="209">
        <f>'Source Data'!E7</f>
        <v>44469</v>
      </c>
      <c r="E36" s="210">
        <f>'Source Data'!F7</f>
        <v>60</v>
      </c>
      <c r="F36" s="211">
        <f>E36/$F$23</f>
        <v>0.0916030534351145</v>
      </c>
      <c r="G36" s="193">
        <f>SUMPRODUCT(($C$27:$L$27&lt;DATE(YEAR(D36),1,1))*$C$31:$L$31)+INDEX($C$31:$L$31,MATCH(DATE(YEAR(D36),12,31),$C$27:$L$27,0))*MONTH(D36)/12</f>
        <v>69.67267123287671</v>
      </c>
      <c r="H36" s="193">
        <f>$F$24</f>
        <v>65</v>
      </c>
      <c r="I36" s="193">
        <f>E36+F36*(G36+H36)</f>
        <v>72.33642789919482</v>
      </c>
      <c r="J36" s="210">
        <f>E36*((1+$F$18)^((D36-C36)/$F$21)-1)+F36*(SUMPRODUCT(($C$27:$L$27&lt;DATE(YEAR(D36),1,1))*$C$31:$L$31*((1+$F$18)^((D36-$C$32:$L$32)/$F$21)-1))+INDEX($C$31:$L$31,MATCH(DATE(YEAR(D36),12,31),$C$27:$L$27,0))*MONTH(D36)/12*((1+$F$18)^((D36-(DATE(YEAR(D36),1,1)+D36)/2)/$F$21)-1))+F36*SUMPRODUCT('Source Data'!$H$17:$H$18*((1+$F$18)^((D36-'Source Data'!$D$17:$D$18)/$F$21)-1))</f>
        <v>22.39261084537118</v>
      </c>
      <c r="K36" s="210">
        <f>'Source Data'!J7</f>
        <v>540.3273287671234</v>
      </c>
      <c r="L36" s="193">
        <f>MIN(K36,I36)</f>
        <v>72.33642789919482</v>
      </c>
      <c r="M36" s="193">
        <f>MIN(K36-L36,J36)</f>
        <v>22.39261084537118</v>
      </c>
      <c r="N36" s="193">
        <f>MIN(K36-L36-M36,M36*$F$19/(1-$F$19))</f>
        <v>5.598152711342795</v>
      </c>
      <c r="O36" s="193">
        <f>$F$19*(K36-L36-M36-N36)</f>
        <v>88.00002746224294</v>
      </c>
      <c r="P36" s="212">
        <f>N36+O36</f>
        <v>93.59818017358573</v>
      </c>
      <c r="Q36" s="213">
        <f>'Source Data'!I7</f>
        <v>0</v>
      </c>
      <c r="R36" s="193">
        <f>SUM($K$36:K36)-SUM($P$36:P36)</f>
        <v>446.7291485935377</v>
      </c>
      <c r="S36" s="210">
        <f>SUM('Source Data'!$H$7:H7)</f>
        <v>540.3273287671234</v>
      </c>
      <c r="T36" s="193">
        <f>IF(R36&lt;$F$22,P36,0)</f>
        <v>93.59818017358573</v>
      </c>
      <c r="U36" s="193">
        <f>IF(S36&lt;$F$22,Q36,0)</f>
        <v>0</v>
      </c>
    </row>
    <row r="37">
      <c r="B37" t="str" s="208">
        <f>'Source Data'!B8</f>
        <v>Lowrie Facility Services</v>
      </c>
      <c r="C37" s="209">
        <f>'Source Data'!D8</f>
        <v>43280</v>
      </c>
      <c r="D37" s="209">
        <f>'Source Data'!E8</f>
        <v>44742</v>
      </c>
      <c r="E37" s="210">
        <f>'Source Data'!F8</f>
        <v>75</v>
      </c>
      <c r="F37" s="211">
        <f>E37/$F$23</f>
        <v>0.11450381679389313</v>
      </c>
      <c r="G37" s="193">
        <f>SUMPRODUCT(($C$27:$L$27&lt;DATE(YEAR(D37),1,1))*$C$31:$L$31)+INDEX($C$31:$L$31,MATCH(DATE(YEAR(D37),12,31),$C$27:$L$27,0))*MONTH(D37)/12</f>
        <v>79.93517123287671</v>
      </c>
      <c r="H37" s="193">
        <f>$F$24</f>
        <v>65</v>
      </c>
      <c r="I37" s="193">
        <f>E37+F37*(G37+H37)</f>
        <v>91.59563029384084</v>
      </c>
      <c r="J37" s="210">
        <f>E37*((1+$F$18)^((D37-C37)/$F$21)-1)+F37*(SUMPRODUCT(($C$27:$L$27&lt;DATE(YEAR(D37),1,1))*$C$31:$L$31*((1+$F$18)^((D37-$C$32:$L$32)/$F$21)-1))+INDEX($C$31:$L$31,MATCH(DATE(YEAR(D37),12,31),$C$27:$L$27,0))*MONTH(D37)/12*((1+$F$18)^((D37-(DATE(YEAR(D37),1,1)+D37)/2)/$F$21)-1))+F37*SUMPRODUCT('Source Data'!$H$17:$H$18*((1+$F$18)^((D37-'Source Data'!$D$17:$D$18)/$F$21)-1))</f>
        <v>31.048878916109484</v>
      </c>
      <c r="K37" s="210">
        <f>'Source Data'!J8</f>
        <v>228.1875</v>
      </c>
      <c r="L37" s="193">
        <f>MIN(K37,I37)</f>
        <v>91.59563029384084</v>
      </c>
      <c r="M37" s="193">
        <f>MIN(K37-L37,J37)</f>
        <v>31.048878916109484</v>
      </c>
      <c r="N37" s="193">
        <f>MIN(K37-L37-M37,M37*$F$19/(1-$F$19))</f>
        <v>7.762219729027371</v>
      </c>
      <c r="O37" s="193">
        <f>$F$19*(K37-L37-M37-N37)</f>
        <v>19.556154212204465</v>
      </c>
      <c r="P37" s="212">
        <f>N37+O37</f>
        <v>27.318373941231837</v>
      </c>
      <c r="Q37" s="213">
        <f>'Source Data'!I8</f>
        <v>0</v>
      </c>
      <c r="R37" s="193">
        <f>SUM($K$36:K37)-SUM($P$36:P37)</f>
        <v>647.5982746523058</v>
      </c>
      <c r="S37" s="210">
        <f>SUM('Source Data'!$H$7:H8)</f>
        <v>768.5148287671234</v>
      </c>
      <c r="T37" s="193">
        <f>IF(R37&lt;$F$22,P37,0)</f>
        <v>27.318373941231837</v>
      </c>
      <c r="U37" s="193">
        <f>IF(S37&lt;$F$22,Q37,0)</f>
        <v>0</v>
      </c>
    </row>
    <row r="38">
      <c r="B38" t="str" s="208">
        <f>'Source Data'!B9</f>
        <v>Castine Testing Labs</v>
      </c>
      <c r="C38" s="209">
        <f>'Source Data'!D9</f>
        <v>43371</v>
      </c>
      <c r="D38" s="209">
        <f>'Source Data'!E9</f>
        <v>45016</v>
      </c>
      <c r="E38" s="210">
        <f>'Source Data'!F9</f>
        <v>70</v>
      </c>
      <c r="F38" s="211">
        <f>E38/$F$23</f>
        <v>0.10687022900763359</v>
      </c>
      <c r="G38" s="193">
        <f>SUMPRODUCT(($C$27:$L$27&lt;DATE(YEAR(D38),1,1))*$C$31:$L$31)+INDEX($C$31:$L$31,MATCH(DATE(YEAR(D38),12,31),$C$27:$L$27,0))*MONTH(D38)/12</f>
        <v>88.20235873287672</v>
      </c>
      <c r="H38" s="193">
        <f>$F$24</f>
        <v>65</v>
      </c>
      <c r="I38" s="193">
        <f>E38+F38*(G38+H38)</f>
        <v>86.37277116229217</v>
      </c>
      <c r="J38" s="210">
        <f>E38*((1+$F$18)^((D38-C38)/$F$21)-1)+F38*(SUMPRODUCT(($C$27:$L$27&lt;DATE(YEAR(D38),1,1))*$C$31:$L$31*((1+$F$18)^((D38-$C$32:$L$32)/$F$21)-1))+INDEX($C$31:$L$31,MATCH(DATE(YEAR(D38),12,31),$C$27:$L$27,0))*MONTH(D38)/12*((1+$F$18)^((D38-(DATE(YEAR(D38),1,1)+D38)/2)/$F$21)-1))+F38*SUMPRODUCT('Source Data'!$H$17:$H$18*((1+$F$18)^((D38-'Source Data'!$D$17:$D$18)/$F$21)-1))</f>
        <v>33.8964403363158</v>
      </c>
      <c r="K38" s="210">
        <f>'Source Data'!J9</f>
        <v>203.09999999999997</v>
      </c>
      <c r="L38" s="193">
        <f>MIN(K38,I38)</f>
        <v>86.37277116229217</v>
      </c>
      <c r="M38" s="193">
        <f>MIN(K38-L38,J38)</f>
        <v>33.8964403363158</v>
      </c>
      <c r="N38" s="193">
        <f>MIN(K38-L38-M38,M38*$F$19/(1-$F$19))</f>
        <v>8.47411008407895</v>
      </c>
      <c r="O38" s="193">
        <f>$F$19*(K38-L38-M38-N38)</f>
        <v>14.871335683462611</v>
      </c>
      <c r="P38" s="212">
        <f>N38+O38</f>
        <v>23.345445767541563</v>
      </c>
      <c r="Q38" s="213">
        <f>'Source Data'!I9</f>
        <v>54.32296575342466</v>
      </c>
      <c r="R38" s="193">
        <f>SUM($K$36:K38)-SUM($P$36:P38)</f>
        <v>827.3528288847642</v>
      </c>
      <c r="S38" s="210">
        <f>SUM('Source Data'!$H$7:H9)</f>
        <v>917.2918630136987</v>
      </c>
      <c r="T38" s="193">
        <f>IF(R38&lt;$F$22,P38,0)</f>
        <v>0</v>
      </c>
      <c r="U38" s="193">
        <f>IF(S38&lt;$F$22,Q38,0)</f>
        <v>0</v>
      </c>
    </row>
    <row r="39">
      <c r="B39" t="str" s="208">
        <f>'Source Data'!B10</f>
        <v>Ordway Packaging</v>
      </c>
      <c r="C39" s="209">
        <f>'Source Data'!D10</f>
        <v>43463</v>
      </c>
      <c r="D39" s="209">
        <f>'Source Data'!E10</f>
        <v>45107</v>
      </c>
      <c r="E39" s="210">
        <f>'Source Data'!F10</f>
        <v>65</v>
      </c>
      <c r="F39" s="211">
        <f>E39/$F$23</f>
        <v>0.09923664122137404</v>
      </c>
      <c r="G39" s="193">
        <f>SUMPRODUCT(($C$27:$L$27&lt;DATE(YEAR(D39),1,1))*$C$31:$L$31)+INDEX($C$31:$L$31,MATCH(DATE(YEAR(D39),12,31),$C$27:$L$27,0))*MONTH(D39)/12</f>
        <v>90.14454623287672</v>
      </c>
      <c r="H39" s="193">
        <f>$F$24</f>
        <v>65</v>
      </c>
      <c r="I39" s="193">
        <f>E39+F39*(G39+H39)</f>
        <v>80.39602367196487</v>
      </c>
      <c r="J39" s="210">
        <f>E39*((1+$F$18)^((D39-C39)/$F$21)-1)+F39*(SUMPRODUCT(($C$27:$L$27&lt;DATE(YEAR(D39),1,1))*$C$31:$L$31*((1+$F$18)^((D39-$C$32:$L$32)/$F$21)-1))+INDEX($C$31:$L$31,MATCH(DATE(YEAR(D39),12,31),$C$27:$L$27,0))*MONTH(D39)/12*((1+$F$18)^((D39-(DATE(YEAR(D39),1,1)+D39)/2)/$F$21)-1))+F39*SUMPRODUCT('Source Data'!$H$17:$H$18*((1+$F$18)^((D39-'Source Data'!$D$17:$D$18)/$F$21)-1))</f>
        <v>31.839887179308796</v>
      </c>
      <c r="K39" s="210">
        <f>'Source Data'!J10</f>
        <v>173.11875000000003</v>
      </c>
      <c r="L39" s="193">
        <f>MIN(K39,I39)</f>
        <v>80.39602367196487</v>
      </c>
      <c r="M39" s="193">
        <f>MIN(K39-L39,J39)</f>
        <v>31.839887179308796</v>
      </c>
      <c r="N39" s="193">
        <f>MIN(K39-L39-M39,M39*$F$19/(1-$F$19))</f>
        <v>7.959971794827199</v>
      </c>
      <c r="O39" s="193">
        <f>$F$19*(K39-L39-M39-N39)</f>
        <v>10.584573470779835</v>
      </c>
      <c r="P39" s="212">
        <f>N39+O39</f>
        <v>18.544545265607034</v>
      </c>
      <c r="Q39" s="213">
        <f>'Source Data'!I10</f>
        <v>34.62375000000002</v>
      </c>
      <c r="R39" s="193">
        <f>SUM($K$36:K39)-SUM($P$36:P39)</f>
        <v>981.9270336191572</v>
      </c>
      <c r="S39" s="210">
        <f>SUM('Source Data'!$H$7:H10)</f>
        <v>1055.7868630136986</v>
      </c>
      <c r="T39" s="193">
        <f>IF(R39&lt;$F$22,P39,0)</f>
        <v>0</v>
      </c>
      <c r="U39" s="193">
        <f>IF(S39&lt;$F$22,Q39,0)</f>
        <v>0</v>
      </c>
    </row>
    <row r="40">
      <c r="B40" t="str" s="208">
        <f>'Source Data'!B11</f>
        <v>Fennimore Data Services</v>
      </c>
      <c r="C40" s="209">
        <f>'Source Data'!D11</f>
        <v>43645</v>
      </c>
      <c r="D40" s="209">
        <f>'Source Data'!E11</f>
        <v>45382</v>
      </c>
      <c r="E40" s="210">
        <f>'Source Data'!F11</f>
        <v>55</v>
      </c>
      <c r="F40" s="211">
        <f>E40/$F$23</f>
        <v>0.08396946564885496</v>
      </c>
      <c r="G40" s="193">
        <f>SUMPRODUCT(($C$27:$L$27&lt;DATE(YEAR(D40),1,1))*$C$31:$L$31)+INDEX($C$31:$L$31,MATCH(DATE(YEAR(D40),12,31),$C$27:$L$27,0))*MONTH(D40)/12</f>
        <v>95.5351712328767</v>
      </c>
      <c r="H40" s="193">
        <f>$F$24</f>
        <v>65</v>
      </c>
      <c r="I40" s="193">
        <f>E40+F40*(G40+H40)</f>
        <v>68.48005254627209</v>
      </c>
      <c r="J40" s="210">
        <f>E40*((1+$F$18)^((D40-C40)/$F$21)-1)+F40*(SUMPRODUCT(($C$27:$L$27&lt;DATE(YEAR(D40),1,1))*$C$31:$L$31*((1+$F$18)^((D40-$C$32:$L$32)/$F$21)-1))+INDEX($C$31:$L$31,MATCH(DATE(YEAR(D40),12,31),$C$27:$L$27,0))*MONTH(D40)/12*((1+$F$18)^((D40-(DATE(YEAR(D40),1,1)+D40)/2)/$F$21)-1))+F40*SUMPRODUCT('Source Data'!$H$17:$H$18*((1+$F$18)^((D40-'Source Data'!$D$17:$D$18)/$F$21)-1))</f>
        <v>29.521335344764125</v>
      </c>
      <c r="K40" s="210">
        <f>'Source Data'!J11</f>
        <v>134.5625</v>
      </c>
      <c r="L40" s="193">
        <f>MIN(K40,I40)</f>
        <v>68.48005254627209</v>
      </c>
      <c r="M40" s="193">
        <f>MIN(K40-L40,J40)</f>
        <v>29.521335344764125</v>
      </c>
      <c r="N40" s="193">
        <f>MIN(K40-L40-M40,M40*$F$19/(1-$F$19))</f>
        <v>7.380333836191031</v>
      </c>
      <c r="O40" s="193">
        <f>$F$19*(K40-L40-M40-N40)</f>
        <v>5.836155654554551</v>
      </c>
      <c r="P40" s="212">
        <f>N40+O40</f>
        <v>13.216489490745582</v>
      </c>
      <c r="Q40" s="213">
        <f>'Source Data'!I11</f>
        <v>26.91249999999999</v>
      </c>
      <c r="R40" s="193">
        <f>SUM($K$36:K40)-SUM($P$36:P40)</f>
        <v>1103.2730441284116</v>
      </c>
      <c r="S40" s="210">
        <f>SUM('Source Data'!$H$7:H11)</f>
        <v>1163.4368630136987</v>
      </c>
      <c r="T40" s="193">
        <f>IF(R40&lt;$F$22,P40,0)</f>
        <v>0</v>
      </c>
      <c r="U40" s="193">
        <f>IF(S40&lt;$F$22,Q40,0)</f>
        <v>0</v>
      </c>
    </row>
    <row r="41">
      <c r="B41" t="str" s="208">
        <f>'Source Data'!B12</f>
        <v>Halvard Precision</v>
      </c>
      <c r="C41" s="209">
        <f>'Source Data'!D12</f>
        <v>43736</v>
      </c>
      <c r="D41" s="209">
        <f>'Source Data'!E12</f>
        <v>45473</v>
      </c>
      <c r="E41" s="210">
        <f>'Source Data'!F12</f>
        <v>60</v>
      </c>
      <c r="F41" s="211">
        <f>E41/$F$23</f>
        <v>0.0916030534351145</v>
      </c>
      <c r="G41" s="193">
        <f>SUMPRODUCT(($C$27:$L$27&lt;DATE(YEAR(D41),1,1))*$C$31:$L$31)+INDEX($C$31:$L$31,MATCH(DATE(YEAR(D41),12,31),$C$27:$L$27,0))*MONTH(D41)/12</f>
        <v>97.04142123287671</v>
      </c>
      <c r="H41" s="193">
        <f>$F$24</f>
        <v>65</v>
      </c>
      <c r="I41" s="193">
        <f>E41+F41*(G41+H41)</f>
        <v>74.8434889678971</v>
      </c>
      <c r="J41" s="210">
        <f>E41*((1+$F$18)^((D41-C41)/$F$21)-1)+F41*(SUMPRODUCT(($C$27:$L$27&lt;DATE(YEAR(D41),1,1))*$C$31:$L$31*((1+$F$18)^((D41-$C$32:$L$32)/$F$21)-1))+INDEX($C$31:$L$31,MATCH(DATE(YEAR(D41),12,31),$C$27:$L$27,0))*MONTH(D41)/12*((1+$F$18)^((D41-(DATE(YEAR(D41),1,1)+D41)/2)/$F$21)-1))+F41*SUMPRODUCT('Source Data'!$H$17:$H$18*((1+$F$18)^((D41-'Source Data'!$D$17:$D$18)/$F$21)-1))</f>
        <v>32.60105149675928</v>
      </c>
      <c r="K41" s="210">
        <f>'Source Data'!J12</f>
        <v>148.55</v>
      </c>
      <c r="L41" s="193">
        <f>MIN(K41,I41)</f>
        <v>74.8434889678971</v>
      </c>
      <c r="M41" s="193">
        <f>MIN(K41-L41,J41)</f>
        <v>32.60105149675928</v>
      </c>
      <c r="N41" s="193">
        <f>MIN(K41-L41-M41,M41*$F$19/(1-$F$19))</f>
        <v>8.15026287418982</v>
      </c>
      <c r="O41" s="193">
        <f>$F$19*(K41-L41-M41-N41)</f>
        <v>6.591039332230761</v>
      </c>
      <c r="P41" s="212">
        <f>N41+O41</f>
        <v>14.741302206420581</v>
      </c>
      <c r="Q41" s="213">
        <f>'Source Data'!I12</f>
        <v>29.71000000000001</v>
      </c>
      <c r="R41" s="193">
        <f>SUM($K$36:K41)-SUM($P$36:P41)</f>
        <v>1237.0817419219911</v>
      </c>
      <c r="S41" s="210">
        <f>SUM('Source Data'!$H$7:H12)</f>
        <v>1282.2768630136986</v>
      </c>
      <c r="T41" s="193">
        <f>IF(R41&lt;$F$22,P41,0)</f>
        <v>0</v>
      </c>
      <c r="U41" s="193">
        <f>IF(S41&lt;$F$22,Q41,0)</f>
        <v>0</v>
      </c>
    </row>
    <row r="42">
      <c r="B42" t="str" s="208">
        <f>'Source Data'!B13</f>
        <v>Quarry Hill Logistics</v>
      </c>
      <c r="C42" s="209">
        <f>'Source Data'!D13</f>
        <v>43920</v>
      </c>
      <c r="D42" s="209">
        <f>'Source Data'!E13</f>
        <v>45747</v>
      </c>
      <c r="E42" s="210">
        <f>'Source Data'!F13</f>
        <v>50</v>
      </c>
      <c r="F42" s="211">
        <f>E42/$F$23</f>
        <v>0.07633587786259542</v>
      </c>
      <c r="G42" s="193">
        <f>SUMPRODUCT(($C$27:$L$27&lt;DATE(YEAR(D42),1,1))*$C$31:$L$31)+INDEX($C$31:$L$31,MATCH(DATE(YEAR(D42),12,31),$C$27:$L$27,0))*MONTH(D42)/12</f>
        <v>101.31642123287672</v>
      </c>
      <c r="H42" s="193">
        <f>$F$24</f>
        <v>65</v>
      </c>
      <c r="I42" s="193">
        <f>E42+F42*(G42+H42)</f>
        <v>62.69591001777685</v>
      </c>
      <c r="J42" s="210">
        <f>E42*((1+$F$18)^((D42-C42)/$F$21)-1)+F42*(SUMPRODUCT(($C$27:$L$27&lt;DATE(YEAR(D42),1,1))*$C$31:$L$31*((1+$F$18)^((D42-$C$32:$L$32)/$F$21)-1))+INDEX($C$31:$L$31,MATCH(DATE(YEAR(D42),12,31),$C$27:$L$27,0))*MONTH(D42)/12*((1+$F$18)^((D42-(DATE(YEAR(D42),1,1)+D42)/2)/$F$21)-1))+F42*SUMPRODUCT('Source Data'!$H$17:$H$18*((1+$F$18)^((D42-'Source Data'!$D$17:$D$18)/$F$21)-1))</f>
        <v>29.595000104479865</v>
      </c>
      <c r="K42" s="210">
        <f>'Source Data'!J13</f>
        <v>95.8375</v>
      </c>
      <c r="L42" s="193">
        <f>MIN(K42,I42)</f>
        <v>62.69591001777685</v>
      </c>
      <c r="M42" s="193">
        <f>MIN(K42-L42,J42)</f>
        <v>29.595000104479865</v>
      </c>
      <c r="N42" s="193">
        <f>MIN(K42-L42-M42,M42*$F$19/(1-$F$19))</f>
        <v>3.546589877743287</v>
      </c>
      <c r="O42" s="193">
        <f>$F$19*(K42-L42-M42-N42)</f>
        <v>0</v>
      </c>
      <c r="P42" s="212">
        <f>N42+O42</f>
        <v>3.546589877743287</v>
      </c>
      <c r="Q42" s="213">
        <f>'Source Data'!I13</f>
        <v>19.16750000000002</v>
      </c>
      <c r="R42" s="193">
        <f>SUM($K$36:K42)-SUM($P$36:P42)</f>
        <v>1329.3726520442478</v>
      </c>
      <c r="S42" s="210">
        <f>SUM('Source Data'!$H$7:H13)</f>
        <v>1358.9468630136987</v>
      </c>
      <c r="T42" s="193">
        <f>IF(R42&lt;$F$22,P42,0)</f>
        <v>0</v>
      </c>
      <c r="U42" s="193">
        <f>IF(S42&lt;$F$22,Q42,0)</f>
        <v>0</v>
      </c>
    </row>
    <row r="43">
      <c r="B43" t="s" s="147">
        <v>473</v>
      </c>
      <c r="C43" s="214"/>
      <c r="D43" s="214"/>
      <c r="E43" s="215">
        <f>SUM(E36:E42)</f>
        <v>435</v>
      </c>
      <c r="F43" s="214"/>
      <c r="G43" s="215"/>
      <c r="H43" s="215"/>
      <c r="I43" s="215">
        <f>SUM(I36:I42)</f>
        <v>536.7203045592387</v>
      </c>
      <c r="J43" s="215">
        <f>SUM(J36:J42)</f>
        <v>210.89520422310852</v>
      </c>
      <c r="K43" s="215">
        <f>SUM(K36:K42)</f>
        <v>1523.6835787671234</v>
      </c>
      <c r="L43" s="215">
        <f>SUM(L36:L42)</f>
        <v>536.7203045592387</v>
      </c>
      <c r="M43" s="215">
        <f>SUM(M36:M42)</f>
        <v>210.89520422310852</v>
      </c>
      <c r="N43" s="215">
        <f>SUM(N36:N42)</f>
        <v>48.87164090740045</v>
      </c>
      <c r="O43" s="215">
        <f>SUM(O36:O42)</f>
        <v>145.43928581547516</v>
      </c>
      <c r="P43" s="216">
        <f>SUM(P36:P42)</f>
        <v>194.31092672287562</v>
      </c>
      <c r="Q43" s="216">
        <f>SUM(Q36:Q42)</f>
        <v>164.7367157534247</v>
      </c>
      <c r="R43" s="215"/>
      <c r="S43" s="215"/>
      <c r="T43" s="215">
        <f>SUM(T36:T42)</f>
        <v>120.91655411481757</v>
      </c>
      <c r="U43" s="215">
        <f>SUM(U36:U42)</f>
        <v>0</v>
      </c>
    </row>
    <row r="45">
      <c r="B45" t="s" s="5">
        <v>1126</v>
      </c>
      <c r="C45" s="5"/>
      <c r="D45" s="5"/>
      <c r="E45" s="5"/>
      <c r="F45" s="5"/>
      <c r="G45" s="5"/>
      <c r="H45" s="5"/>
      <c r="I45" s="5"/>
      <c r="J45" s="5"/>
      <c r="K45" s="5"/>
      <c r="L45" s="5"/>
      <c r="M45" s="5"/>
      <c r="N45" s="5"/>
      <c r="O45" s="5"/>
      <c r="P45" s="5"/>
      <c r="Q45" s="5"/>
      <c r="R45" s="5"/>
      <c r="S45" s="5"/>
      <c r="T45" s="5"/>
      <c r="U45" s="5"/>
    </row>
    <row r="46">
      <c r="B46" t="s" s="7">
        <v>1127</v>
      </c>
      <c r="C46" s="202">
        <f>G27</f>
        <v>44561</v>
      </c>
      <c r="D46" s="202">
        <f>DATE(YEAR(C46)+1,12,31)</f>
        <v>44926</v>
      </c>
      <c r="E46" s="202">
        <f>DATE(YEAR(D46)+1,12,31)</f>
        <v>45291</v>
      </c>
      <c r="F46" s="202">
        <f>DATE(YEAR(E46)+1,12,31)</f>
        <v>45657</v>
      </c>
      <c r="G46" s="202">
        <f>DATE(YEAR(F46)+1,12,31)</f>
        <v>46022</v>
      </c>
      <c r="H46" s="202">
        <f>DATE(YEAR(G46)+1,12,31)</f>
        <v>46387</v>
      </c>
    </row>
    <row r="47">
      <c r="B47" t="s" s="80">
        <v>1128</v>
      </c>
      <c r="C47" s="194">
        <f>SUMPRODUCT((YEAR($D$36:$D$42)=YEAR(C$46))*$P$36:$P$42)</f>
        <v>93.59818017358573</v>
      </c>
      <c r="D47" s="194">
        <f>SUMPRODUCT((YEAR($D$36:$D$42)=YEAR(D$46))*$P$36:$P$42)</f>
        <v>27.318373941231837</v>
      </c>
      <c r="E47" s="194">
        <f>SUMPRODUCT((YEAR($D$36:$D$42)=YEAR(E$46))*$P$36:$P$42)</f>
        <v>41.8899910331486</v>
      </c>
      <c r="F47" s="194">
        <f>SUMPRODUCT((YEAR($D$36:$D$42)=YEAR(F$46))*$P$36:$P$42)</f>
        <v>27.957791697166165</v>
      </c>
      <c r="G47" s="194">
        <f>SUMPRODUCT((YEAR($D$36:$D$42)=YEAR(G$46))*$P$36:$P$42)</f>
        <v>3.546589877743287</v>
      </c>
      <c r="H47" s="194">
        <f>SUMPRODUCT((YEAR($D$36:$D$42)=YEAR(H$46))*$P$36:$P$42)</f>
        <v>0</v>
      </c>
    </row>
    <row r="48">
      <c r="B48" t="s" s="80">
        <v>1129</v>
      </c>
      <c r="C48" s="194">
        <f>SUMPRODUCT((YEAR($D$36:$D$42)=YEAR(C$46))*$Q$36:$Q$42)</f>
        <v>0</v>
      </c>
      <c r="D48" s="194">
        <f>SUMPRODUCT((YEAR($D$36:$D$42)=YEAR(D$46))*$Q$36:$Q$42)</f>
        <v>0</v>
      </c>
      <c r="E48" s="194">
        <f>SUMPRODUCT((YEAR($D$36:$D$42)=YEAR(E$46))*$Q$36:$Q$42)</f>
        <v>88.94671575342468</v>
      </c>
      <c r="F48" s="194">
        <f>SUMPRODUCT((YEAR($D$36:$D$42)=YEAR(F$46))*$Q$36:$Q$42)</f>
        <v>56.6225</v>
      </c>
      <c r="G48" s="194">
        <f>SUMPRODUCT((YEAR($D$36:$D$42)=YEAR(G$46))*$Q$36:$Q$42)</f>
        <v>19.16750000000002</v>
      </c>
      <c r="H48" s="194">
        <f>SUMPRODUCT((YEAR($D$36:$D$42)=YEAR(H$46))*$Q$36:$Q$42)</f>
        <v>0</v>
      </c>
    </row>
    <row r="49">
      <c r="B49" t="s" s="147">
        <v>1130</v>
      </c>
      <c r="C49" s="203">
        <f>SUM($C47:C47)</f>
        <v>93.59818017358573</v>
      </c>
      <c r="D49" s="203">
        <f>SUM($C47:D47)</f>
        <v>120.91655411481757</v>
      </c>
      <c r="E49" s="203">
        <f>SUM($C47:E47)</f>
        <v>162.80654514796618</v>
      </c>
      <c r="F49" s="203">
        <f>SUM($C47:F47)</f>
        <v>190.76433684513233</v>
      </c>
      <c r="G49" s="203">
        <f>SUM($C47:G47)</f>
        <v>194.31092672287562</v>
      </c>
      <c r="H49" s="203">
        <f>SUM($C47:H47)</f>
        <v>194.31092672287562</v>
      </c>
    </row>
    <row r="50">
      <c r="B50" t="s" s="7">
        <v>1131</v>
      </c>
      <c r="C50" s="217">
        <f>SUM($C48:C48)</f>
        <v>0</v>
      </c>
      <c r="D50" s="217">
        <f>SUM($C48:D48)</f>
        <v>0</v>
      </c>
      <c r="E50" s="217">
        <f>SUM($C48:E48)</f>
        <v>88.94671575342468</v>
      </c>
      <c r="F50" s="217">
        <f>SUM($C48:F48)</f>
        <v>145.5692157534247</v>
      </c>
      <c r="G50" s="217">
        <f>SUM($C48:G48)</f>
        <v>164.7367157534247</v>
      </c>
      <c r="H50" s="217">
        <f>SUM($C48:H48)</f>
        <v>164.7367157534247</v>
      </c>
    </row>
    <row r="51">
      <c r="B51" t="s" s="218">
        <v>1132</v>
      </c>
      <c r="C51" s="219">
        <f>C49-C50</f>
        <v>93.59818017358573</v>
      </c>
      <c r="D51" s="219">
        <f>D49-D50</f>
        <v>120.91655411481757</v>
      </c>
      <c r="E51" s="219">
        <f>E49-E50</f>
        <v>73.85982939454149</v>
      </c>
      <c r="F51" s="219">
        <f>F49-F50</f>
        <v>45.19512109170765</v>
      </c>
      <c r="G51" s="219">
        <f>G49-G50</f>
        <v>29.574210969450917</v>
      </c>
      <c r="H51" s="219">
        <f>H49-H50</f>
        <v>29.574210969450917</v>
      </c>
    </row>
    <row r="52">
      <c r="B52" t="s" s="80">
        <v>1133</v>
      </c>
      <c r="C52" s="194">
        <f>C49*$F$20</f>
        <v>28.079454052075718</v>
      </c>
      <c r="D52" s="194">
        <f>D49*$F$20</f>
        <v>36.27496623444527</v>
      </c>
      <c r="E52" s="194">
        <f>E49*$F$20</f>
        <v>48.84196354438985</v>
      </c>
      <c r="F52" s="194">
        <f>F49*$F$20</f>
        <v>57.2293010535397</v>
      </c>
      <c r="G52" s="194">
        <f>G49*$F$20</f>
        <v>58.293278016862686</v>
      </c>
      <c r="H52" s="194">
        <f>H49*$F$20</f>
        <v>58.293278016862686</v>
      </c>
    </row>
    <row r="53">
      <c r="B53" t="s" s="80">
        <v>1134</v>
      </c>
      <c r="C53" s="194">
        <f>C49-C52</f>
        <v>65.51872612151001</v>
      </c>
      <c r="D53" s="194">
        <f>D49-D52</f>
        <v>84.6415878803723</v>
      </c>
      <c r="E53" s="194">
        <f>E49-E52</f>
        <v>113.96458160357633</v>
      </c>
      <c r="F53" s="194">
        <f>F49-F52</f>
        <v>133.53503579159263</v>
      </c>
      <c r="G53" s="194">
        <f>G49-G52</f>
        <v>136.01764870601295</v>
      </c>
      <c r="H53" s="194">
        <f>H49-H52</f>
        <v>136.01764870601295</v>
      </c>
    </row>
    <row r="54">
      <c r="B54" t="s" s="80">
        <v>1122</v>
      </c>
      <c r="C54" s="194">
        <f>SUMPRODUCT((YEAR($D$36:$D$42)&lt;=YEAR(C$46))*($K$36:$K$42-$P$36:$P$42))</f>
        <v>446.7291485935377</v>
      </c>
      <c r="D54" s="194">
        <f>SUMPRODUCT((YEAR($D$36:$D$42)&lt;=YEAR(D$46))*($K$36:$K$42-$P$36:$P$42))</f>
        <v>647.5982746523058</v>
      </c>
      <c r="E54" s="194">
        <f>SUMPRODUCT((YEAR($D$36:$D$42)&lt;=YEAR(E$46))*($K$36:$K$42-$P$36:$P$42))</f>
        <v>981.9270336191572</v>
      </c>
      <c r="F54" s="194">
        <f>SUMPRODUCT((YEAR($D$36:$D$42)&lt;=YEAR(F$46))*($K$36:$K$42-$P$36:$P$42))</f>
        <v>1237.0817419219911</v>
      </c>
      <c r="G54" s="194">
        <f>SUMPRODUCT((YEAR($D$36:$D$42)&lt;=YEAR(G$46))*($K$36:$K$42-$P$36:$P$42))</f>
        <v>1329.3726520442478</v>
      </c>
      <c r="H54" s="194">
        <f>SUMPRODUCT((YEAR($D$36:$D$42)&lt;=YEAR(H$46))*($K$36:$K$42-$P$36:$P$42))</f>
        <v>1329.3726520442478</v>
      </c>
    </row>
    <row r="55">
      <c r="B55" t="s" s="80">
        <v>1123</v>
      </c>
      <c r="C55" s="200">
        <f>SUMPRODUCT((YEAR($D$36:$D$42)&lt;=YEAR(C$46))*'Source Data'!$H$7:$H$13)</f>
        <v>540.3273287671234</v>
      </c>
      <c r="D55" s="200">
        <f>SUMPRODUCT((YEAR($D$36:$D$42)&lt;=YEAR(D$46))*'Source Data'!$H$7:$H$13)</f>
        <v>768.5148287671234</v>
      </c>
      <c r="E55" s="200">
        <f>SUMPRODUCT((YEAR($D$36:$D$42)&lt;=YEAR(E$46))*'Source Data'!$H$7:$H$13)</f>
        <v>1055.7868630136986</v>
      </c>
      <c r="F55" s="200">
        <f>SUMPRODUCT((YEAR($D$36:$D$42)&lt;=YEAR(F$46))*'Source Data'!$H$7:$H$13)</f>
        <v>1282.2768630136986</v>
      </c>
      <c r="G55" s="200">
        <f>SUMPRODUCT((YEAR($D$36:$D$42)&lt;=YEAR(G$46))*'Source Data'!$H$7:$H$13)</f>
        <v>1358.9468630136987</v>
      </c>
      <c r="H55" s="200">
        <f>SUMPRODUCT((YEAR($D$36:$D$42)&lt;=YEAR(H$46))*'Source Data'!$H$7:$H$13)</f>
        <v>1358.9468630136987</v>
      </c>
    </row>
    <row r="56">
      <c r="B56" t="s" s="80">
        <v>1135</v>
      </c>
      <c r="C56" s="194">
        <f>$F$22</f>
        <v>700</v>
      </c>
      <c r="D56" s="194">
        <f>$F$22</f>
        <v>700</v>
      </c>
      <c r="E56" s="194">
        <f>$F$22</f>
        <v>700</v>
      </c>
      <c r="F56" s="194">
        <f>$F$22</f>
        <v>700</v>
      </c>
      <c r="G56" s="194">
        <f>$F$22</f>
        <v>700</v>
      </c>
      <c r="H56" s="194">
        <f>$F$22</f>
        <v>700</v>
      </c>
    </row>
    <row r="58">
      <c r="B58" t="s" s="5">
        <v>1136</v>
      </c>
      <c r="C58" s="5"/>
      <c r="D58" s="5"/>
      <c r="E58" s="5"/>
      <c r="F58" s="5"/>
      <c r="G58" s="5"/>
      <c r="H58" s="5"/>
      <c r="I58" s="5"/>
      <c r="J58" s="5"/>
      <c r="K58" s="5"/>
      <c r="L58" s="5"/>
      <c r="M58" s="5"/>
      <c r="N58" s="5"/>
      <c r="O58" s="5"/>
      <c r="P58" s="5"/>
      <c r="Q58" s="5"/>
      <c r="R58" s="5"/>
      <c r="S58" s="5"/>
      <c r="T58" s="5"/>
      <c r="U58" s="5"/>
    </row>
    <row r="59">
      <c r="B59" t="s" s="2">
        <v>1137</v>
      </c>
    </row>
    <row r="60">
      <c r="B60" t="s" s="2">
        <v>1138</v>
      </c>
    </row>
    <row r="61">
      <c r="B61" t="s" s="2">
        <v>1139</v>
      </c>
    </row>
    <row r="62">
      <c r="B62" t="s" s="2">
        <v>1140</v>
      </c>
    </row>
  </sheetData>
  <pageMargins left="0.7" right="0.7" top="0.75" bottom="0.75" header="0.3" footer="0.3"/>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25"/>
  <sheetViews>
    <sheetView showGridLines="0" workbookViewId="0">
      <pane xSplit="3" ySplit="5" topLeftCell="D6" activePane="bottomRight" state="frozen"/>
      <selection pane="topRight" activeCell="D1" sqref="D1"/>
      <selection pane="bottomLeft" activeCell="A6" sqref="A6"/>
      <selection pane="bottomRight" activeCell="A1" sqref="A1"/>
    </sheetView>
  </sheetViews>
  <cols>
    <col min="1" max="1" width="2.21875" customWidth="1"/>
    <col min="2" max="2" width="5.64453125" customWidth="1"/>
    <col min="3" max="3" width="19.9296875" customWidth="1"/>
    <col min="4" max="4" width="26.64453125" customWidth="1"/>
    <col min="5" max="5" width="43.7890625" customWidth="1"/>
    <col min="6" max="6" width="7.21875" customWidth="1"/>
    <col min="7" max="7" width="12.50390625" customWidth="1"/>
    <col min="8" max="8" width="14.07421875" customWidth="1"/>
    <col min="9" max="9" width="47.50390625" customWidth="1"/>
    <col min="10" max="10" width="26.64453125" customWidth="1"/>
    <col min="11" max="11" width="7.50390625" customWidth="1"/>
    <col min="12" max="12" width="26.64453125" customWidth="1"/>
    <col min="13" max="13" width="7.50390625" customWidth="1"/>
    <col min="14" max="14" width="43.7890625" customWidth="1"/>
  </cols>
  <sheetData>
    <row r="2">
      <c r="B2" t="s" s="1">
        <v>1187</v>
      </c>
    </row>
    <row r="3">
      <c r="B3" t="s" s="2">
        <v>1188</v>
      </c>
    </row>
    <row r="5" ht="30" customHeight="1">
      <c r="B5" t="s" s="229">
        <v>1189</v>
      </c>
      <c r="C5" t="s" s="229">
        <v>1190</v>
      </c>
      <c r="D5" t="s" s="229">
        <v>1191</v>
      </c>
      <c r="E5" t="s" s="229">
        <v>1192</v>
      </c>
      <c r="F5" t="s" s="229">
        <v>1193</v>
      </c>
      <c r="G5" t="s" s="229">
        <v>1194</v>
      </c>
      <c r="H5" t="s" s="229">
        <v>1195</v>
      </c>
      <c r="I5" t="s" s="229">
        <v>1196</v>
      </c>
      <c r="J5" t="s" s="229">
        <v>1197</v>
      </c>
      <c r="K5" t="s" s="229">
        <v>1198</v>
      </c>
      <c r="L5" t="s" s="229">
        <v>1199</v>
      </c>
      <c r="M5" t="s" s="229">
        <v>1198</v>
      </c>
      <c r="N5" t="s" s="229">
        <v>1200</v>
      </c>
    </row>
    <row r="6" ht="51" customHeight="1">
      <c r="B6" t="s" s="230">
        <v>1201</v>
      </c>
      <c r="C6" t="s" s="182">
        <v>1202</v>
      </c>
      <c r="D6" t="s" s="183">
        <v>1203</v>
      </c>
      <c r="E6" t="s" s="183">
        <v>1204</v>
      </c>
      <c r="F6" s="231">
        <v>1</v>
      </c>
      <c r="G6" t="s" s="232">
        <v>1205</v>
      </c>
      <c r="H6" t="s" s="233">
        <v>1206</v>
      </c>
      <c r="I6" t="s" s="183">
        <v>1207</v>
      </c>
      <c r="J6" t="s" s="183">
        <v>1208</v>
      </c>
      <c r="K6" s="231">
        <v>3</v>
      </c>
      <c r="L6" t="s" s="183">
        <v>1209</v>
      </c>
      <c r="M6" s="231">
        <v>1</v>
      </c>
      <c r="N6" t="str" s="183">
        <f>"Stated commitments of $2.52B match the sum of Funds I to IV commitments in the PPM ($"&amp;TEXT('Source Data'!C27,"#,##0")&amp;"M). Form ADV regulatory AUM measures assets, not commitments. Ellis holds 70% of the management company."</f>
        <v>Stated commitments of $2.52B match the sum of Funds I to IV commitments in the PPM ($2,520M). Form ADV regulatory AUM measures assets, not commitments. Ellis holds 70% of the management company.</v>
      </c>
    </row>
    <row r="7" ht="38.25" customHeight="1">
      <c r="B7" t="s" s="234">
        <v>1210</v>
      </c>
      <c r="C7" t="s" s="235">
        <v>1211</v>
      </c>
      <c r="D7" t="s" s="236">
        <v>1212</v>
      </c>
      <c r="E7" t="s" s="236">
        <v>1213</v>
      </c>
      <c r="F7" s="237">
        <v>1</v>
      </c>
      <c r="G7" t="s" s="238">
        <v>1214</v>
      </c>
      <c r="H7" t="s" s="239">
        <v>1215</v>
      </c>
      <c r="I7" t="s" s="236">
        <v>1216</v>
      </c>
      <c r="J7" t="s" s="236">
        <v>1217</v>
      </c>
      <c r="K7" s="237">
        <v>1</v>
      </c>
      <c r="L7" s="236"/>
      <c r="M7" s="237"/>
      <c r="N7" t="s" s="236">
        <v>1218</v>
      </c>
    </row>
    <row r="8" ht="63.75" customHeight="1">
      <c r="B8" t="s" s="234">
        <v>1219</v>
      </c>
      <c r="C8" t="s" s="235">
        <v>1220</v>
      </c>
      <c r="D8" t="s" s="236">
        <v>1221</v>
      </c>
      <c r="E8" t="s" s="236">
        <v>1222</v>
      </c>
      <c r="F8" s="237">
        <v>1</v>
      </c>
      <c r="G8" t="s" s="239">
        <v>1205</v>
      </c>
      <c r="H8" t="s" s="239">
        <v>1215</v>
      </c>
      <c r="I8" t="s" s="236">
        <v>1223</v>
      </c>
      <c r="J8" t="s" s="236">
        <v>1224</v>
      </c>
      <c r="K8" s="237">
        <v>1</v>
      </c>
      <c r="L8" t="s" s="236">
        <v>1225</v>
      </c>
      <c r="M8" s="237">
        <v>1</v>
      </c>
      <c r="N8" t="s" s="236">
        <v>1226</v>
      </c>
    </row>
    <row r="9" ht="51" customHeight="1">
      <c r="B9" t="s" s="234">
        <v>1227</v>
      </c>
      <c r="C9" t="s" s="235">
        <v>1228</v>
      </c>
      <c r="D9" t="s" s="236">
        <v>1229</v>
      </c>
      <c r="E9" t="s" s="236">
        <v>1230</v>
      </c>
      <c r="F9" s="237">
        <v>1</v>
      </c>
      <c r="G9" t="s" s="238">
        <v>1214</v>
      </c>
      <c r="H9" t="s" s="239">
        <v>1215</v>
      </c>
      <c r="I9" t="s" s="236">
        <v>1231</v>
      </c>
      <c r="J9" t="s" s="236">
        <v>1232</v>
      </c>
      <c r="K9" s="237">
        <v>41</v>
      </c>
      <c r="L9" t="s" s="236">
        <v>1233</v>
      </c>
      <c r="M9" s="237">
        <v>42</v>
      </c>
      <c r="N9" t="s" s="236">
        <v>1234</v>
      </c>
    </row>
    <row r="10" ht="63.75" customHeight="1">
      <c r="B10" t="s" s="234">
        <v>1235</v>
      </c>
      <c r="C10" t="s" s="235">
        <v>1236</v>
      </c>
      <c r="D10" t="s" s="236">
        <v>1237</v>
      </c>
      <c r="E10" t="s" s="236">
        <v>1238</v>
      </c>
      <c r="F10" s="237">
        <v>2</v>
      </c>
      <c r="G10" t="s" s="240">
        <v>1239</v>
      </c>
      <c r="H10" t="s" s="240">
        <v>1240</v>
      </c>
      <c r="I10" t="s" s="236">
        <v>1241</v>
      </c>
      <c r="J10" t="s" s="236">
        <v>1242</v>
      </c>
      <c r="K10" s="237">
        <v>2</v>
      </c>
      <c r="L10" t="s" s="236">
        <v>1243</v>
      </c>
      <c r="M10" s="237">
        <v>1</v>
      </c>
      <c r="N10" t="s" s="236">
        <v>1244</v>
      </c>
    </row>
    <row r="11" ht="63.75" customHeight="1">
      <c r="B11" t="s" s="234">
        <v>1245</v>
      </c>
      <c r="C11" t="s" s="235">
        <v>1246</v>
      </c>
      <c r="D11" t="s" s="236">
        <v>1247</v>
      </c>
      <c r="E11" t="s" s="236">
        <v>1248</v>
      </c>
      <c r="F11" s="237">
        <v>2</v>
      </c>
      <c r="G11" t="s" s="239">
        <v>1205</v>
      </c>
      <c r="H11" t="s" s="239">
        <v>1215</v>
      </c>
      <c r="I11" t="s" s="236">
        <v>1249</v>
      </c>
      <c r="J11" t="s" s="236">
        <v>1250</v>
      </c>
      <c r="K11" s="237">
        <v>4</v>
      </c>
      <c r="L11" t="s" s="236">
        <v>1251</v>
      </c>
      <c r="M11" s="237">
        <v>22</v>
      </c>
      <c r="N11" t="s" s="236">
        <v>1252</v>
      </c>
    </row>
    <row r="12" ht="63.75" customHeight="1">
      <c r="B12" t="s" s="234">
        <v>1253</v>
      </c>
      <c r="C12" t="s" s="235">
        <v>1254</v>
      </c>
      <c r="D12" t="s" s="236">
        <v>1255</v>
      </c>
      <c r="E12" t="s" s="236">
        <v>1256</v>
      </c>
      <c r="F12" s="237">
        <v>2</v>
      </c>
      <c r="G12" t="s" s="240">
        <v>1239</v>
      </c>
      <c r="H12" t="s" s="239">
        <v>1215</v>
      </c>
      <c r="I12" t="s" s="236">
        <v>1257</v>
      </c>
      <c r="J12" t="s" s="236">
        <v>1258</v>
      </c>
      <c r="K12" s="237">
        <v>8</v>
      </c>
      <c r="L12" t="s" s="236">
        <v>1259</v>
      </c>
      <c r="M12" s="237">
        <v>2</v>
      </c>
      <c r="N12" t="str" s="236">
        <f>"Fund IV called no LP capital for "&amp;TEXT('Sub Line'!D45,"0")&amp;" days after first close and paid $"&amp;TEXT('Source Data'!C82,"0.0")&amp;"M of facility interest (45% of net management fees). Net IRR without the line is not provided, so the quartile claims rest on facility-boosted IRRs."</f>
        <v>Fund IV called no LP capital for 360 days after first close and paid $53.2M of facility interest (45% of net management fees). Net IRR without the line is not provided, so the quartile claims rest on facility-boosted IRRs.</v>
      </c>
    </row>
    <row r="13" ht="51" customHeight="1">
      <c r="B13" t="s" s="234">
        <v>1260</v>
      </c>
      <c r="C13" t="s" s="235">
        <v>1261</v>
      </c>
      <c r="D13" t="s" s="236">
        <v>1262</v>
      </c>
      <c r="E13" t="s" s="236">
        <v>1263</v>
      </c>
      <c r="F13" s="237">
        <v>2</v>
      </c>
      <c r="G13" t="s" s="238">
        <v>1214</v>
      </c>
      <c r="H13" t="s" s="239">
        <v>1215</v>
      </c>
      <c r="I13" t="s" s="236">
        <v>1264</v>
      </c>
      <c r="J13" t="s" s="236">
        <v>1265</v>
      </c>
      <c r="K13" s="237">
        <v>1</v>
      </c>
      <c r="L13" t="s" s="236">
        <v>1266</v>
      </c>
      <c r="M13" s="237">
        <v>2</v>
      </c>
      <c r="N13" t="s" s="236">
        <v>1267</v>
      </c>
    </row>
    <row r="14" ht="63.75" customHeight="1">
      <c r="B14" t="s" s="234">
        <v>1268</v>
      </c>
      <c r="C14" t="s" s="235">
        <v>1269</v>
      </c>
      <c r="D14" t="s" s="236">
        <v>1270</v>
      </c>
      <c r="E14" t="s" s="236">
        <v>1271</v>
      </c>
      <c r="F14" s="237">
        <v>3</v>
      </c>
      <c r="G14" t="s" s="238">
        <v>1214</v>
      </c>
      <c r="H14" t="s" s="239">
        <v>1215</v>
      </c>
      <c r="I14" t="s" s="236">
        <v>1272</v>
      </c>
      <c r="J14" t="s" s="236">
        <v>1273</v>
      </c>
      <c r="K14" s="237">
        <v>1</v>
      </c>
      <c r="L14" t="s" s="236">
        <v>1274</v>
      </c>
      <c r="M14" s="237">
        <v>1</v>
      </c>
      <c r="N14" t="s" s="236">
        <v>1275</v>
      </c>
    </row>
    <row r="15" ht="51" customHeight="1">
      <c r="B15" t="s" s="234">
        <v>1276</v>
      </c>
      <c r="C15" t="s" s="235">
        <v>1277</v>
      </c>
      <c r="D15" t="s" s="236">
        <v>1278</v>
      </c>
      <c r="E15" t="s" s="236">
        <v>1279</v>
      </c>
      <c r="F15" s="237">
        <v>3</v>
      </c>
      <c r="G15" t="s" s="239">
        <v>1205</v>
      </c>
      <c r="H15" t="s" s="239">
        <v>1215</v>
      </c>
      <c r="I15" t="s" s="236">
        <v>1280</v>
      </c>
      <c r="J15" t="s" s="236">
        <v>1281</v>
      </c>
      <c r="K15" s="237">
        <v>1</v>
      </c>
      <c r="L15" t="s" s="236">
        <v>1282</v>
      </c>
      <c r="M15" s="237">
        <v>2</v>
      </c>
      <c r="N15" t="str" s="236">
        <f>"The DDQ does not size the cash portion: it may be as little as $15M (1.0% of target), versus 2% in cash for Fund IV. Carry allocation matches the team file."</f>
        <v>The DDQ does not size the cash portion: it may be as little as $15M (1.0% of target), versus 2% in cash for Fund IV. Carry allocation matches the team file.</v>
      </c>
    </row>
    <row r="16" ht="63.75" customHeight="1">
      <c r="B16" t="s" s="234">
        <v>1283</v>
      </c>
      <c r="C16" t="s" s="235">
        <v>1284</v>
      </c>
      <c r="D16" t="s" s="236">
        <v>1285</v>
      </c>
      <c r="E16" t="s" s="236">
        <v>1286</v>
      </c>
      <c r="F16" s="237">
        <v>3</v>
      </c>
      <c r="G16" t="s" s="238">
        <v>1214</v>
      </c>
      <c r="H16" t="s" s="239">
        <v>1215</v>
      </c>
      <c r="I16" t="s" s="236">
        <v>1287</v>
      </c>
      <c r="J16" t="s" s="236">
        <v>1288</v>
      </c>
      <c r="K16" s="237">
        <v>2</v>
      </c>
      <c r="L16" t="s" s="236">
        <v>1289</v>
      </c>
      <c r="M16" s="237">
        <v>2</v>
      </c>
      <c r="N16" t="s" s="236">
        <v>1290</v>
      </c>
    </row>
    <row r="17" ht="63.75" customHeight="1">
      <c r="B17" t="s" s="234">
        <v>1291</v>
      </c>
      <c r="C17" t="s" s="235">
        <v>1292</v>
      </c>
      <c r="D17" t="s" s="236">
        <v>1293</v>
      </c>
      <c r="E17" t="s" s="236">
        <v>1294</v>
      </c>
      <c r="F17" s="237">
        <v>3</v>
      </c>
      <c r="G17" t="s" s="240">
        <v>1239</v>
      </c>
      <c r="H17" t="s" s="240">
        <v>1240</v>
      </c>
      <c r="I17" t="s" s="236">
        <v>1295</v>
      </c>
      <c r="J17" t="s" s="236">
        <v>1296</v>
      </c>
      <c r="K17" s="237">
        <v>1</v>
      </c>
      <c r="L17" t="s" s="236">
        <v>1297</v>
      </c>
      <c r="M17" s="237">
        <v>1</v>
      </c>
      <c r="N17" t="s" s="236">
        <v>1298</v>
      </c>
    </row>
    <row r="18" ht="76.5" customHeight="1">
      <c r="B18" t="s" s="234">
        <v>1299</v>
      </c>
      <c r="C18" t="s" s="235">
        <v>1300</v>
      </c>
      <c r="D18" t="s" s="236">
        <v>1301</v>
      </c>
      <c r="E18" t="s" s="236">
        <v>1302</v>
      </c>
      <c r="F18" s="237">
        <v>3</v>
      </c>
      <c r="G18" t="s" s="240">
        <v>1239</v>
      </c>
      <c r="H18" t="s" s="240">
        <v>1240</v>
      </c>
      <c r="I18" t="s" s="236">
        <v>1303</v>
      </c>
      <c r="J18" t="s" s="236">
        <v>1304</v>
      </c>
      <c r="K18" s="237">
        <v>1</v>
      </c>
      <c r="L18" t="s" s="236">
        <v>1305</v>
      </c>
      <c r="M18" s="237">
        <v>2</v>
      </c>
      <c r="N18" t="s" s="236">
        <v>1306</v>
      </c>
    </row>
    <row r="19" ht="51" customHeight="1">
      <c r="B19" t="s" s="234">
        <v>1307</v>
      </c>
      <c r="C19" t="s" s="235">
        <v>1308</v>
      </c>
      <c r="D19" t="s" s="236">
        <v>1309</v>
      </c>
      <c r="E19" t="s" s="236">
        <v>1310</v>
      </c>
      <c r="F19" s="237">
        <v>4</v>
      </c>
      <c r="G19" t="s" s="239">
        <v>1205</v>
      </c>
      <c r="H19" t="s" s="239">
        <v>1215</v>
      </c>
      <c r="I19" t="s" s="236">
        <v>1311</v>
      </c>
      <c r="J19" t="s" s="236">
        <v>1312</v>
      </c>
      <c r="K19" s="237">
        <v>27</v>
      </c>
      <c r="L19" t="s" s="236">
        <v>1313</v>
      </c>
      <c r="M19" s="237">
        <v>3</v>
      </c>
      <c r="N19" t="str" s="236">
        <f>"The two worst marks in the room are left out of 14.5. Benchmark dates are mismatched (Tarnwick June vs benchmark March), and Fund IV's "&amp;TEXT('Track Record'!F14,"0.00")&amp;"x TVPI is "&amp;LOWER(Quartile!H17)&amp;" quartile."</f>
        <v>The two worst marks in the room are left out of 14.5. Benchmark dates are mismatched (Tarnwick June vs benchmark March), and Fund IV's 1.43x TVPI is second quartile.</v>
      </c>
    </row>
    <row r="20" ht="63.75" customHeight="1">
      <c r="B20" t="s" s="234">
        <v>1314</v>
      </c>
      <c r="C20" t="s" s="235">
        <v>1315</v>
      </c>
      <c r="D20" t="s" s="236">
        <v>1316</v>
      </c>
      <c r="E20" t="s" s="236">
        <v>1317</v>
      </c>
      <c r="F20" s="237">
        <v>4</v>
      </c>
      <c r="G20" t="s" s="239">
        <v>1205</v>
      </c>
      <c r="H20" t="s" s="239">
        <v>1215</v>
      </c>
      <c r="I20" t="s" s="236">
        <v>1318</v>
      </c>
      <c r="J20" t="s" s="236">
        <v>1288</v>
      </c>
      <c r="K20" s="237">
        <v>2</v>
      </c>
      <c r="L20" t="s" s="236">
        <v>1319</v>
      </c>
      <c r="M20" s="237">
        <v>1</v>
      </c>
      <c r="N20" t="str" s="236">
        <f>"No administrator yet named for Fund V and none required by the LPA. At the peer median on pro forma LTM EBITDA, Pellston would be $"&amp;TEXT('Pellston Mark'!C41,"0")&amp;"M, not $"&amp;TEXT('Pellston Mark'!C15,"0")&amp;"M: a "&amp;TEXT(('Pellston Mark'!C15-'Pellston Mark'!C41)/'Pellston Mark'!C24,"0.0%")&amp;" reduction in Fund IV NAV (Pellston Mark tab)."</f>
        <v>No administrator yet named for Fund V and none required by the LPA. At the peer median on pro forma LTM EBITDA, Pellston would be $125M, not $290M: a 11.7% reduction in Fund IV NAV (Pellston Mark tab).</v>
      </c>
    </row>
    <row r="21" ht="51" customHeight="1">
      <c r="B21" t="s" s="234">
        <v>1320</v>
      </c>
      <c r="C21" t="s" s="235">
        <v>1321</v>
      </c>
      <c r="D21" t="s" s="236">
        <v>1322</v>
      </c>
      <c r="E21" t="s" s="236">
        <v>1323</v>
      </c>
      <c r="F21" s="237">
        <v>4</v>
      </c>
      <c r="G21" t="s" s="238">
        <v>1214</v>
      </c>
      <c r="H21" t="s" s="238">
        <v>1206</v>
      </c>
      <c r="I21" t="s" s="236">
        <v>1324</v>
      </c>
      <c r="J21" t="s" s="236">
        <v>1325</v>
      </c>
      <c r="K21" s="237">
        <v>2</v>
      </c>
      <c r="L21" t="s" s="236">
        <v>1326</v>
      </c>
      <c r="M21" s="237">
        <v>1</v>
      </c>
      <c r="N21" t="s" s="236">
        <v>1327</v>
      </c>
    </row>
    <row r="22" ht="38.25" customHeight="1">
      <c r="B22" t="s" s="234">
        <v>1328</v>
      </c>
      <c r="C22" t="s" s="235">
        <v>1329</v>
      </c>
      <c r="D22" t="s" s="236">
        <v>1330</v>
      </c>
      <c r="E22" t="s" s="236">
        <v>1331</v>
      </c>
      <c r="F22" s="237">
        <v>5</v>
      </c>
      <c r="G22" t="s" s="238">
        <v>1214</v>
      </c>
      <c r="H22" t="s" s="238">
        <v>1206</v>
      </c>
      <c r="I22" t="s" s="236">
        <v>1332</v>
      </c>
      <c r="J22" t="s" s="236">
        <v>1304</v>
      </c>
      <c r="K22" s="237">
        <v>1</v>
      </c>
      <c r="L22" s="236"/>
      <c r="M22" s="237"/>
      <c r="N22" t="s" s="236">
        <v>1333</v>
      </c>
    </row>
    <row r="23" ht="51" customHeight="1">
      <c r="B23" t="s" s="234">
        <v>1334</v>
      </c>
      <c r="C23" t="s" s="235">
        <v>1335</v>
      </c>
      <c r="D23" t="s" s="236">
        <v>1336</v>
      </c>
      <c r="E23" t="s" s="236">
        <v>1337</v>
      </c>
      <c r="F23" s="237">
        <v>5</v>
      </c>
      <c r="G23" t="s" s="239">
        <v>1205</v>
      </c>
      <c r="H23" t="s" s="240">
        <v>1240</v>
      </c>
      <c r="I23" t="s" s="236">
        <v>1338</v>
      </c>
      <c r="J23" t="s" s="236">
        <v>1339</v>
      </c>
      <c r="K23" s="237">
        <v>2</v>
      </c>
      <c r="L23" t="s" s="236">
        <v>1340</v>
      </c>
      <c r="M23" s="237">
        <v>2</v>
      </c>
      <c r="N23" t="s" s="236">
        <v>1341</v>
      </c>
    </row>
    <row r="24" ht="38.25" customHeight="1">
      <c r="B24" t="s" s="234">
        <v>1342</v>
      </c>
      <c r="C24" t="s" s="235">
        <v>1343</v>
      </c>
      <c r="D24" t="s" s="236">
        <v>1344</v>
      </c>
      <c r="E24" t="s" s="236">
        <v>1345</v>
      </c>
      <c r="F24" s="237">
        <v>5</v>
      </c>
      <c r="G24" t="s" s="239">
        <v>1205</v>
      </c>
      <c r="H24" t="s" s="241">
        <v>1346</v>
      </c>
      <c r="I24" t="s" s="236">
        <v>1347</v>
      </c>
      <c r="J24" t="s" s="236">
        <v>1348</v>
      </c>
      <c r="K24" s="237"/>
      <c r="L24" s="236"/>
      <c r="M24" s="237"/>
      <c r="N24" t="s" s="236">
        <v>1349</v>
      </c>
    </row>
    <row r="25" ht="38.25" customHeight="1">
      <c r="B25" t="s" s="234">
        <v>1350</v>
      </c>
      <c r="C25" t="s" s="235">
        <v>1351</v>
      </c>
      <c r="D25" t="s" s="236">
        <v>1352</v>
      </c>
      <c r="E25" t="s" s="236">
        <v>1353</v>
      </c>
      <c r="F25" s="237">
        <v>5</v>
      </c>
      <c r="G25" t="s" s="240">
        <v>1239</v>
      </c>
      <c r="H25" t="s" s="241">
        <v>1346</v>
      </c>
      <c r="I25" t="s" s="236">
        <v>1354</v>
      </c>
      <c r="J25" t="s" s="236">
        <v>1348</v>
      </c>
      <c r="K25" s="237"/>
      <c r="L25" s="236"/>
      <c r="M25" s="237"/>
      <c r="N25" t="s" s="236">
        <v>1355</v>
      </c>
    </row>
  </sheetData>
  <pageMargins left="0.7" right="0.7" top="0.75" bottom="0.75" header="0.3" footer="0.3"/>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21"/>
  <sheetViews>
    <sheetView showGridLines="0" workbookViewId="0">
      <pane xSplit="4" ySplit="5" topLeftCell="E6" activePane="bottomRight" state="frozen"/>
      <selection pane="topRight" activeCell="E1" sqref="E1"/>
      <selection pane="bottomLeft" activeCell="A6" sqref="A6"/>
      <selection pane="bottomRight" activeCell="A1" sqref="A1"/>
    </sheetView>
  </sheetViews>
  <cols>
    <col min="1" max="1" width="2.21875" customWidth="1"/>
    <col min="2" max="2" width="4.07421875" customWidth="1"/>
    <col min="3" max="3" width="18.9296875" customWidth="1"/>
    <col min="4" max="4" width="32.359375" customWidth="1"/>
    <col min="5" max="5" width="10.64453125" customWidth="1"/>
    <col min="6" max="6" width="47.50390625" customWidth="1"/>
    <col min="7" max="7" width="39.9296875" customWidth="1"/>
    <col min="8" max="8" width="41.7890625" customWidth="1"/>
    <col min="9" max="9" width="18.07421875" customWidth="1"/>
    <col min="10" max="10" width="26.64453125" customWidth="1"/>
    <col min="11" max="11" width="7.50390625" customWidth="1"/>
    <col min="12" max="12" width="26.64453125" customWidth="1"/>
    <col min="13" max="13" width="7.50390625" customWidth="1"/>
    <col min="14" max="14" width="26.64453125" customWidth="1"/>
    <col min="15" max="15" width="7.50390625" customWidth="1"/>
  </cols>
  <sheetData>
    <row r="2">
      <c r="B2" t="s" s="1">
        <v>1356</v>
      </c>
    </row>
    <row r="3">
      <c r="B3" t="s" s="2">
        <v>1357</v>
      </c>
    </row>
    <row r="5" ht="30" customHeight="1">
      <c r="B5" t="s" s="229">
        <v>1358</v>
      </c>
      <c r="C5" t="s" s="229">
        <v>1359</v>
      </c>
      <c r="D5" t="s" s="229">
        <v>1360</v>
      </c>
      <c r="E5" t="s" s="229">
        <v>1361</v>
      </c>
      <c r="F5" t="s" s="229">
        <v>1362</v>
      </c>
      <c r="G5" t="s" s="229">
        <v>1363</v>
      </c>
      <c r="H5" t="s" s="229">
        <v>1364</v>
      </c>
      <c r="I5" t="s" s="229">
        <v>1365</v>
      </c>
      <c r="J5" t="s" s="229">
        <v>1197</v>
      </c>
      <c r="K5" t="s" s="229">
        <v>1198</v>
      </c>
      <c r="L5" t="s" s="229">
        <v>1199</v>
      </c>
      <c r="M5" t="s" s="229">
        <v>1198</v>
      </c>
      <c r="N5" t="s" s="229">
        <v>1366</v>
      </c>
      <c r="O5" t="s" s="229">
        <v>1198</v>
      </c>
    </row>
    <row r="6" ht="76.5" customHeight="1">
      <c r="B6" t="s" s="242">
        <v>1367</v>
      </c>
      <c r="C6" t="s" s="182">
        <v>1368</v>
      </c>
      <c r="D6" t="s" s="183">
        <v>1369</v>
      </c>
      <c r="E6" t="s" s="233">
        <v>1370</v>
      </c>
      <c r="F6" t="s" s="183">
        <v>1371</v>
      </c>
      <c r="G6" t="s" s="183">
        <v>1372</v>
      </c>
      <c r="H6" t="s" s="183">
        <v>1373</v>
      </c>
      <c r="I6" t="s" s="183">
        <v>1374</v>
      </c>
      <c r="J6" t="s" s="183">
        <v>1375</v>
      </c>
      <c r="K6" s="231">
        <v>1</v>
      </c>
      <c r="L6" t="s" s="183">
        <v>1376</v>
      </c>
      <c r="M6" s="231">
        <v>1</v>
      </c>
      <c r="N6" t="s" s="183">
        <v>1377</v>
      </c>
      <c r="O6" s="231">
        <v>1</v>
      </c>
    </row>
    <row r="7" ht="89.25" customHeight="1">
      <c r="B7" t="s" s="243">
        <v>1378</v>
      </c>
      <c r="C7" t="s" s="235">
        <v>1379</v>
      </c>
      <c r="D7" t="s" s="236">
        <v>1380</v>
      </c>
      <c r="E7" t="s" s="240">
        <v>1370</v>
      </c>
      <c r="F7" t="s" s="236">
        <v>1381</v>
      </c>
      <c r="G7" t="s" s="236">
        <v>1382</v>
      </c>
      <c r="H7" t="s" s="236">
        <v>1383</v>
      </c>
      <c r="I7" t="s" s="236">
        <v>1384</v>
      </c>
      <c r="J7" t="s" s="236">
        <v>1265</v>
      </c>
      <c r="K7" s="237">
        <v>1</v>
      </c>
      <c r="L7" t="s" s="236">
        <v>1319</v>
      </c>
      <c r="M7" s="237">
        <v>1</v>
      </c>
      <c r="N7" t="s" s="236">
        <v>1385</v>
      </c>
      <c r="O7" s="237">
        <v>1</v>
      </c>
    </row>
    <row r="8" ht="89.25" customHeight="1">
      <c r="B8" t="s" s="243">
        <v>1386</v>
      </c>
      <c r="C8" t="s" s="235">
        <v>1387</v>
      </c>
      <c r="D8" t="s" s="236">
        <v>1388</v>
      </c>
      <c r="E8" t="s" s="240">
        <v>1370</v>
      </c>
      <c r="F8" t="s" s="236">
        <v>1389</v>
      </c>
      <c r="G8" t="str" s="236">
        <f>"At the peer median on pro forma LTM EBITDA, Pellston equity is $"&amp;TEXT('Pellston Mark'!C41,"0")&amp;"M versus the $"&amp;TEXT('Pellston Mark'!C15,"0")&amp;"M mark; the gap is "&amp;TEXT(('Pellston Mark'!C15-'Pellston Mark'!C41)/'Pellston Mark'!C24,"0.0%")&amp;" of Fund IV NAV and would push Fund IV's TVPI further below the upper quartile."</f>
        <v>At the peer median on pro forma LTM EBITDA, Pellston equity is $125M versus the $290M mark; the gap is 11.7% of Fund IV NAV and would push Fund IV's TVPI further below the upper quartile.</v>
      </c>
      <c r="H8" t="s" s="236">
        <v>1390</v>
      </c>
      <c r="I8" t="s" s="236">
        <v>1391</v>
      </c>
      <c r="J8" t="s" s="236">
        <v>1392</v>
      </c>
      <c r="K8" s="237">
        <v>1</v>
      </c>
      <c r="L8" t="s" s="236">
        <v>1288</v>
      </c>
      <c r="M8" s="237">
        <v>2</v>
      </c>
      <c r="N8" t="s" s="236">
        <v>1393</v>
      </c>
      <c r="O8" s="237">
        <v>2</v>
      </c>
    </row>
    <row r="9" ht="76.5" customHeight="1">
      <c r="B9" t="s" s="243">
        <v>1394</v>
      </c>
      <c r="C9" t="s" s="235">
        <v>1395</v>
      </c>
      <c r="D9" t="s" s="236">
        <v>1396</v>
      </c>
      <c r="E9" t="s" s="240">
        <v>1370</v>
      </c>
      <c r="F9" t="s" s="236">
        <v>1397</v>
      </c>
      <c r="G9" t="s" s="236">
        <v>1398</v>
      </c>
      <c r="H9" t="s" s="236">
        <v>1399</v>
      </c>
      <c r="I9" t="s" s="236">
        <v>1391</v>
      </c>
      <c r="J9" t="s" s="236">
        <v>1304</v>
      </c>
      <c r="K9" s="237">
        <v>1</v>
      </c>
      <c r="L9" t="s" s="236">
        <v>1305</v>
      </c>
      <c r="M9" s="237">
        <v>2</v>
      </c>
      <c r="N9" t="s" s="236">
        <v>1400</v>
      </c>
      <c r="O9" s="237">
        <v>3</v>
      </c>
    </row>
    <row r="10" ht="76.5" customHeight="1">
      <c r="B10" t="s" s="243">
        <v>1401</v>
      </c>
      <c r="C10" t="s" s="235">
        <v>1402</v>
      </c>
      <c r="D10" t="s" s="236">
        <v>1403</v>
      </c>
      <c r="E10" t="s" s="240">
        <v>1370</v>
      </c>
      <c r="F10" t="s" s="236">
        <v>1404</v>
      </c>
      <c r="G10" t="s" s="236">
        <v>1405</v>
      </c>
      <c r="H10" t="s" s="236">
        <v>1406</v>
      </c>
      <c r="I10" t="s" s="236">
        <v>1407</v>
      </c>
      <c r="J10" t="s" s="236">
        <v>1243</v>
      </c>
      <c r="K10" s="237">
        <v>1</v>
      </c>
      <c r="L10" t="s" s="236">
        <v>1242</v>
      </c>
      <c r="M10" s="237">
        <v>2</v>
      </c>
      <c r="N10" t="s" s="236">
        <v>1408</v>
      </c>
      <c r="O10" s="237">
        <v>1</v>
      </c>
    </row>
    <row r="11" ht="76.5" customHeight="1">
      <c r="B11" t="s" s="243">
        <v>1409</v>
      </c>
      <c r="C11" t="s" s="235">
        <v>1410</v>
      </c>
      <c r="D11" t="s" s="236">
        <v>1411</v>
      </c>
      <c r="E11" t="s" s="240">
        <v>1370</v>
      </c>
      <c r="F11" t="s" s="236">
        <v>1412</v>
      </c>
      <c r="G11" t="s" s="236">
        <v>1413</v>
      </c>
      <c r="H11" t="s" s="236">
        <v>1414</v>
      </c>
      <c r="I11" t="s" s="236">
        <v>1407</v>
      </c>
      <c r="J11" t="s" s="236">
        <v>1224</v>
      </c>
      <c r="K11" s="237">
        <v>1</v>
      </c>
      <c r="L11" t="s" s="236">
        <v>1225</v>
      </c>
      <c r="M11" s="237">
        <v>1</v>
      </c>
      <c r="N11" t="s" s="236">
        <v>1282</v>
      </c>
      <c r="O11" s="237">
        <v>2</v>
      </c>
    </row>
    <row r="12" ht="63.75" customHeight="1">
      <c r="B12" t="s" s="243">
        <v>1415</v>
      </c>
      <c r="C12" t="s" s="235">
        <v>1416</v>
      </c>
      <c r="D12" t="s" s="236">
        <v>1417</v>
      </c>
      <c r="E12" t="s" s="240">
        <v>1370</v>
      </c>
      <c r="F12" t="s" s="236">
        <v>1418</v>
      </c>
      <c r="G12" t="s" s="236">
        <v>1419</v>
      </c>
      <c r="H12" t="s" s="236">
        <v>1420</v>
      </c>
      <c r="I12" t="s" s="236">
        <v>1407</v>
      </c>
      <c r="J12" t="s" s="236">
        <v>1421</v>
      </c>
      <c r="K12" s="237">
        <v>1</v>
      </c>
      <c r="L12" t="s" s="236">
        <v>1297</v>
      </c>
      <c r="M12" s="237">
        <v>1</v>
      </c>
      <c r="N12" s="236"/>
      <c r="O12" s="237"/>
    </row>
    <row r="13" ht="89.25" customHeight="1">
      <c r="B13" t="s" s="243">
        <v>1422</v>
      </c>
      <c r="C13" t="s" s="235">
        <v>1423</v>
      </c>
      <c r="D13" t="s" s="236">
        <v>1424</v>
      </c>
      <c r="E13" t="s" s="239">
        <v>1425</v>
      </c>
      <c r="F13" t="s" s="236">
        <v>1426</v>
      </c>
      <c r="G13" t="s" s="236">
        <v>1427</v>
      </c>
      <c r="H13" t="s" s="236">
        <v>1428</v>
      </c>
      <c r="I13" t="s" s="236">
        <v>1429</v>
      </c>
      <c r="J13" t="s" s="236">
        <v>1430</v>
      </c>
      <c r="K13" s="237">
        <v>2</v>
      </c>
      <c r="L13" t="s" s="236">
        <v>1431</v>
      </c>
      <c r="M13" s="237">
        <v>1</v>
      </c>
      <c r="N13" s="236"/>
      <c r="O13" s="237"/>
    </row>
    <row r="14" ht="63.75" customHeight="1">
      <c r="B14" t="s" s="243">
        <v>1432</v>
      </c>
      <c r="C14" t="s" s="235">
        <v>1433</v>
      </c>
      <c r="D14" t="s" s="236">
        <v>1434</v>
      </c>
      <c r="E14" t="s" s="239">
        <v>1425</v>
      </c>
      <c r="F14" t="s" s="236">
        <v>1435</v>
      </c>
      <c r="G14" t="s" s="236">
        <v>1436</v>
      </c>
      <c r="H14" t="s" s="236">
        <v>1437</v>
      </c>
      <c r="I14" t="s" s="236">
        <v>1438</v>
      </c>
      <c r="J14" t="s" s="236">
        <v>1439</v>
      </c>
      <c r="K14" s="237">
        <v>3</v>
      </c>
      <c r="L14" t="s" s="236">
        <v>1274</v>
      </c>
      <c r="M14" s="237">
        <v>1</v>
      </c>
      <c r="N14" t="s" s="236">
        <v>1440</v>
      </c>
      <c r="O14" s="237">
        <v>10</v>
      </c>
    </row>
    <row r="15" ht="63.75" customHeight="1">
      <c r="B15" t="s" s="243">
        <v>1441</v>
      </c>
      <c r="C15" t="s" s="235">
        <v>1442</v>
      </c>
      <c r="D15" t="s" s="236">
        <v>1443</v>
      </c>
      <c r="E15" t="s" s="239">
        <v>1425</v>
      </c>
      <c r="F15" t="s" s="236">
        <v>1444</v>
      </c>
      <c r="G15" t="s" s="236">
        <v>1445</v>
      </c>
      <c r="H15" t="s" s="236">
        <v>1446</v>
      </c>
      <c r="I15" t="s" s="236">
        <v>1447</v>
      </c>
      <c r="J15" t="s" s="236">
        <v>1376</v>
      </c>
      <c r="K15" s="237">
        <v>1</v>
      </c>
      <c r="L15" t="s" s="236">
        <v>1273</v>
      </c>
      <c r="M15" s="237">
        <v>1</v>
      </c>
      <c r="N15" s="236"/>
      <c r="O15" s="237"/>
    </row>
    <row r="16" ht="76.5" customHeight="1">
      <c r="B16" t="s" s="243">
        <v>1448</v>
      </c>
      <c r="C16" t="s" s="235">
        <v>1449</v>
      </c>
      <c r="D16" t="s" s="236">
        <v>1450</v>
      </c>
      <c r="E16" t="s" s="239">
        <v>1425</v>
      </c>
      <c r="F16" t="s" s="236">
        <v>1451</v>
      </c>
      <c r="G16" t="s" s="236">
        <v>1452</v>
      </c>
      <c r="H16" t="s" s="236">
        <v>1453</v>
      </c>
      <c r="I16" t="s" s="236">
        <v>1447</v>
      </c>
      <c r="J16" t="s" s="236">
        <v>1339</v>
      </c>
      <c r="K16" s="237">
        <v>2</v>
      </c>
      <c r="L16" t="s" s="236">
        <v>1454</v>
      </c>
      <c r="M16" s="237">
        <v>1</v>
      </c>
      <c r="N16" s="236"/>
      <c r="O16" s="237"/>
    </row>
    <row r="17" ht="63.75" customHeight="1">
      <c r="B17" t="s" s="243">
        <v>1455</v>
      </c>
      <c r="C17" t="s" s="235">
        <v>1456</v>
      </c>
      <c r="D17" t="s" s="236">
        <v>1457</v>
      </c>
      <c r="E17" t="s" s="239">
        <v>1425</v>
      </c>
      <c r="F17" t="s" s="236">
        <v>1458</v>
      </c>
      <c r="G17" t="s" s="236">
        <v>1459</v>
      </c>
      <c r="H17" t="s" s="236">
        <v>1460</v>
      </c>
      <c r="I17" t="s" s="236">
        <v>1438</v>
      </c>
      <c r="J17" t="s" s="236">
        <v>1461</v>
      </c>
      <c r="K17" s="237">
        <v>2</v>
      </c>
      <c r="L17" t="s" s="236">
        <v>1340</v>
      </c>
      <c r="M17" s="237">
        <v>2</v>
      </c>
      <c r="N17" t="s" s="236">
        <v>1462</v>
      </c>
      <c r="O17" s="237">
        <v>5</v>
      </c>
    </row>
    <row r="18" ht="76.5" customHeight="1">
      <c r="B18" t="s" s="243">
        <v>1463</v>
      </c>
      <c r="C18" t="s" s="235">
        <v>1464</v>
      </c>
      <c r="D18" t="s" s="236">
        <v>1465</v>
      </c>
      <c r="E18" t="s" s="239">
        <v>1425</v>
      </c>
      <c r="F18" t="s" s="236">
        <v>1466</v>
      </c>
      <c r="G18" t="str" s="236">
        <f>"The facility lifts reported net IRR (and the first-quartile claim) while costing LPs $"&amp;TEXT('Source Data'!C82,"0.0")&amp;"M; Fund IV beats the upper-quartile IRR by "&amp;TEXT((Quartile!C17-Quartile!D10)*100,"0.0")&amp;" points but is "&amp;LOWER(Quartile!H17)&amp;" quartile on TVPI."</f>
        <v>The facility lifts reported net IRR (and the first-quartile claim) while costing LPs $53.2M; Fund IV beats the upper-quartile IRR by 0.5 points but is second quartile on TVPI.</v>
      </c>
      <c r="H18" t="s" s="236">
        <v>1467</v>
      </c>
      <c r="I18" t="s" s="236">
        <v>1468</v>
      </c>
      <c r="J18" t="s" s="236">
        <v>1258</v>
      </c>
      <c r="K18" s="237">
        <v>8</v>
      </c>
      <c r="L18" t="s" s="236">
        <v>1469</v>
      </c>
      <c r="M18" s="237">
        <v>17</v>
      </c>
      <c r="N18" t="s" s="236">
        <v>1259</v>
      </c>
      <c r="O18" s="237">
        <v>2</v>
      </c>
    </row>
    <row r="19" ht="76.5" customHeight="1">
      <c r="B19" t="s" s="243">
        <v>1470</v>
      </c>
      <c r="C19" t="s" s="235">
        <v>1471</v>
      </c>
      <c r="D19" t="s" s="236">
        <v>1472</v>
      </c>
      <c r="E19" t="s" s="239">
        <v>1425</v>
      </c>
      <c r="F19" t="s" s="236">
        <v>1473</v>
      </c>
      <c r="G19" t="s" s="236">
        <v>1474</v>
      </c>
      <c r="H19" t="s" s="236">
        <v>1475</v>
      </c>
      <c r="I19" t="s" s="236">
        <v>1438</v>
      </c>
      <c r="J19" t="s" s="236">
        <v>1250</v>
      </c>
      <c r="K19" s="237">
        <v>4</v>
      </c>
      <c r="L19" t="s" s="236">
        <v>1476</v>
      </c>
      <c r="M19" s="237">
        <v>1</v>
      </c>
      <c r="N19" s="236"/>
      <c r="O19" s="237"/>
    </row>
    <row r="20" ht="63.75" customHeight="1">
      <c r="B20" t="s" s="243">
        <v>1477</v>
      </c>
      <c r="C20" t="s" s="235">
        <v>1478</v>
      </c>
      <c r="D20" t="s" s="236">
        <v>1479</v>
      </c>
      <c r="E20" t="s" s="239">
        <v>1425</v>
      </c>
      <c r="F20" t="s" s="236">
        <v>1480</v>
      </c>
      <c r="G20" t="s" s="236">
        <v>1481</v>
      </c>
      <c r="H20" t="s" s="236">
        <v>1482</v>
      </c>
      <c r="I20" t="s" s="236">
        <v>1391</v>
      </c>
      <c r="J20" t="s" s="236">
        <v>1483</v>
      </c>
      <c r="K20" s="237">
        <v>2</v>
      </c>
      <c r="L20" t="s" s="236">
        <v>1242</v>
      </c>
      <c r="M20" s="237">
        <v>2</v>
      </c>
      <c r="N20" t="s" s="236">
        <v>1484</v>
      </c>
      <c r="O20" s="237">
        <v>3</v>
      </c>
    </row>
    <row r="21" ht="63.75" customHeight="1">
      <c r="B21" t="s" s="243">
        <v>1485</v>
      </c>
      <c r="C21" t="s" s="235">
        <v>1486</v>
      </c>
      <c r="D21" t="s" s="236">
        <v>1487</v>
      </c>
      <c r="E21" t="s" s="238">
        <v>1488</v>
      </c>
      <c r="F21" t="s" s="236">
        <v>1489</v>
      </c>
      <c r="G21" t="s" s="236">
        <v>1490</v>
      </c>
      <c r="H21" t="s" s="236">
        <v>1491</v>
      </c>
      <c r="I21" t="s" s="236">
        <v>1438</v>
      </c>
      <c r="J21" t="s" s="236">
        <v>1326</v>
      </c>
      <c r="K21" s="237">
        <v>1</v>
      </c>
      <c r="L21" t="s" s="236">
        <v>1492</v>
      </c>
      <c r="M21" s="237">
        <v>4</v>
      </c>
      <c r="N21" s="236"/>
      <c r="O21" s="237"/>
    </row>
  </sheetData>
  <pageMargins left="0.7" right="0.7" top="0.75" bottom="0.75" header="0.3" footer="0.3"/>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0"/>
  <sheetViews>
    <sheetView showGridLines="0" workbookViewId="0">
      <pane ySplit="5" topLeftCell="A6" activePane="bottomLeft" state="frozen"/>
      <selection pane="bottomLeft" activeCell="A1" sqref="A1"/>
    </sheetView>
  </sheetViews>
  <cols>
    <col min="1" max="1" width="2.21875" customWidth="1"/>
    <col min="2" max="2" width="4.9296875" customWidth="1"/>
    <col min="3" max="3" width="106.64453125" customWidth="1"/>
    <col min="4" max="4" width="22.7890625" customWidth="1"/>
    <col min="5" max="5" width="15.21875" customWidth="1"/>
  </cols>
  <sheetData>
    <row r="2">
      <c r="B2" t="s" s="1">
        <v>1493</v>
      </c>
    </row>
    <row r="3">
      <c r="B3" t="s" s="2">
        <v>1494</v>
      </c>
    </row>
    <row r="5">
      <c r="B5" t="s" s="229">
        <v>1358</v>
      </c>
      <c r="C5" t="s" s="229">
        <v>1495</v>
      </c>
      <c r="D5" t="s" s="229">
        <v>1496</v>
      </c>
      <c r="E5" t="s" s="229">
        <v>1497</v>
      </c>
    </row>
    <row r="6" ht="16" customHeight="1">
      <c r="B6" t="s" s="244">
        <v>1498</v>
      </c>
      <c r="C6" s="245"/>
      <c r="D6" s="245"/>
      <c r="E6" s="245"/>
    </row>
    <row r="7">
      <c r="B7" t="s" s="242">
        <v>1367</v>
      </c>
      <c r="C7" t="s" s="183">
        <v>1499</v>
      </c>
      <c r="D7" t="s" s="183">
        <v>1500</v>
      </c>
      <c r="E7" t="s" s="183">
        <v>1501</v>
      </c>
    </row>
    <row r="8">
      <c r="B8" t="s" s="243">
        <v>1378</v>
      </c>
      <c r="C8" t="s" s="236">
        <v>1502</v>
      </c>
      <c r="D8" t="s" s="236">
        <v>1503</v>
      </c>
      <c r="E8" t="s" s="236">
        <v>1501</v>
      </c>
    </row>
    <row r="9">
      <c r="B9" t="s" s="243">
        <v>1386</v>
      </c>
      <c r="C9" t="s" s="236">
        <v>1504</v>
      </c>
      <c r="D9" t="s" s="236">
        <v>1505</v>
      </c>
      <c r="E9" t="s" s="236">
        <v>1506</v>
      </c>
    </row>
    <row r="10">
      <c r="B10" t="s" s="243">
        <v>1394</v>
      </c>
      <c r="C10" t="s" s="236">
        <v>1507</v>
      </c>
      <c r="D10" t="s" s="236">
        <v>1508</v>
      </c>
      <c r="E10" t="s" s="236">
        <v>1506</v>
      </c>
    </row>
    <row r="11">
      <c r="B11" t="s" s="243">
        <v>1401</v>
      </c>
      <c r="C11" t="s" s="236">
        <v>1509</v>
      </c>
      <c r="D11" t="s" s="236">
        <v>1510</v>
      </c>
      <c r="E11" t="s" s="236">
        <v>1501</v>
      </c>
    </row>
    <row r="12" ht="16" customHeight="1">
      <c r="B12" t="s" s="246">
        <v>1511</v>
      </c>
      <c r="C12" s="247"/>
      <c r="D12" s="247"/>
      <c r="E12" s="247"/>
    </row>
    <row r="13" ht="28" customHeight="1">
      <c r="B13" t="s" s="243">
        <v>1409</v>
      </c>
      <c r="C13" t="s" s="236">
        <v>1512</v>
      </c>
      <c r="D13" t="s" s="236">
        <v>1513</v>
      </c>
      <c r="E13" t="s" s="236">
        <v>1506</v>
      </c>
    </row>
    <row r="14">
      <c r="B14" t="s" s="243">
        <v>1415</v>
      </c>
      <c r="C14" t="s" s="236">
        <v>1514</v>
      </c>
      <c r="D14" t="s" s="236">
        <v>1515</v>
      </c>
      <c r="E14" t="s" s="236">
        <v>1501</v>
      </c>
    </row>
    <row r="15">
      <c r="B15" t="s" s="243">
        <v>1422</v>
      </c>
      <c r="C15" t="s" s="236">
        <v>1516</v>
      </c>
      <c r="D15" t="s" s="236">
        <v>1517</v>
      </c>
      <c r="E15" t="s" s="236">
        <v>1501</v>
      </c>
    </row>
    <row r="16">
      <c r="B16" t="s" s="243">
        <v>1432</v>
      </c>
      <c r="C16" t="s" s="236">
        <v>1518</v>
      </c>
      <c r="D16" t="s" s="236">
        <v>1508</v>
      </c>
      <c r="E16" t="s" s="236">
        <v>1501</v>
      </c>
    </row>
    <row r="17" ht="16" customHeight="1">
      <c r="B17" t="s" s="246">
        <v>1519</v>
      </c>
      <c r="C17" s="247"/>
      <c r="D17" s="247"/>
      <c r="E17" s="247"/>
    </row>
    <row r="18" ht="28" customHeight="1">
      <c r="B18" t="s" s="243">
        <v>1441</v>
      </c>
      <c r="C18" t="s" s="236">
        <v>1520</v>
      </c>
      <c r="D18" t="s" s="236">
        <v>1521</v>
      </c>
      <c r="E18" t="s" s="236">
        <v>1501</v>
      </c>
    </row>
    <row r="19">
      <c r="B19" t="s" s="243">
        <v>1448</v>
      </c>
      <c r="C19" t="s" s="236">
        <v>1522</v>
      </c>
      <c r="D19" t="s" s="236">
        <v>1523</v>
      </c>
      <c r="E19" t="s" s="236">
        <v>1501</v>
      </c>
    </row>
    <row r="20">
      <c r="B20" t="s" s="243">
        <v>1455</v>
      </c>
      <c r="C20" t="s" s="236">
        <v>1524</v>
      </c>
      <c r="D20" t="s" s="236">
        <v>1523</v>
      </c>
      <c r="E20" t="s" s="236">
        <v>1501</v>
      </c>
    </row>
    <row r="21">
      <c r="B21" t="s" s="243">
        <v>1463</v>
      </c>
      <c r="C21" t="s" s="236">
        <v>1525</v>
      </c>
      <c r="D21" t="s" s="236">
        <v>1523</v>
      </c>
      <c r="E21" t="s" s="236">
        <v>1506</v>
      </c>
    </row>
    <row r="22" ht="16" customHeight="1">
      <c r="B22" t="s" s="246">
        <v>1526</v>
      </c>
      <c r="C22" s="247"/>
      <c r="D22" s="247"/>
      <c r="E22" s="247"/>
    </row>
    <row r="23">
      <c r="B23" t="s" s="243">
        <v>1470</v>
      </c>
      <c r="C23" t="s" s="236">
        <v>1527</v>
      </c>
      <c r="D23" t="s" s="236">
        <v>1528</v>
      </c>
      <c r="E23" t="s" s="236">
        <v>1501</v>
      </c>
    </row>
    <row r="24">
      <c r="B24" t="s" s="243">
        <v>1477</v>
      </c>
      <c r="C24" t="s" s="236">
        <v>1529</v>
      </c>
      <c r="D24" t="s" s="236">
        <v>1530</v>
      </c>
      <c r="E24" t="s" s="236">
        <v>1501</v>
      </c>
    </row>
    <row r="25">
      <c r="B25" t="s" s="243">
        <v>1485</v>
      </c>
      <c r="C25" t="s" s="236">
        <v>1531</v>
      </c>
      <c r="D25" t="s" s="236">
        <v>1530</v>
      </c>
      <c r="E25" t="s" s="236">
        <v>1501</v>
      </c>
    </row>
    <row r="26" ht="16" customHeight="1">
      <c r="B26" t="s" s="246">
        <v>1532</v>
      </c>
      <c r="C26" s="247"/>
      <c r="D26" s="247"/>
      <c r="E26" s="247"/>
    </row>
    <row r="27">
      <c r="B27" t="s" s="243">
        <v>1533</v>
      </c>
      <c r="C27" t="s" s="236">
        <v>1534</v>
      </c>
      <c r="D27" t="s" s="236">
        <v>1535</v>
      </c>
      <c r="E27" t="s" s="236">
        <v>1501</v>
      </c>
    </row>
    <row r="28" ht="28" customHeight="1">
      <c r="B28" t="s" s="243">
        <v>1536</v>
      </c>
      <c r="C28" t="s" s="236">
        <v>1537</v>
      </c>
      <c r="D28" t="s" s="236">
        <v>1538</v>
      </c>
      <c r="E28" t="s" s="236">
        <v>1506</v>
      </c>
    </row>
    <row r="29">
      <c r="B29" t="s" s="243">
        <v>1539</v>
      </c>
      <c r="C29" t="s" s="236">
        <v>1540</v>
      </c>
      <c r="D29" t="s" s="236">
        <v>1541</v>
      </c>
      <c r="E29" t="s" s="236">
        <v>1506</v>
      </c>
    </row>
    <row r="30">
      <c r="B30" t="s" s="243">
        <v>1542</v>
      </c>
      <c r="C30" t="s" s="236">
        <v>1543</v>
      </c>
      <c r="D30" t="s" s="236">
        <v>1544</v>
      </c>
      <c r="E30" t="s" s="236">
        <v>1506</v>
      </c>
    </row>
    <row r="31" ht="28" customHeight="1">
      <c r="B31" t="s" s="243">
        <v>1545</v>
      </c>
      <c r="C31" t="s" s="236">
        <v>1546</v>
      </c>
      <c r="D31" t="s" s="236">
        <v>1547</v>
      </c>
      <c r="E31" t="s" s="236">
        <v>1501</v>
      </c>
    </row>
    <row r="32" ht="16" customHeight="1">
      <c r="B32" t="s" s="246">
        <v>1548</v>
      </c>
      <c r="C32" s="247"/>
      <c r="D32" s="247"/>
      <c r="E32" s="247"/>
    </row>
    <row r="33" ht="28" customHeight="1">
      <c r="B33" t="s" s="243">
        <v>1549</v>
      </c>
      <c r="C33" t="s" s="236">
        <v>1550</v>
      </c>
      <c r="D33" t="s" s="236">
        <v>1551</v>
      </c>
      <c r="E33" t="s" s="236">
        <v>1506</v>
      </c>
    </row>
    <row r="34">
      <c r="B34" t="s" s="243">
        <v>1552</v>
      </c>
      <c r="C34" t="s" s="236">
        <v>1553</v>
      </c>
      <c r="D34" t="s" s="236">
        <v>1554</v>
      </c>
      <c r="E34" t="s" s="236">
        <v>1501</v>
      </c>
    </row>
    <row r="35">
      <c r="B35" t="s" s="243">
        <v>1555</v>
      </c>
      <c r="C35" t="s" s="236">
        <v>1556</v>
      </c>
      <c r="D35" t="s" s="236">
        <v>1551</v>
      </c>
      <c r="E35" t="s" s="236">
        <v>1506</v>
      </c>
    </row>
    <row r="36" ht="16" customHeight="1">
      <c r="B36" t="s" s="246">
        <v>1557</v>
      </c>
      <c r="C36" s="247"/>
      <c r="D36" s="247"/>
      <c r="E36" s="247"/>
    </row>
    <row r="37">
      <c r="B37" t="s" s="243">
        <v>1558</v>
      </c>
      <c r="C37" t="s" s="236">
        <v>1559</v>
      </c>
      <c r="D37" t="s" s="236">
        <v>1560</v>
      </c>
      <c r="E37" t="s" s="236">
        <v>1501</v>
      </c>
    </row>
    <row r="38">
      <c r="B38" t="s" s="243">
        <v>1561</v>
      </c>
      <c r="C38" t="s" s="236">
        <v>1562</v>
      </c>
      <c r="D38" t="s" s="236">
        <v>1563</v>
      </c>
      <c r="E38" t="s" s="236">
        <v>1501</v>
      </c>
    </row>
    <row r="39">
      <c r="B39" t="s" s="243">
        <v>1564</v>
      </c>
      <c r="C39" t="s" s="236">
        <v>1565</v>
      </c>
      <c r="D39" t="s" s="236">
        <v>1566</v>
      </c>
      <c r="E39" t="s" s="236">
        <v>1506</v>
      </c>
    </row>
    <row r="40">
      <c r="B40" t="s" s="243">
        <v>1567</v>
      </c>
      <c r="C40" t="s" s="236">
        <v>1568</v>
      </c>
      <c r="D40" t="s" s="236">
        <v>1569</v>
      </c>
      <c r="E40" t="s" s="236">
        <v>1506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81"/>
  <sheetViews>
    <sheetView showGridLines="0" workbookViewId="0">
      <pane ySplit="4" topLeftCell="A5" activePane="bottomLeft" state="frozen"/>
      <selection pane="bottomLeft" activeCell="A1" sqref="A1"/>
    </sheetView>
  </sheetViews>
  <cols>
    <col min="1" max="1" width="2.21875" customWidth="1"/>
    <col min="2" max="2" width="11.359375" customWidth="1"/>
    <col min="3" max="3" width="34.21875" customWidth="1"/>
    <col min="4" max="4" width="13.21875" customWidth="1"/>
    <col min="5" max="5" width="30.359375" customWidth="1"/>
    <col min="6" max="6" width="13.21875" customWidth="1"/>
    <col min="7" max="9" width="16.07421875" customWidth="1"/>
    <col min="10" max="10" width="32.359375" customWidth="1"/>
  </cols>
  <sheetData>
    <row r="2">
      <c r="B2" t="s" s="1">
        <v>177</v>
      </c>
    </row>
    <row r="3">
      <c r="B3" t="s" s="2">
        <v>178</v>
      </c>
    </row>
    <row r="4" ht="42" customHeight="1">
      <c r="B4" t="s" s="56">
        <v>179</v>
      </c>
      <c r="C4" t="s" s="56">
        <v>139</v>
      </c>
      <c r="D4" t="s" s="56">
        <v>180</v>
      </c>
      <c r="E4" t="s" s="56">
        <v>181</v>
      </c>
      <c r="F4" t="s" s="56">
        <v>182</v>
      </c>
      <c r="G4" t="s" s="56">
        <v>183</v>
      </c>
      <c r="H4" t="s" s="56">
        <v>171</v>
      </c>
      <c r="I4" t="s" s="56">
        <v>184</v>
      </c>
      <c r="J4" t="s" s="56">
        <v>185</v>
      </c>
    </row>
    <row r="5">
      <c r="B5" t="s">
        <v>3</v>
      </c>
      <c r="C5" t="s">
        <v>186</v>
      </c>
      <c r="D5" s="66">
        <v>40451</v>
      </c>
      <c r="E5" t="s">
        <v>187</v>
      </c>
      <c r="F5" s="67">
        <v>-30</v>
      </c>
      <c r="G5" s="87">
        <f>IF(COUNTIFS('PPM Headline'!$B$7:$B$17,$C5,'PPM Headline'!$C$7:$C$17,"Realized")&gt;0,$F5,0)</f>
        <v>0</v>
      </c>
      <c r="H5" s="8">
        <f>IF($C5="Bracken Fluid Systems",0,G5)</f>
        <v>0</v>
      </c>
      <c r="I5" s="87">
        <f>IF(COUNTIFS('PPM Headline'!$B$7:$B$17,$C5,'PPM Headline'!$C$7:$C$17,"Unrealized")&gt;0,$F5,0)</f>
        <v>0</v>
      </c>
      <c r="J5" t="s" s="2">
        <v>188</v>
      </c>
    </row>
    <row r="6">
      <c r="B6" t="s">
        <v>3</v>
      </c>
      <c r="C6" t="s">
        <v>186</v>
      </c>
      <c r="D6" s="66">
        <v>42004</v>
      </c>
      <c r="E6" t="s">
        <v>189</v>
      </c>
      <c r="F6" s="67">
        <v>78</v>
      </c>
      <c r="G6" s="87">
        <f>IF(COUNTIFS('PPM Headline'!$B$7:$B$17,$C6,'PPM Headline'!$C$7:$C$17,"Realized")&gt;0,$F6,0)</f>
        <v>0</v>
      </c>
      <c r="H6" s="8">
        <f>IF($C6="Bracken Fluid Systems",0,G6)</f>
        <v>0</v>
      </c>
      <c r="I6" s="87">
        <f>IF(COUNTIFS('PPM Headline'!$B$7:$B$17,$C6,'PPM Headline'!$C$7:$C$17,"Unrealized")&gt;0,$F6,0)</f>
        <v>0</v>
      </c>
      <c r="J6" t="s" s="2">
        <v>190</v>
      </c>
    </row>
    <row r="7">
      <c r="B7" t="s">
        <v>3</v>
      </c>
      <c r="C7" t="s">
        <v>191</v>
      </c>
      <c r="D7" s="66">
        <v>40543</v>
      </c>
      <c r="E7" t="s">
        <v>187</v>
      </c>
      <c r="F7" s="67">
        <v>-28</v>
      </c>
      <c r="G7" s="87">
        <f>IF(COUNTIFS('PPM Headline'!$B$7:$B$17,$C7,'PPM Headline'!$C$7:$C$17,"Realized")&gt;0,$F7,0)</f>
        <v>0</v>
      </c>
      <c r="H7" s="8">
        <f>IF($C7="Bracken Fluid Systems",0,G7)</f>
        <v>0</v>
      </c>
      <c r="I7" s="87">
        <f>IF(COUNTIFS('PPM Headline'!$B$7:$B$17,$C7,'PPM Headline'!$C$7:$C$17,"Unrealized")&gt;0,$F7,0)</f>
        <v>0</v>
      </c>
      <c r="J7" t="s" s="2">
        <v>192</v>
      </c>
    </row>
    <row r="8">
      <c r="B8" t="s">
        <v>3</v>
      </c>
      <c r="C8" t="s">
        <v>191</v>
      </c>
      <c r="D8" s="66">
        <v>42185</v>
      </c>
      <c r="E8" t="s">
        <v>189</v>
      </c>
      <c r="F8" s="67">
        <v>80</v>
      </c>
      <c r="G8" s="87">
        <f>IF(COUNTIFS('PPM Headline'!$B$7:$B$17,$C8,'PPM Headline'!$C$7:$C$17,"Realized")&gt;0,$F8,0)</f>
        <v>0</v>
      </c>
      <c r="H8" s="8">
        <f>IF($C8="Bracken Fluid Systems",0,G8)</f>
        <v>0</v>
      </c>
      <c r="I8" s="87">
        <f>IF(COUNTIFS('PPM Headline'!$B$7:$B$17,$C8,'PPM Headline'!$C$7:$C$17,"Unrealized")&gt;0,$F8,0)</f>
        <v>0</v>
      </c>
      <c r="J8" t="s" s="2">
        <v>193</v>
      </c>
    </row>
    <row r="9">
      <c r="B9" t="s">
        <v>3</v>
      </c>
      <c r="C9" t="s">
        <v>194</v>
      </c>
      <c r="D9" s="66">
        <v>40724</v>
      </c>
      <c r="E9" t="s">
        <v>187</v>
      </c>
      <c r="F9" s="67">
        <v>-32</v>
      </c>
      <c r="G9" s="87">
        <f>IF(COUNTIFS('PPM Headline'!$B$7:$B$17,$C9,'PPM Headline'!$C$7:$C$17,"Realized")&gt;0,$F9,0)</f>
        <v>0</v>
      </c>
      <c r="H9" s="8">
        <f>IF($C9="Bracken Fluid Systems",0,G9)</f>
        <v>0</v>
      </c>
      <c r="I9" s="87">
        <f>IF(COUNTIFS('PPM Headline'!$B$7:$B$17,$C9,'PPM Headline'!$C$7:$C$17,"Unrealized")&gt;0,$F9,0)</f>
        <v>0</v>
      </c>
      <c r="J9" t="s" s="2">
        <v>195</v>
      </c>
    </row>
    <row r="10">
      <c r="B10" t="s">
        <v>3</v>
      </c>
      <c r="C10" t="s">
        <v>194</v>
      </c>
      <c r="D10" s="66">
        <v>42369</v>
      </c>
      <c r="E10" t="s">
        <v>189</v>
      </c>
      <c r="F10" s="67">
        <v>70</v>
      </c>
      <c r="G10" s="87">
        <f>IF(COUNTIFS('PPM Headline'!$B$7:$B$17,$C10,'PPM Headline'!$C$7:$C$17,"Realized")&gt;0,$F10,0)</f>
        <v>0</v>
      </c>
      <c r="H10" s="8">
        <f>IF($C10="Bracken Fluid Systems",0,G10)</f>
        <v>0</v>
      </c>
      <c r="I10" s="87">
        <f>IF(COUNTIFS('PPM Headline'!$B$7:$B$17,$C10,'PPM Headline'!$C$7:$C$17,"Unrealized")&gt;0,$F10,0)</f>
        <v>0</v>
      </c>
      <c r="J10" t="s" s="2">
        <v>196</v>
      </c>
    </row>
    <row r="11">
      <c r="B11" t="s">
        <v>3</v>
      </c>
      <c r="C11" t="s">
        <v>197</v>
      </c>
      <c r="D11" s="66">
        <v>40816</v>
      </c>
      <c r="E11" t="s">
        <v>187</v>
      </c>
      <c r="F11" s="67">
        <v>-25</v>
      </c>
      <c r="G11" s="87">
        <f>IF(COUNTIFS('PPM Headline'!$B$7:$B$17,$C11,'PPM Headline'!$C$7:$C$17,"Realized")&gt;0,$F11,0)</f>
        <v>0</v>
      </c>
      <c r="H11" s="8">
        <f>IF($C11="Bracken Fluid Systems",0,G11)</f>
        <v>0</v>
      </c>
      <c r="I11" s="87">
        <f>IF(COUNTIFS('PPM Headline'!$B$7:$B$17,$C11,'PPM Headline'!$C$7:$C$17,"Unrealized")&gt;0,$F11,0)</f>
        <v>0</v>
      </c>
      <c r="J11" t="s" s="2">
        <v>198</v>
      </c>
    </row>
    <row r="12">
      <c r="B12" t="s">
        <v>3</v>
      </c>
      <c r="C12" t="s">
        <v>197</v>
      </c>
      <c r="D12" s="66">
        <v>42460</v>
      </c>
      <c r="E12" t="s">
        <v>189</v>
      </c>
      <c r="F12" s="67">
        <v>62</v>
      </c>
      <c r="G12" s="87">
        <f>IF(COUNTIFS('PPM Headline'!$B$7:$B$17,$C12,'PPM Headline'!$C$7:$C$17,"Realized")&gt;0,$F12,0)</f>
        <v>0</v>
      </c>
      <c r="H12" s="8">
        <f>IF($C12="Bracken Fluid Systems",0,G12)</f>
        <v>0</v>
      </c>
      <c r="I12" s="87">
        <f>IF(COUNTIFS('PPM Headline'!$B$7:$B$17,$C12,'PPM Headline'!$C$7:$C$17,"Unrealized")&gt;0,$F12,0)</f>
        <v>0</v>
      </c>
      <c r="J12" t="s" s="2">
        <v>199</v>
      </c>
    </row>
    <row r="13">
      <c r="B13" t="s">
        <v>3</v>
      </c>
      <c r="C13" t="s">
        <v>200</v>
      </c>
      <c r="D13" s="66">
        <v>40999</v>
      </c>
      <c r="E13" t="s">
        <v>187</v>
      </c>
      <c r="F13" s="67">
        <v>-35</v>
      </c>
      <c r="G13" s="87">
        <f>IF(COUNTIFS('PPM Headline'!$B$7:$B$17,$C13,'PPM Headline'!$C$7:$C$17,"Realized")&gt;0,$F13,0)</f>
        <v>0</v>
      </c>
      <c r="H13" s="8">
        <f>IF($C13="Bracken Fluid Systems",0,G13)</f>
        <v>0</v>
      </c>
      <c r="I13" s="87">
        <f>IF(COUNTIFS('PPM Headline'!$B$7:$B$17,$C13,'PPM Headline'!$C$7:$C$17,"Unrealized")&gt;0,$F13,0)</f>
        <v>0</v>
      </c>
      <c r="J13" t="s" s="2">
        <v>201</v>
      </c>
    </row>
    <row r="14">
      <c r="B14" t="s">
        <v>3</v>
      </c>
      <c r="C14" t="s">
        <v>200</v>
      </c>
      <c r="D14" s="66">
        <v>42643</v>
      </c>
      <c r="E14" t="s">
        <v>189</v>
      </c>
      <c r="F14" s="67">
        <v>98</v>
      </c>
      <c r="G14" s="87">
        <f>IF(COUNTIFS('PPM Headline'!$B$7:$B$17,$C14,'PPM Headline'!$C$7:$C$17,"Realized")&gt;0,$F14,0)</f>
        <v>0</v>
      </c>
      <c r="H14" s="8">
        <f>IF($C14="Bracken Fluid Systems",0,G14)</f>
        <v>0</v>
      </c>
      <c r="I14" s="87">
        <f>IF(COUNTIFS('PPM Headline'!$B$7:$B$17,$C14,'PPM Headline'!$C$7:$C$17,"Unrealized")&gt;0,$F14,0)</f>
        <v>0</v>
      </c>
      <c r="J14" t="s" s="2">
        <v>202</v>
      </c>
    </row>
    <row r="15">
      <c r="B15" t="s">
        <v>3</v>
      </c>
      <c r="C15" t="s">
        <v>203</v>
      </c>
      <c r="D15" s="66">
        <v>41182</v>
      </c>
      <c r="E15" t="s">
        <v>187</v>
      </c>
      <c r="F15" s="67">
        <v>-30</v>
      </c>
      <c r="G15" s="87">
        <f>IF(COUNTIFS('PPM Headline'!$B$7:$B$17,$C15,'PPM Headline'!$C$7:$C$17,"Realized")&gt;0,$F15,0)</f>
        <v>0</v>
      </c>
      <c r="H15" s="8">
        <f>IF($C15="Bracken Fluid Systems",0,G15)</f>
        <v>0</v>
      </c>
      <c r="I15" s="87">
        <f>IF(COUNTIFS('PPM Headline'!$B$7:$B$17,$C15,'PPM Headline'!$C$7:$C$17,"Unrealized")&gt;0,$F15,0)</f>
        <v>0</v>
      </c>
      <c r="J15" t="s" s="2">
        <v>204</v>
      </c>
    </row>
    <row r="16">
      <c r="B16" t="s">
        <v>3</v>
      </c>
      <c r="C16" t="s">
        <v>203</v>
      </c>
      <c r="D16" s="66">
        <v>42916</v>
      </c>
      <c r="E16" t="s">
        <v>189</v>
      </c>
      <c r="F16" s="67">
        <v>72</v>
      </c>
      <c r="G16" s="87">
        <f>IF(COUNTIFS('PPM Headline'!$B$7:$B$17,$C16,'PPM Headline'!$C$7:$C$17,"Realized")&gt;0,$F16,0)</f>
        <v>0</v>
      </c>
      <c r="H16" s="8">
        <f>IF($C16="Bracken Fluid Systems",0,G16)</f>
        <v>0</v>
      </c>
      <c r="I16" s="87">
        <f>IF(COUNTIFS('PPM Headline'!$B$7:$B$17,$C16,'PPM Headline'!$C$7:$C$17,"Unrealized")&gt;0,$F16,0)</f>
        <v>0</v>
      </c>
      <c r="J16" t="s" s="2">
        <v>205</v>
      </c>
    </row>
    <row r="17">
      <c r="B17" t="s">
        <v>3</v>
      </c>
      <c r="C17" t="s">
        <v>206</v>
      </c>
      <c r="D17" s="66">
        <v>41364</v>
      </c>
      <c r="E17" t="s">
        <v>187</v>
      </c>
      <c r="F17" s="67">
        <v>-28</v>
      </c>
      <c r="G17" s="87">
        <f>IF(COUNTIFS('PPM Headline'!$B$7:$B$17,$C17,'PPM Headline'!$C$7:$C$17,"Realized")&gt;0,$F17,0)</f>
        <v>0</v>
      </c>
      <c r="H17" s="8">
        <f>IF($C17="Bracken Fluid Systems",0,G17)</f>
        <v>0</v>
      </c>
      <c r="I17" s="87">
        <f>IF(COUNTIFS('PPM Headline'!$B$7:$B$17,$C17,'PPM Headline'!$C$7:$C$17,"Unrealized")&gt;0,$F17,0)</f>
        <v>0</v>
      </c>
      <c r="J17" t="s" s="2">
        <v>207</v>
      </c>
    </row>
    <row r="18">
      <c r="B18" t="s">
        <v>3</v>
      </c>
      <c r="C18" t="s">
        <v>206</v>
      </c>
      <c r="D18" s="66">
        <v>43100</v>
      </c>
      <c r="E18" t="s">
        <v>189</v>
      </c>
      <c r="F18" s="67">
        <v>52</v>
      </c>
      <c r="G18" s="87">
        <f>IF(COUNTIFS('PPM Headline'!$B$7:$B$17,$C18,'PPM Headline'!$C$7:$C$17,"Realized")&gt;0,$F18,0)</f>
        <v>0</v>
      </c>
      <c r="H18" s="8">
        <f>IF($C18="Bracken Fluid Systems",0,G18)</f>
        <v>0</v>
      </c>
      <c r="I18" s="87">
        <f>IF(COUNTIFS('PPM Headline'!$B$7:$B$17,$C18,'PPM Headline'!$C$7:$C$17,"Unrealized")&gt;0,$F18,0)</f>
        <v>0</v>
      </c>
      <c r="J18" t="s" s="2">
        <v>208</v>
      </c>
    </row>
    <row r="19">
      <c r="B19" t="s">
        <v>3</v>
      </c>
      <c r="C19" t="s">
        <v>209</v>
      </c>
      <c r="D19" s="66">
        <v>41455</v>
      </c>
      <c r="E19" t="s">
        <v>187</v>
      </c>
      <c r="F19" s="67">
        <v>-22</v>
      </c>
      <c r="G19" s="87">
        <f>IF(COUNTIFS('PPM Headline'!$B$7:$B$17,$C19,'PPM Headline'!$C$7:$C$17,"Realized")&gt;0,$F19,0)</f>
        <v>0</v>
      </c>
      <c r="H19" s="8">
        <f>IF($C19="Bracken Fluid Systems",0,G19)</f>
        <v>0</v>
      </c>
      <c r="I19" s="87">
        <f>IF(COUNTIFS('PPM Headline'!$B$7:$B$17,$C19,'PPM Headline'!$C$7:$C$17,"Unrealized")&gt;0,$F19,0)</f>
        <v>0</v>
      </c>
      <c r="J19" t="s" s="2">
        <v>210</v>
      </c>
    </row>
    <row r="20">
      <c r="B20" t="s">
        <v>3</v>
      </c>
      <c r="C20" t="s">
        <v>209</v>
      </c>
      <c r="D20" s="66">
        <v>42735</v>
      </c>
      <c r="E20" t="s">
        <v>189</v>
      </c>
      <c r="F20" s="67">
        <v>8</v>
      </c>
      <c r="G20" s="87">
        <f>IF(COUNTIFS('PPM Headline'!$B$7:$B$17,$C20,'PPM Headline'!$C$7:$C$17,"Realized")&gt;0,$F20,0)</f>
        <v>0</v>
      </c>
      <c r="H20" s="8">
        <f>IF($C20="Bracken Fluid Systems",0,G20)</f>
        <v>0</v>
      </c>
      <c r="I20" s="87">
        <f>IF(COUNTIFS('PPM Headline'!$B$7:$B$17,$C20,'PPM Headline'!$C$7:$C$17,"Unrealized")&gt;0,$F20,0)</f>
        <v>0</v>
      </c>
      <c r="J20" t="s" s="2">
        <v>211</v>
      </c>
    </row>
    <row r="21">
      <c r="B21" t="s">
        <v>4</v>
      </c>
      <c r="C21" t="s">
        <v>212</v>
      </c>
      <c r="D21" s="66">
        <v>41639</v>
      </c>
      <c r="E21" t="s">
        <v>187</v>
      </c>
      <c r="F21" s="67">
        <v>-40</v>
      </c>
      <c r="G21" s="87">
        <f>IF(COUNTIFS('PPM Headline'!$B$7:$B$17,$C21,'PPM Headline'!$C$7:$C$17,"Realized")&gt;0,$F21,0)</f>
        <v>0</v>
      </c>
      <c r="H21" s="8">
        <f>IF($C21="Bracken Fluid Systems",0,G21)</f>
        <v>0</v>
      </c>
      <c r="I21" s="87">
        <f>IF(COUNTIFS('PPM Headline'!$B$7:$B$17,$C21,'PPM Headline'!$C$7:$C$17,"Unrealized")&gt;0,$F21,0)</f>
        <v>0</v>
      </c>
      <c r="J21" t="s" s="2">
        <v>213</v>
      </c>
    </row>
    <row r="22">
      <c r="B22" t="s">
        <v>4</v>
      </c>
      <c r="C22" t="s">
        <v>212</v>
      </c>
      <c r="D22" s="66">
        <v>43100</v>
      </c>
      <c r="E22" t="s">
        <v>189</v>
      </c>
      <c r="F22" s="67">
        <v>120</v>
      </c>
      <c r="G22" s="87">
        <f>IF(COUNTIFS('PPM Headline'!$B$7:$B$17,$C22,'PPM Headline'!$C$7:$C$17,"Realized")&gt;0,$F22,0)</f>
        <v>0</v>
      </c>
      <c r="H22" s="8">
        <f>IF($C22="Bracken Fluid Systems",0,G22)</f>
        <v>0</v>
      </c>
      <c r="I22" s="87">
        <f>IF(COUNTIFS('PPM Headline'!$B$7:$B$17,$C22,'PPM Headline'!$C$7:$C$17,"Unrealized")&gt;0,$F22,0)</f>
        <v>0</v>
      </c>
      <c r="J22" t="s" s="2">
        <v>214</v>
      </c>
    </row>
    <row r="23">
      <c r="B23" t="s">
        <v>4</v>
      </c>
      <c r="C23" t="s">
        <v>215</v>
      </c>
      <c r="D23" s="66">
        <v>41729</v>
      </c>
      <c r="E23" t="s">
        <v>187</v>
      </c>
      <c r="F23" s="67">
        <v>-45</v>
      </c>
      <c r="G23" s="87">
        <f>IF(COUNTIFS('PPM Headline'!$B$7:$B$17,$C23,'PPM Headline'!$C$7:$C$17,"Realized")&gt;0,$F23,0)</f>
        <v>0</v>
      </c>
      <c r="H23" s="8">
        <f>IF($C23="Bracken Fluid Systems",0,G23)</f>
        <v>0</v>
      </c>
      <c r="I23" s="87">
        <f>IF(COUNTIFS('PPM Headline'!$B$7:$B$17,$C23,'PPM Headline'!$C$7:$C$17,"Unrealized")&gt;0,$F23,0)</f>
        <v>0</v>
      </c>
      <c r="J23" t="s" s="2">
        <v>216</v>
      </c>
    </row>
    <row r="24">
      <c r="B24" t="s">
        <v>4</v>
      </c>
      <c r="C24" t="s">
        <v>215</v>
      </c>
      <c r="D24" s="66">
        <v>43281</v>
      </c>
      <c r="E24" t="s">
        <v>189</v>
      </c>
      <c r="F24" s="67">
        <v>110</v>
      </c>
      <c r="G24" s="87">
        <f>IF(COUNTIFS('PPM Headline'!$B$7:$B$17,$C24,'PPM Headline'!$C$7:$C$17,"Realized")&gt;0,$F24,0)</f>
        <v>0</v>
      </c>
      <c r="H24" s="8">
        <f>IF($C24="Bracken Fluid Systems",0,G24)</f>
        <v>0</v>
      </c>
      <c r="I24" s="87">
        <f>IF(COUNTIFS('PPM Headline'!$B$7:$B$17,$C24,'PPM Headline'!$C$7:$C$17,"Unrealized")&gt;0,$F24,0)</f>
        <v>0</v>
      </c>
      <c r="J24" t="s" s="2">
        <v>217</v>
      </c>
    </row>
    <row r="25">
      <c r="B25" t="s">
        <v>4</v>
      </c>
      <c r="C25" t="s">
        <v>218</v>
      </c>
      <c r="D25" s="66">
        <v>41820</v>
      </c>
      <c r="E25" t="s">
        <v>187</v>
      </c>
      <c r="F25" s="67">
        <v>-38</v>
      </c>
      <c r="G25" s="87">
        <f>IF(COUNTIFS('PPM Headline'!$B$7:$B$17,$C25,'PPM Headline'!$C$7:$C$17,"Realized")&gt;0,$F25,0)</f>
        <v>0</v>
      </c>
      <c r="H25" s="8">
        <f>IF($C25="Bracken Fluid Systems",0,G25)</f>
        <v>0</v>
      </c>
      <c r="I25" s="87">
        <f>IF(COUNTIFS('PPM Headline'!$B$7:$B$17,$C25,'PPM Headline'!$C$7:$C$17,"Unrealized")&gt;0,$F25,0)</f>
        <v>0</v>
      </c>
      <c r="J25" t="s" s="2">
        <v>219</v>
      </c>
    </row>
    <row r="26">
      <c r="B26" t="s">
        <v>4</v>
      </c>
      <c r="C26" t="s">
        <v>218</v>
      </c>
      <c r="D26" s="66">
        <v>43373</v>
      </c>
      <c r="E26" t="s">
        <v>189</v>
      </c>
      <c r="F26" s="67">
        <v>95</v>
      </c>
      <c r="G26" s="87">
        <f>IF(COUNTIFS('PPM Headline'!$B$7:$B$17,$C26,'PPM Headline'!$C$7:$C$17,"Realized")&gt;0,$F26,0)</f>
        <v>0</v>
      </c>
      <c r="H26" s="8">
        <f>IF($C26="Bracken Fluid Systems",0,G26)</f>
        <v>0</v>
      </c>
      <c r="I26" s="87">
        <f>IF(COUNTIFS('PPM Headline'!$B$7:$B$17,$C26,'PPM Headline'!$C$7:$C$17,"Unrealized")&gt;0,$F26,0)</f>
        <v>0</v>
      </c>
      <c r="J26" t="s" s="2">
        <v>220</v>
      </c>
    </row>
    <row r="27">
      <c r="B27" t="s">
        <v>4</v>
      </c>
      <c r="C27" t="s">
        <v>221</v>
      </c>
      <c r="D27" s="66">
        <v>42004</v>
      </c>
      <c r="E27" t="s">
        <v>187</v>
      </c>
      <c r="F27" s="67">
        <v>-42</v>
      </c>
      <c r="G27" s="87">
        <f>IF(COUNTIFS('PPM Headline'!$B$7:$B$17,$C27,'PPM Headline'!$C$7:$C$17,"Realized")&gt;0,$F27,0)</f>
        <v>0</v>
      </c>
      <c r="H27" s="8">
        <f>IF($C27="Bracken Fluid Systems",0,G27)</f>
        <v>0</v>
      </c>
      <c r="I27" s="87">
        <f>IF(COUNTIFS('PPM Headline'!$B$7:$B$17,$C27,'PPM Headline'!$C$7:$C$17,"Unrealized")&gt;0,$F27,0)</f>
        <v>0</v>
      </c>
      <c r="J27" t="s" s="2">
        <v>222</v>
      </c>
    </row>
    <row r="28">
      <c r="B28" t="s">
        <v>4</v>
      </c>
      <c r="C28" t="s">
        <v>221</v>
      </c>
      <c r="D28" s="66">
        <v>43555</v>
      </c>
      <c r="E28" t="s">
        <v>189</v>
      </c>
      <c r="F28" s="67">
        <v>168</v>
      </c>
      <c r="G28" s="87">
        <f>IF(COUNTIFS('PPM Headline'!$B$7:$B$17,$C28,'PPM Headline'!$C$7:$C$17,"Realized")&gt;0,$F28,0)</f>
        <v>0</v>
      </c>
      <c r="H28" s="8">
        <f>IF($C28="Bracken Fluid Systems",0,G28)</f>
        <v>0</v>
      </c>
      <c r="I28" s="87">
        <f>IF(COUNTIFS('PPM Headline'!$B$7:$B$17,$C28,'PPM Headline'!$C$7:$C$17,"Unrealized")&gt;0,$F28,0)</f>
        <v>0</v>
      </c>
      <c r="J28" t="s" s="2">
        <v>223</v>
      </c>
    </row>
    <row r="29">
      <c r="B29" t="s">
        <v>4</v>
      </c>
      <c r="C29" t="s">
        <v>224</v>
      </c>
      <c r="D29" s="66">
        <v>42094</v>
      </c>
      <c r="E29" t="s">
        <v>187</v>
      </c>
      <c r="F29" s="67">
        <v>-35</v>
      </c>
      <c r="G29" s="87">
        <f>IF(COUNTIFS('PPM Headline'!$B$7:$B$17,$C29,'PPM Headline'!$C$7:$C$17,"Realized")&gt;0,$F29,0)</f>
        <v>0</v>
      </c>
      <c r="H29" s="8">
        <f>IF($C29="Bracken Fluid Systems",0,G29)</f>
        <v>0</v>
      </c>
      <c r="I29" s="87">
        <f>IF(COUNTIFS('PPM Headline'!$B$7:$B$17,$C29,'PPM Headline'!$C$7:$C$17,"Unrealized")&gt;0,$F29,0)</f>
        <v>0</v>
      </c>
      <c r="J29" t="s" s="2">
        <v>225</v>
      </c>
    </row>
    <row r="30">
      <c r="B30" t="s">
        <v>4</v>
      </c>
      <c r="C30" t="s">
        <v>224</v>
      </c>
      <c r="D30" s="66">
        <v>43646</v>
      </c>
      <c r="E30" t="s">
        <v>189</v>
      </c>
      <c r="F30" s="67">
        <v>12</v>
      </c>
      <c r="G30" s="87">
        <f>IF(COUNTIFS('PPM Headline'!$B$7:$B$17,$C30,'PPM Headline'!$C$7:$C$17,"Realized")&gt;0,$F30,0)</f>
        <v>0</v>
      </c>
      <c r="H30" s="8">
        <f>IF($C30="Bracken Fluid Systems",0,G30)</f>
        <v>0</v>
      </c>
      <c r="I30" s="87">
        <f>IF(COUNTIFS('PPM Headline'!$B$7:$B$17,$C30,'PPM Headline'!$C$7:$C$17,"Unrealized")&gt;0,$F30,0)</f>
        <v>0</v>
      </c>
      <c r="J30" t="s" s="2">
        <v>226</v>
      </c>
    </row>
    <row r="31">
      <c r="B31" t="s">
        <v>4</v>
      </c>
      <c r="C31" t="s">
        <v>227</v>
      </c>
      <c r="D31" s="66">
        <v>42185</v>
      </c>
      <c r="E31" t="s">
        <v>187</v>
      </c>
      <c r="F31" s="67">
        <v>-40</v>
      </c>
      <c r="G31" s="87">
        <f>IF(COUNTIFS('PPM Headline'!$B$7:$B$17,$C31,'PPM Headline'!$C$7:$C$17,"Realized")&gt;0,$F31,0)</f>
        <v>0</v>
      </c>
      <c r="H31" s="8">
        <f>IF($C31="Bracken Fluid Systems",0,G31)</f>
        <v>0</v>
      </c>
      <c r="I31" s="87">
        <f>IF(COUNTIFS('PPM Headline'!$B$7:$B$17,$C31,'PPM Headline'!$C$7:$C$17,"Unrealized")&gt;0,$F31,0)</f>
        <v>0</v>
      </c>
      <c r="J31" t="s" s="2">
        <v>228</v>
      </c>
    </row>
    <row r="32">
      <c r="B32" t="s">
        <v>4</v>
      </c>
      <c r="C32" t="s">
        <v>227</v>
      </c>
      <c r="D32" s="66">
        <v>43830</v>
      </c>
      <c r="E32" t="s">
        <v>189</v>
      </c>
      <c r="F32" s="67">
        <v>105</v>
      </c>
      <c r="G32" s="87">
        <f>IF(COUNTIFS('PPM Headline'!$B$7:$B$17,$C32,'PPM Headline'!$C$7:$C$17,"Realized")&gt;0,$F32,0)</f>
        <v>0</v>
      </c>
      <c r="H32" s="8">
        <f>IF($C32="Bracken Fluid Systems",0,G32)</f>
        <v>0</v>
      </c>
      <c r="I32" s="87">
        <f>IF(COUNTIFS('PPM Headline'!$B$7:$B$17,$C32,'PPM Headline'!$C$7:$C$17,"Unrealized")&gt;0,$F32,0)</f>
        <v>0</v>
      </c>
      <c r="J32" t="s" s="2">
        <v>229</v>
      </c>
    </row>
    <row r="33">
      <c r="B33" t="s">
        <v>4</v>
      </c>
      <c r="C33" t="s">
        <v>230</v>
      </c>
      <c r="D33" s="66">
        <v>42277</v>
      </c>
      <c r="E33" t="s">
        <v>187</v>
      </c>
      <c r="F33" s="67">
        <v>-36</v>
      </c>
      <c r="G33" s="87">
        <f>IF(COUNTIFS('PPM Headline'!$B$7:$B$17,$C33,'PPM Headline'!$C$7:$C$17,"Realized")&gt;0,$F33,0)</f>
        <v>0</v>
      </c>
      <c r="H33" s="8">
        <f>IF($C33="Bracken Fluid Systems",0,G33)</f>
        <v>0</v>
      </c>
      <c r="I33" s="87">
        <f>IF(COUNTIFS('PPM Headline'!$B$7:$B$17,$C33,'PPM Headline'!$C$7:$C$17,"Unrealized")&gt;0,$F33,0)</f>
        <v>0</v>
      </c>
      <c r="J33" t="s" s="2">
        <v>231</v>
      </c>
    </row>
    <row r="34">
      <c r="B34" t="s">
        <v>4</v>
      </c>
      <c r="C34" t="s">
        <v>230</v>
      </c>
      <c r="D34" s="66">
        <v>44012</v>
      </c>
      <c r="E34" t="s">
        <v>189</v>
      </c>
      <c r="F34" s="67">
        <v>20</v>
      </c>
      <c r="G34" s="87">
        <f>IF(COUNTIFS('PPM Headline'!$B$7:$B$17,$C34,'PPM Headline'!$C$7:$C$17,"Realized")&gt;0,$F34,0)</f>
        <v>0</v>
      </c>
      <c r="H34" s="8">
        <f>IF($C34="Bracken Fluid Systems",0,G34)</f>
        <v>0</v>
      </c>
      <c r="I34" s="87">
        <f>IF(COUNTIFS('PPM Headline'!$B$7:$B$17,$C34,'PPM Headline'!$C$7:$C$17,"Unrealized")&gt;0,$F34,0)</f>
        <v>0</v>
      </c>
      <c r="J34" t="s" s="2">
        <v>232</v>
      </c>
    </row>
    <row r="35">
      <c r="B35" t="s">
        <v>4</v>
      </c>
      <c r="C35" t="s">
        <v>233</v>
      </c>
      <c r="D35" s="66">
        <v>42460</v>
      </c>
      <c r="E35" t="s">
        <v>187</v>
      </c>
      <c r="F35" s="67">
        <v>-45</v>
      </c>
      <c r="G35" s="87">
        <f>IF(COUNTIFS('PPM Headline'!$B$7:$B$17,$C35,'PPM Headline'!$C$7:$C$17,"Realized")&gt;0,$F35,0)</f>
        <v>0</v>
      </c>
      <c r="H35" s="8">
        <f>IF($C35="Bracken Fluid Systems",0,G35)</f>
        <v>0</v>
      </c>
      <c r="I35" s="87">
        <f>IF(COUNTIFS('PPM Headline'!$B$7:$B$17,$C35,'PPM Headline'!$C$7:$C$17,"Unrealized")&gt;0,$F35,0)</f>
        <v>0</v>
      </c>
      <c r="J35" t="s" s="2">
        <v>234</v>
      </c>
    </row>
    <row r="36">
      <c r="B36" t="s">
        <v>4</v>
      </c>
      <c r="C36" t="s">
        <v>233</v>
      </c>
      <c r="D36" s="66">
        <v>44286</v>
      </c>
      <c r="E36" t="s">
        <v>189</v>
      </c>
      <c r="F36" s="67">
        <v>170</v>
      </c>
      <c r="G36" s="87">
        <f>IF(COUNTIFS('PPM Headline'!$B$7:$B$17,$C36,'PPM Headline'!$C$7:$C$17,"Realized")&gt;0,$F36,0)</f>
        <v>0</v>
      </c>
      <c r="H36" s="8">
        <f>IF($C36="Bracken Fluid Systems",0,G36)</f>
        <v>0</v>
      </c>
      <c r="I36" s="87">
        <f>IF(COUNTIFS('PPM Headline'!$B$7:$B$17,$C36,'PPM Headline'!$C$7:$C$17,"Unrealized")&gt;0,$F36,0)</f>
        <v>0</v>
      </c>
      <c r="J36" t="s" s="2">
        <v>235</v>
      </c>
    </row>
    <row r="37">
      <c r="B37" t="s">
        <v>4</v>
      </c>
      <c r="C37" t="s">
        <v>236</v>
      </c>
      <c r="D37" s="66">
        <v>42551</v>
      </c>
      <c r="E37" t="s">
        <v>187</v>
      </c>
      <c r="F37" s="67">
        <v>-42</v>
      </c>
      <c r="G37" s="87">
        <f>IF(COUNTIFS('PPM Headline'!$B$7:$B$17,$C37,'PPM Headline'!$C$7:$C$17,"Realized")&gt;0,$F37,0)</f>
        <v>0</v>
      </c>
      <c r="H37" s="8">
        <f>IF($C37="Bracken Fluid Systems",0,G37)</f>
        <v>0</v>
      </c>
      <c r="I37" s="87">
        <f>IF(COUNTIFS('PPM Headline'!$B$7:$B$17,$C37,'PPM Headline'!$C$7:$C$17,"Unrealized")&gt;0,$F37,0)</f>
        <v>0</v>
      </c>
      <c r="J37" t="s" s="2">
        <v>237</v>
      </c>
    </row>
    <row r="38">
      <c r="B38" t="s">
        <v>4</v>
      </c>
      <c r="C38" t="s">
        <v>236</v>
      </c>
      <c r="D38" s="66">
        <v>44561</v>
      </c>
      <c r="E38" t="s">
        <v>189</v>
      </c>
      <c r="F38" s="67">
        <v>105</v>
      </c>
      <c r="G38" s="87">
        <f>IF(COUNTIFS('PPM Headline'!$B$7:$B$17,$C38,'PPM Headline'!$C$7:$C$17,"Realized")&gt;0,$F38,0)</f>
        <v>0</v>
      </c>
      <c r="H38" s="8">
        <f>IF($C38="Bracken Fluid Systems",0,G38)</f>
        <v>0</v>
      </c>
      <c r="I38" s="87">
        <f>IF(COUNTIFS('PPM Headline'!$B$7:$B$17,$C38,'PPM Headline'!$C$7:$C$17,"Unrealized")&gt;0,$F38,0)</f>
        <v>0</v>
      </c>
      <c r="J38" t="s" s="2">
        <v>238</v>
      </c>
    </row>
    <row r="39">
      <c r="B39" t="s">
        <v>4</v>
      </c>
      <c r="C39" t="s">
        <v>239</v>
      </c>
      <c r="D39" s="66">
        <v>42825</v>
      </c>
      <c r="E39" t="s">
        <v>187</v>
      </c>
      <c r="F39" s="67">
        <v>-32</v>
      </c>
      <c r="G39" s="87">
        <f>IF(COUNTIFS('PPM Headline'!$B$7:$B$17,$C39,'PPM Headline'!$C$7:$C$17,"Realized")&gt;0,$F39,0)</f>
        <v>0</v>
      </c>
      <c r="H39" s="8">
        <f>IF($C39="Bracken Fluid Systems",0,G39)</f>
        <v>0</v>
      </c>
      <c r="I39" s="87">
        <f>IF(COUNTIFS('PPM Headline'!$B$7:$B$17,$C39,'PPM Headline'!$C$7:$C$17,"Unrealized")&gt;0,$F39,0)</f>
        <v>0</v>
      </c>
      <c r="J39" t="s" s="2">
        <v>240</v>
      </c>
    </row>
    <row r="40">
      <c r="B40" t="s">
        <v>4</v>
      </c>
      <c r="C40" t="s">
        <v>239</v>
      </c>
      <c r="D40" s="66">
        <v>46203</v>
      </c>
      <c r="E40" t="s">
        <v>241</v>
      </c>
      <c r="F40" s="67">
        <v>40</v>
      </c>
      <c r="G40" s="87">
        <f>IF(COUNTIFS('PPM Headline'!$B$7:$B$17,$C40,'PPM Headline'!$C$7:$C$17,"Realized")&gt;0,$F40,0)</f>
        <v>0</v>
      </c>
      <c r="H40" s="8">
        <f>IF($C40="Bracken Fluid Systems",0,G40)</f>
        <v>0</v>
      </c>
      <c r="I40" s="87">
        <f>IF(COUNTIFS('PPM Headline'!$B$7:$B$17,$C40,'PPM Headline'!$C$7:$C$17,"Unrealized")&gt;0,$F40,0)</f>
        <v>0</v>
      </c>
      <c r="J40" t="s" s="2">
        <v>242</v>
      </c>
    </row>
    <row r="41">
      <c r="B41" t="s">
        <v>5</v>
      </c>
      <c r="C41" t="s">
        <v>148</v>
      </c>
      <c r="D41" s="66">
        <v>43008</v>
      </c>
      <c r="E41" t="s">
        <v>187</v>
      </c>
      <c r="F41" s="67">
        <v>-60</v>
      </c>
      <c r="G41" s="87">
        <f>IF(COUNTIFS('PPM Headline'!$B$7:$B$17,$C41,'PPM Headline'!$C$7:$C$17,"Realized")&gt;0,$F41,0)</f>
        <v>-60</v>
      </c>
      <c r="H41" s="8">
        <f>IF($C41="Bracken Fluid Systems",0,G41)</f>
        <v>0</v>
      </c>
      <c r="I41" s="87">
        <f>IF(COUNTIFS('PPM Headline'!$B$7:$B$17,$C41,'PPM Headline'!$C$7:$C$17,"Unrealized")&gt;0,$F41,0)</f>
        <v>0</v>
      </c>
      <c r="J41" t="s" s="2">
        <v>243</v>
      </c>
    </row>
    <row r="42">
      <c r="B42" t="s">
        <v>5</v>
      </c>
      <c r="C42" t="s">
        <v>148</v>
      </c>
      <c r="D42" s="66">
        <v>44469</v>
      </c>
      <c r="E42" t="s">
        <v>189</v>
      </c>
      <c r="F42" s="67">
        <v>565</v>
      </c>
      <c r="G42" s="87">
        <f>IF(COUNTIFS('PPM Headline'!$B$7:$B$17,$C42,'PPM Headline'!$C$7:$C$17,"Realized")&gt;0,$F42,0)</f>
        <v>565</v>
      </c>
      <c r="H42" s="8">
        <f>IF($C42="Bracken Fluid Systems",0,G42)</f>
        <v>0</v>
      </c>
      <c r="I42" s="87">
        <f>IF(COUNTIFS('PPM Headline'!$B$7:$B$17,$C42,'PPM Headline'!$C$7:$C$17,"Unrealized")&gt;0,$F42,0)</f>
        <v>0</v>
      </c>
      <c r="J42" t="s" s="2">
        <v>244</v>
      </c>
    </row>
    <row r="43">
      <c r="B43" t="s">
        <v>5</v>
      </c>
      <c r="C43" t="s">
        <v>149</v>
      </c>
      <c r="D43" s="66">
        <v>43190</v>
      </c>
      <c r="E43" t="s">
        <v>187</v>
      </c>
      <c r="F43" s="67">
        <v>-75</v>
      </c>
      <c r="G43" s="87">
        <f>IF(COUNTIFS('PPM Headline'!$B$7:$B$17,$C43,'PPM Headline'!$C$7:$C$17,"Realized")&gt;0,$F43,0)</f>
        <v>-75</v>
      </c>
      <c r="H43" s="8">
        <f>IF($C43="Bracken Fluid Systems",0,G43)</f>
        <v>-75</v>
      </c>
      <c r="I43" s="87">
        <f>IF(COUNTIFS('PPM Headline'!$B$7:$B$17,$C43,'PPM Headline'!$C$7:$C$17,"Unrealized")&gt;0,$F43,0)</f>
        <v>0</v>
      </c>
      <c r="J43" t="s" s="2">
        <v>245</v>
      </c>
    </row>
    <row r="44">
      <c r="B44" t="s">
        <v>5</v>
      </c>
      <c r="C44" t="s">
        <v>149</v>
      </c>
      <c r="D44" s="66">
        <v>44742</v>
      </c>
      <c r="E44" t="s">
        <v>189</v>
      </c>
      <c r="F44" s="67">
        <v>240</v>
      </c>
      <c r="G44" s="87">
        <f>IF(COUNTIFS('PPM Headline'!$B$7:$B$17,$C44,'PPM Headline'!$C$7:$C$17,"Realized")&gt;0,$F44,0)</f>
        <v>240</v>
      </c>
      <c r="H44" s="8">
        <f>IF($C44="Bracken Fluid Systems",0,G44)</f>
        <v>240</v>
      </c>
      <c r="I44" s="87">
        <f>IF(COUNTIFS('PPM Headline'!$B$7:$B$17,$C44,'PPM Headline'!$C$7:$C$17,"Unrealized")&gt;0,$F44,0)</f>
        <v>0</v>
      </c>
      <c r="J44" t="s" s="2">
        <v>246</v>
      </c>
    </row>
    <row r="45">
      <c r="B45" t="s">
        <v>5</v>
      </c>
      <c r="C45" t="s">
        <v>150</v>
      </c>
      <c r="D45" s="66">
        <v>43281</v>
      </c>
      <c r="E45" t="s">
        <v>187</v>
      </c>
      <c r="F45" s="67">
        <v>-70</v>
      </c>
      <c r="G45" s="87">
        <f>IF(COUNTIFS('PPM Headline'!$B$7:$B$17,$C45,'PPM Headline'!$C$7:$C$17,"Realized")&gt;0,$F45,0)</f>
        <v>-70</v>
      </c>
      <c r="H45" s="8">
        <f>IF($C45="Bracken Fluid Systems",0,G45)</f>
        <v>-70</v>
      </c>
      <c r="I45" s="87">
        <f>IF(COUNTIFS('PPM Headline'!$B$7:$B$17,$C45,'PPM Headline'!$C$7:$C$17,"Unrealized")&gt;0,$F45,0)</f>
        <v>0</v>
      </c>
      <c r="J45" t="s" s="2">
        <v>247</v>
      </c>
    </row>
    <row r="46">
      <c r="B46" t="s">
        <v>5</v>
      </c>
      <c r="C46" t="s">
        <v>150</v>
      </c>
      <c r="D46" s="66">
        <v>45016</v>
      </c>
      <c r="E46" t="s">
        <v>189</v>
      </c>
      <c r="F46" s="67">
        <v>210</v>
      </c>
      <c r="G46" s="87">
        <f>IF(COUNTIFS('PPM Headline'!$B$7:$B$17,$C46,'PPM Headline'!$C$7:$C$17,"Realized")&gt;0,$F46,0)</f>
        <v>210</v>
      </c>
      <c r="H46" s="8">
        <f>IF($C46="Bracken Fluid Systems",0,G46)</f>
        <v>210</v>
      </c>
      <c r="I46" s="87">
        <f>IF(COUNTIFS('PPM Headline'!$B$7:$B$17,$C46,'PPM Headline'!$C$7:$C$17,"Unrealized")&gt;0,$F46,0)</f>
        <v>0</v>
      </c>
      <c r="J46" t="s" s="2">
        <v>248</v>
      </c>
    </row>
    <row r="47">
      <c r="B47" t="s">
        <v>5</v>
      </c>
      <c r="C47" t="s">
        <v>151</v>
      </c>
      <c r="D47" s="66">
        <v>43373</v>
      </c>
      <c r="E47" t="s">
        <v>187</v>
      </c>
      <c r="F47" s="67">
        <v>-65</v>
      </c>
      <c r="G47" s="87">
        <f>IF(COUNTIFS('PPM Headline'!$B$7:$B$17,$C47,'PPM Headline'!$C$7:$C$17,"Realized")&gt;0,$F47,0)</f>
        <v>-65</v>
      </c>
      <c r="H47" s="8">
        <f>IF($C47="Bracken Fluid Systems",0,G47)</f>
        <v>-65</v>
      </c>
      <c r="I47" s="87">
        <f>IF(COUNTIFS('PPM Headline'!$B$7:$B$17,$C47,'PPM Headline'!$C$7:$C$17,"Unrealized")&gt;0,$F47,0)</f>
        <v>0</v>
      </c>
      <c r="J47" t="s" s="2">
        <v>249</v>
      </c>
    </row>
    <row r="48">
      <c r="B48" t="s">
        <v>5</v>
      </c>
      <c r="C48" t="s">
        <v>151</v>
      </c>
      <c r="D48" s="66">
        <v>45107</v>
      </c>
      <c r="E48" t="s">
        <v>189</v>
      </c>
      <c r="F48" s="67">
        <v>175</v>
      </c>
      <c r="G48" s="87">
        <f>IF(COUNTIFS('PPM Headline'!$B$7:$B$17,$C48,'PPM Headline'!$C$7:$C$17,"Realized")&gt;0,$F48,0)</f>
        <v>175</v>
      </c>
      <c r="H48" s="8">
        <f>IF($C48="Bracken Fluid Systems",0,G48)</f>
        <v>175</v>
      </c>
      <c r="I48" s="87">
        <f>IF(COUNTIFS('PPM Headline'!$B$7:$B$17,$C48,'PPM Headline'!$C$7:$C$17,"Unrealized")&gt;0,$F48,0)</f>
        <v>0</v>
      </c>
      <c r="J48" t="s" s="2">
        <v>250</v>
      </c>
    </row>
    <row r="49">
      <c r="B49" t="s">
        <v>5</v>
      </c>
      <c r="C49" t="s">
        <v>152</v>
      </c>
      <c r="D49" s="66">
        <v>43465</v>
      </c>
      <c r="E49" t="s">
        <v>187</v>
      </c>
      <c r="F49" s="67">
        <v>-45</v>
      </c>
      <c r="G49" s="87">
        <f>IF(COUNTIFS('PPM Headline'!$B$7:$B$17,$C49,'PPM Headline'!$C$7:$C$17,"Realized")&gt;0,$F49,0)</f>
        <v>0</v>
      </c>
      <c r="H49" s="8">
        <f>IF($C49="Bracken Fluid Systems",0,G49)</f>
        <v>0</v>
      </c>
      <c r="I49" s="87">
        <f>IF(COUNTIFS('PPM Headline'!$B$7:$B$17,$C49,'PPM Headline'!$C$7:$C$17,"Unrealized")&gt;0,$F49,0)</f>
        <v>-45</v>
      </c>
      <c r="J49" t="s" s="2">
        <v>251</v>
      </c>
    </row>
    <row r="50">
      <c r="B50" t="s">
        <v>5</v>
      </c>
      <c r="C50" t="s">
        <v>152</v>
      </c>
      <c r="D50" s="66">
        <v>46203</v>
      </c>
      <c r="E50" t="s">
        <v>241</v>
      </c>
      <c r="F50" s="67">
        <v>13</v>
      </c>
      <c r="G50" s="87">
        <f>IF(COUNTIFS('PPM Headline'!$B$7:$B$17,$C50,'PPM Headline'!$C$7:$C$17,"Realized")&gt;0,$F50,0)</f>
        <v>0</v>
      </c>
      <c r="H50" s="8">
        <f>IF($C50="Bracken Fluid Systems",0,G50)</f>
        <v>0</v>
      </c>
      <c r="I50" s="87">
        <f>IF(COUNTIFS('PPM Headline'!$B$7:$B$17,$C50,'PPM Headline'!$C$7:$C$17,"Unrealized")&gt;0,$F50,0)</f>
        <v>13</v>
      </c>
      <c r="J50" t="s" s="2">
        <v>252</v>
      </c>
    </row>
    <row r="51">
      <c r="B51" t="s">
        <v>5</v>
      </c>
      <c r="C51" t="s">
        <v>154</v>
      </c>
      <c r="D51" s="66">
        <v>43555</v>
      </c>
      <c r="E51" t="s">
        <v>187</v>
      </c>
      <c r="F51" s="67">
        <v>-55</v>
      </c>
      <c r="G51" s="87">
        <f>IF(COUNTIFS('PPM Headline'!$B$7:$B$17,$C51,'PPM Headline'!$C$7:$C$17,"Realized")&gt;0,$F51,0)</f>
        <v>-55</v>
      </c>
      <c r="H51" s="8">
        <f>IF($C51="Bracken Fluid Systems",0,G51)</f>
        <v>-55</v>
      </c>
      <c r="I51" s="87">
        <f>IF(COUNTIFS('PPM Headline'!$B$7:$B$17,$C51,'PPM Headline'!$C$7:$C$17,"Unrealized")&gt;0,$F51,0)</f>
        <v>0</v>
      </c>
      <c r="J51" t="s" s="2">
        <v>253</v>
      </c>
    </row>
    <row r="52">
      <c r="B52" t="s">
        <v>5</v>
      </c>
      <c r="C52" t="s">
        <v>154</v>
      </c>
      <c r="D52" s="66">
        <v>45382</v>
      </c>
      <c r="E52" t="s">
        <v>189</v>
      </c>
      <c r="F52" s="67">
        <v>140</v>
      </c>
      <c r="G52" s="87">
        <f>IF(COUNTIFS('PPM Headline'!$B$7:$B$17,$C52,'PPM Headline'!$C$7:$C$17,"Realized")&gt;0,$F52,0)</f>
        <v>140</v>
      </c>
      <c r="H52" s="8">
        <f>IF($C52="Bracken Fluid Systems",0,G52)</f>
        <v>140</v>
      </c>
      <c r="I52" s="87">
        <f>IF(COUNTIFS('PPM Headline'!$B$7:$B$17,$C52,'PPM Headline'!$C$7:$C$17,"Unrealized")&gt;0,$F52,0)</f>
        <v>0</v>
      </c>
      <c r="J52" t="s" s="2">
        <v>254</v>
      </c>
    </row>
    <row r="53">
      <c r="B53" t="s">
        <v>5</v>
      </c>
      <c r="C53" t="s">
        <v>155</v>
      </c>
      <c r="D53" s="66">
        <v>43646</v>
      </c>
      <c r="E53" t="s">
        <v>187</v>
      </c>
      <c r="F53" s="67">
        <v>-60</v>
      </c>
      <c r="G53" s="87">
        <f>IF(COUNTIFS('PPM Headline'!$B$7:$B$17,$C53,'PPM Headline'!$C$7:$C$17,"Realized")&gt;0,$F53,0)</f>
        <v>-60</v>
      </c>
      <c r="H53" s="8">
        <f>IF($C53="Bracken Fluid Systems",0,G53)</f>
        <v>-60</v>
      </c>
      <c r="I53" s="87">
        <f>IF(COUNTIFS('PPM Headline'!$B$7:$B$17,$C53,'PPM Headline'!$C$7:$C$17,"Unrealized")&gt;0,$F53,0)</f>
        <v>0</v>
      </c>
      <c r="J53" t="s" s="2">
        <v>255</v>
      </c>
    </row>
    <row r="54">
      <c r="B54" t="s">
        <v>5</v>
      </c>
      <c r="C54" t="s">
        <v>155</v>
      </c>
      <c r="D54" s="66">
        <v>45473</v>
      </c>
      <c r="E54" t="s">
        <v>189</v>
      </c>
      <c r="F54" s="67">
        <v>150</v>
      </c>
      <c r="G54" s="87">
        <f>IF(COUNTIFS('PPM Headline'!$B$7:$B$17,$C54,'PPM Headline'!$C$7:$C$17,"Realized")&gt;0,$F54,0)</f>
        <v>150</v>
      </c>
      <c r="H54" s="8">
        <f>IF($C54="Bracken Fluid Systems",0,G54)</f>
        <v>150</v>
      </c>
      <c r="I54" s="87">
        <f>IF(COUNTIFS('PPM Headline'!$B$7:$B$17,$C54,'PPM Headline'!$C$7:$C$17,"Unrealized")&gt;0,$F54,0)</f>
        <v>0</v>
      </c>
      <c r="J54" t="s" s="2">
        <v>256</v>
      </c>
    </row>
    <row r="55">
      <c r="B55" t="s">
        <v>5</v>
      </c>
      <c r="C55" t="s">
        <v>156</v>
      </c>
      <c r="D55" s="66">
        <v>43738</v>
      </c>
      <c r="E55" t="s">
        <v>187</v>
      </c>
      <c r="F55" s="67">
        <v>-40</v>
      </c>
      <c r="G55" s="87">
        <f>IF(COUNTIFS('PPM Headline'!$B$7:$B$17,$C55,'PPM Headline'!$C$7:$C$17,"Realized")&gt;0,$F55,0)</f>
        <v>0</v>
      </c>
      <c r="H55" s="8">
        <f>IF($C55="Bracken Fluid Systems",0,G55)</f>
        <v>0</v>
      </c>
      <c r="I55" s="87">
        <f>IF(COUNTIFS('PPM Headline'!$B$7:$B$17,$C55,'PPM Headline'!$C$7:$C$17,"Unrealized")&gt;0,$F55,0)</f>
        <v>-40</v>
      </c>
      <c r="J55" t="s" s="2">
        <v>257</v>
      </c>
    </row>
    <row r="56">
      <c r="B56" t="s">
        <v>5</v>
      </c>
      <c r="C56" t="s">
        <v>156</v>
      </c>
      <c r="D56" s="66">
        <v>46203</v>
      </c>
      <c r="E56" t="s">
        <v>241</v>
      </c>
      <c r="F56" s="67">
        <v>7</v>
      </c>
      <c r="G56" s="87">
        <f>IF(COUNTIFS('PPM Headline'!$B$7:$B$17,$C56,'PPM Headline'!$C$7:$C$17,"Realized")&gt;0,$F56,0)</f>
        <v>0</v>
      </c>
      <c r="H56" s="8">
        <f>IF($C56="Bracken Fluid Systems",0,G56)</f>
        <v>0</v>
      </c>
      <c r="I56" s="87">
        <f>IF(COUNTIFS('PPM Headline'!$B$7:$B$17,$C56,'PPM Headline'!$C$7:$C$17,"Unrealized")&gt;0,$F56,0)</f>
        <v>7</v>
      </c>
      <c r="J56" t="s" s="2">
        <v>258</v>
      </c>
    </row>
    <row r="57">
      <c r="B57" t="s">
        <v>5</v>
      </c>
      <c r="C57" t="s">
        <v>157</v>
      </c>
      <c r="D57" s="66">
        <v>43830</v>
      </c>
      <c r="E57" t="s">
        <v>187</v>
      </c>
      <c r="F57" s="67">
        <v>-50</v>
      </c>
      <c r="G57" s="87">
        <f>IF(COUNTIFS('PPM Headline'!$B$7:$B$17,$C57,'PPM Headline'!$C$7:$C$17,"Realized")&gt;0,$F57,0)</f>
        <v>-50</v>
      </c>
      <c r="H57" s="8">
        <f>IF($C57="Bracken Fluid Systems",0,G57)</f>
        <v>-50</v>
      </c>
      <c r="I57" s="87">
        <f>IF(COUNTIFS('PPM Headline'!$B$7:$B$17,$C57,'PPM Headline'!$C$7:$C$17,"Unrealized")&gt;0,$F57,0)</f>
        <v>0</v>
      </c>
      <c r="J57" t="s" s="2">
        <v>259</v>
      </c>
    </row>
    <row r="58">
      <c r="B58" t="s">
        <v>5</v>
      </c>
      <c r="C58" t="s">
        <v>157</v>
      </c>
      <c r="D58" s="66">
        <v>45747</v>
      </c>
      <c r="E58" t="s">
        <v>189</v>
      </c>
      <c r="F58" s="67">
        <v>100</v>
      </c>
      <c r="G58" s="87">
        <f>IF(COUNTIFS('PPM Headline'!$B$7:$B$17,$C58,'PPM Headline'!$C$7:$C$17,"Realized")&gt;0,$F58,0)</f>
        <v>100</v>
      </c>
      <c r="H58" s="8">
        <f>IF($C58="Bracken Fluid Systems",0,G58)</f>
        <v>100</v>
      </c>
      <c r="I58" s="87">
        <f>IF(COUNTIFS('PPM Headline'!$B$7:$B$17,$C58,'PPM Headline'!$C$7:$C$17,"Unrealized")&gt;0,$F58,0)</f>
        <v>0</v>
      </c>
      <c r="J58" t="s" s="2">
        <v>260</v>
      </c>
    </row>
    <row r="59">
      <c r="B59" t="s">
        <v>5</v>
      </c>
      <c r="C59" t="s">
        <v>158</v>
      </c>
      <c r="D59" s="66">
        <v>43921</v>
      </c>
      <c r="E59" t="s">
        <v>187</v>
      </c>
      <c r="F59" s="67">
        <v>-70</v>
      </c>
      <c r="G59" s="87">
        <f>IF(COUNTIFS('PPM Headline'!$B$7:$B$17,$C59,'PPM Headline'!$C$7:$C$17,"Realized")&gt;0,$F59,0)</f>
        <v>0</v>
      </c>
      <c r="H59" s="8">
        <f>IF($C59="Bracken Fluid Systems",0,G59)</f>
        <v>0</v>
      </c>
      <c r="I59" s="87">
        <f>IF(COUNTIFS('PPM Headline'!$B$7:$B$17,$C59,'PPM Headline'!$C$7:$C$17,"Unrealized")&gt;0,$F59,0)</f>
        <v>-70</v>
      </c>
      <c r="J59" t="s" s="2">
        <v>261</v>
      </c>
    </row>
    <row r="60">
      <c r="B60" t="s">
        <v>5</v>
      </c>
      <c r="C60" t="s">
        <v>158</v>
      </c>
      <c r="D60" s="66">
        <v>46203</v>
      </c>
      <c r="E60" t="s">
        <v>241</v>
      </c>
      <c r="F60" s="67">
        <v>210</v>
      </c>
      <c r="G60" s="87">
        <f>IF(COUNTIFS('PPM Headline'!$B$7:$B$17,$C60,'PPM Headline'!$C$7:$C$17,"Realized")&gt;0,$F60,0)</f>
        <v>0</v>
      </c>
      <c r="H60" s="8">
        <f>IF($C60="Bracken Fluid Systems",0,G60)</f>
        <v>0</v>
      </c>
      <c r="I60" s="87">
        <f>IF(COUNTIFS('PPM Headline'!$B$7:$B$17,$C60,'PPM Headline'!$C$7:$C$17,"Unrealized")&gt;0,$F60,0)</f>
        <v>210</v>
      </c>
      <c r="J60" t="s" s="2">
        <v>262</v>
      </c>
    </row>
    <row r="61">
      <c r="B61" t="s">
        <v>5</v>
      </c>
      <c r="C61" t="s">
        <v>160</v>
      </c>
      <c r="D61" s="66">
        <v>44104</v>
      </c>
      <c r="E61" t="s">
        <v>187</v>
      </c>
      <c r="F61" s="67">
        <v>-65</v>
      </c>
      <c r="G61" s="87">
        <f>IF(COUNTIFS('PPM Headline'!$B$7:$B$17,$C61,'PPM Headline'!$C$7:$C$17,"Realized")&gt;0,$F61,0)</f>
        <v>0</v>
      </c>
      <c r="H61" s="8">
        <f>IF($C61="Bracken Fluid Systems",0,G61)</f>
        <v>0</v>
      </c>
      <c r="I61" s="87">
        <f>IF(COUNTIFS('PPM Headline'!$B$7:$B$17,$C61,'PPM Headline'!$C$7:$C$17,"Unrealized")&gt;0,$F61,0)</f>
        <v>-65</v>
      </c>
      <c r="J61" t="s" s="2">
        <v>263</v>
      </c>
    </row>
    <row r="62">
      <c r="B62" t="s">
        <v>5</v>
      </c>
      <c r="C62" t="s">
        <v>160</v>
      </c>
      <c r="D62" s="66">
        <v>46203</v>
      </c>
      <c r="E62" t="s">
        <v>241</v>
      </c>
      <c r="F62" s="67">
        <v>160</v>
      </c>
      <c r="G62" s="87">
        <f>IF(COUNTIFS('PPM Headline'!$B$7:$B$17,$C62,'PPM Headline'!$C$7:$C$17,"Realized")&gt;0,$F62,0)</f>
        <v>0</v>
      </c>
      <c r="H62" s="8">
        <f>IF($C62="Bracken Fluid Systems",0,G62)</f>
        <v>0</v>
      </c>
      <c r="I62" s="87">
        <f>IF(COUNTIFS('PPM Headline'!$B$7:$B$17,$C62,'PPM Headline'!$C$7:$C$17,"Unrealized")&gt;0,$F62,0)</f>
        <v>160</v>
      </c>
      <c r="J62" t="s" s="2">
        <v>264</v>
      </c>
    </row>
    <row r="63">
      <c r="B63" t="s">
        <v>6</v>
      </c>
      <c r="C63" t="s">
        <v>265</v>
      </c>
      <c r="D63" s="66">
        <v>44377</v>
      </c>
      <c r="E63" t="s">
        <v>187</v>
      </c>
      <c r="F63" s="67">
        <v>-120</v>
      </c>
      <c r="G63" s="87">
        <f>IF(COUNTIFS('PPM Headline'!$B$7:$B$17,$C63,'PPM Headline'!$C$7:$C$17,"Realized")&gt;0,$F63,0)</f>
        <v>0</v>
      </c>
      <c r="H63" s="8">
        <f>IF($C63="Bracken Fluid Systems",0,G63)</f>
        <v>0</v>
      </c>
      <c r="I63" s="87">
        <f>IF(COUNTIFS('PPM Headline'!$B$7:$B$17,$C63,'PPM Headline'!$C$7:$C$17,"Unrealized")&gt;0,$F63,0)</f>
        <v>0</v>
      </c>
      <c r="J63" t="s" s="2">
        <v>266</v>
      </c>
    </row>
    <row r="64">
      <c r="B64" t="s">
        <v>6</v>
      </c>
      <c r="C64" t="s">
        <v>265</v>
      </c>
      <c r="D64" s="66">
        <v>46203</v>
      </c>
      <c r="E64" t="s">
        <v>241</v>
      </c>
      <c r="F64" s="67">
        <v>290</v>
      </c>
      <c r="G64" s="87">
        <f>IF(COUNTIFS('PPM Headline'!$B$7:$B$17,$C64,'PPM Headline'!$C$7:$C$17,"Realized")&gt;0,$F64,0)</f>
        <v>0</v>
      </c>
      <c r="H64" s="8">
        <f>IF($C64="Bracken Fluid Systems",0,G64)</f>
        <v>0</v>
      </c>
      <c r="I64" s="87">
        <f>IF(COUNTIFS('PPM Headline'!$B$7:$B$17,$C64,'PPM Headline'!$C$7:$C$17,"Unrealized")&gt;0,$F64,0)</f>
        <v>0</v>
      </c>
      <c r="J64" t="s" s="2">
        <v>267</v>
      </c>
    </row>
    <row r="65">
      <c r="B65" t="s">
        <v>6</v>
      </c>
      <c r="C65" t="s">
        <v>268</v>
      </c>
      <c r="D65" s="66">
        <v>44469</v>
      </c>
      <c r="E65" t="s">
        <v>187</v>
      </c>
      <c r="F65" s="67">
        <v>-100</v>
      </c>
      <c r="G65" s="87">
        <f>IF(COUNTIFS('PPM Headline'!$B$7:$B$17,$C65,'PPM Headline'!$C$7:$C$17,"Realized")&gt;0,$F65,0)</f>
        <v>0</v>
      </c>
      <c r="H65" s="8">
        <f>IF($C65="Bracken Fluid Systems",0,G65)</f>
        <v>0</v>
      </c>
      <c r="I65" s="87">
        <f>IF(COUNTIFS('PPM Headline'!$B$7:$B$17,$C65,'PPM Headline'!$C$7:$C$17,"Unrealized")&gt;0,$F65,0)</f>
        <v>0</v>
      </c>
      <c r="J65" t="s" s="2">
        <v>269</v>
      </c>
    </row>
    <row r="66">
      <c r="B66" t="s">
        <v>6</v>
      </c>
      <c r="C66" t="s">
        <v>268</v>
      </c>
      <c r="D66" s="66">
        <v>45838</v>
      </c>
      <c r="E66" t="s">
        <v>270</v>
      </c>
      <c r="F66" s="67">
        <v>160</v>
      </c>
      <c r="G66" s="87">
        <f>IF(COUNTIFS('PPM Headline'!$B$7:$B$17,$C66,'PPM Headline'!$C$7:$C$17,"Realized")&gt;0,$F66,0)</f>
        <v>0</v>
      </c>
      <c r="H66" s="8">
        <f>IF($C66="Bracken Fluid Systems",0,G66)</f>
        <v>0</v>
      </c>
      <c r="I66" s="87">
        <f>IF(COUNTIFS('PPM Headline'!$B$7:$B$17,$C66,'PPM Headline'!$C$7:$C$17,"Unrealized")&gt;0,$F66,0)</f>
        <v>0</v>
      </c>
      <c r="J66" t="s" s="2">
        <v>271</v>
      </c>
    </row>
    <row r="67">
      <c r="B67" t="s">
        <v>6</v>
      </c>
      <c r="C67" t="s">
        <v>268</v>
      </c>
      <c r="D67" s="66">
        <v>46203</v>
      </c>
      <c r="E67" t="s">
        <v>241</v>
      </c>
      <c r="F67" s="67">
        <v>70</v>
      </c>
      <c r="G67" s="87">
        <f>IF(COUNTIFS('PPM Headline'!$B$7:$B$17,$C67,'PPM Headline'!$C$7:$C$17,"Realized")&gt;0,$F67,0)</f>
        <v>0</v>
      </c>
      <c r="H67" s="8">
        <f>IF($C67="Bracken Fluid Systems",0,G67)</f>
        <v>0</v>
      </c>
      <c r="I67" s="87">
        <f>IF(COUNTIFS('PPM Headline'!$B$7:$B$17,$C67,'PPM Headline'!$C$7:$C$17,"Unrealized")&gt;0,$F67,0)</f>
        <v>0</v>
      </c>
      <c r="J67" t="s" s="2">
        <v>272</v>
      </c>
    </row>
    <row r="68">
      <c r="B68" t="s">
        <v>6</v>
      </c>
      <c r="C68" t="s">
        <v>273</v>
      </c>
      <c r="D68" s="66">
        <v>44651</v>
      </c>
      <c r="E68" t="s">
        <v>187</v>
      </c>
      <c r="F68" s="67">
        <v>-110</v>
      </c>
      <c r="G68" s="87">
        <f>IF(COUNTIFS('PPM Headline'!$B$7:$B$17,$C68,'PPM Headline'!$C$7:$C$17,"Realized")&gt;0,$F68,0)</f>
        <v>0</v>
      </c>
      <c r="H68" s="8">
        <f>IF($C68="Bracken Fluid Systems",0,G68)</f>
        <v>0</v>
      </c>
      <c r="I68" s="87">
        <f>IF(COUNTIFS('PPM Headline'!$B$7:$B$17,$C68,'PPM Headline'!$C$7:$C$17,"Unrealized")&gt;0,$F68,0)</f>
        <v>0</v>
      </c>
      <c r="J68" t="s" s="2">
        <v>274</v>
      </c>
    </row>
    <row r="69">
      <c r="B69" t="s">
        <v>6</v>
      </c>
      <c r="C69" t="s">
        <v>273</v>
      </c>
      <c r="D69" s="66">
        <v>46203</v>
      </c>
      <c r="E69" t="s">
        <v>241</v>
      </c>
      <c r="F69" s="67">
        <v>200</v>
      </c>
      <c r="G69" s="87">
        <f>IF(COUNTIFS('PPM Headline'!$B$7:$B$17,$C69,'PPM Headline'!$C$7:$C$17,"Realized")&gt;0,$F69,0)</f>
        <v>0</v>
      </c>
      <c r="H69" s="8">
        <f>IF($C69="Bracken Fluid Systems",0,G69)</f>
        <v>0</v>
      </c>
      <c r="I69" s="87">
        <f>IF(COUNTIFS('PPM Headline'!$B$7:$B$17,$C69,'PPM Headline'!$C$7:$C$17,"Unrealized")&gt;0,$F69,0)</f>
        <v>0</v>
      </c>
      <c r="J69" t="s" s="2">
        <v>275</v>
      </c>
    </row>
    <row r="70">
      <c r="B70" t="s">
        <v>6</v>
      </c>
      <c r="C70" t="s">
        <v>276</v>
      </c>
      <c r="D70" s="66">
        <v>44742</v>
      </c>
      <c r="E70" t="s">
        <v>187</v>
      </c>
      <c r="F70" s="67">
        <v>-105</v>
      </c>
      <c r="G70" s="87">
        <f>IF(COUNTIFS('PPM Headline'!$B$7:$B$17,$C70,'PPM Headline'!$C$7:$C$17,"Realized")&gt;0,$F70,0)</f>
        <v>0</v>
      </c>
      <c r="H70" s="8">
        <f>IF($C70="Bracken Fluid Systems",0,G70)</f>
        <v>0</v>
      </c>
      <c r="I70" s="87">
        <f>IF(COUNTIFS('PPM Headline'!$B$7:$B$17,$C70,'PPM Headline'!$C$7:$C$17,"Unrealized")&gt;0,$F70,0)</f>
        <v>0</v>
      </c>
      <c r="J70" t="s" s="2">
        <v>277</v>
      </c>
    </row>
    <row r="71">
      <c r="B71" t="s">
        <v>6</v>
      </c>
      <c r="C71" t="s">
        <v>276</v>
      </c>
      <c r="D71" s="66">
        <v>46203</v>
      </c>
      <c r="E71" t="s">
        <v>241</v>
      </c>
      <c r="F71" s="67">
        <v>215</v>
      </c>
      <c r="G71" s="87">
        <f>IF(COUNTIFS('PPM Headline'!$B$7:$B$17,$C71,'PPM Headline'!$C$7:$C$17,"Realized")&gt;0,$F71,0)</f>
        <v>0</v>
      </c>
      <c r="H71" s="8">
        <f>IF($C71="Bracken Fluid Systems",0,G71)</f>
        <v>0</v>
      </c>
      <c r="I71" s="87">
        <f>IF(COUNTIFS('PPM Headline'!$B$7:$B$17,$C71,'PPM Headline'!$C$7:$C$17,"Unrealized")&gt;0,$F71,0)</f>
        <v>0</v>
      </c>
      <c r="J71" t="s" s="2">
        <v>278</v>
      </c>
    </row>
    <row r="72">
      <c r="B72" t="s">
        <v>6</v>
      </c>
      <c r="C72" t="s">
        <v>279</v>
      </c>
      <c r="D72" s="66">
        <v>44834</v>
      </c>
      <c r="E72" t="s">
        <v>187</v>
      </c>
      <c r="F72" s="67">
        <v>-95</v>
      </c>
      <c r="G72" s="87">
        <f>IF(COUNTIFS('PPM Headline'!$B$7:$B$17,$C72,'PPM Headline'!$C$7:$C$17,"Realized")&gt;0,$F72,0)</f>
        <v>0</v>
      </c>
      <c r="H72" s="8">
        <f>IF($C72="Bracken Fluid Systems",0,G72)</f>
        <v>0</v>
      </c>
      <c r="I72" s="87">
        <f>IF(COUNTIFS('PPM Headline'!$B$7:$B$17,$C72,'PPM Headline'!$C$7:$C$17,"Unrealized")&gt;0,$F72,0)</f>
        <v>0</v>
      </c>
      <c r="J72" t="s" s="2">
        <v>280</v>
      </c>
    </row>
    <row r="73">
      <c r="B73" t="s">
        <v>6</v>
      </c>
      <c r="C73" t="s">
        <v>279</v>
      </c>
      <c r="D73" s="66">
        <v>46203</v>
      </c>
      <c r="E73" t="s">
        <v>241</v>
      </c>
      <c r="F73" s="67">
        <v>175</v>
      </c>
      <c r="G73" s="87">
        <f>IF(COUNTIFS('PPM Headline'!$B$7:$B$17,$C73,'PPM Headline'!$C$7:$C$17,"Realized")&gt;0,$F73,0)</f>
        <v>0</v>
      </c>
      <c r="H73" s="8">
        <f>IF($C73="Bracken Fluid Systems",0,G73)</f>
        <v>0</v>
      </c>
      <c r="I73" s="87">
        <f>IF(COUNTIFS('PPM Headline'!$B$7:$B$17,$C73,'PPM Headline'!$C$7:$C$17,"Unrealized")&gt;0,$F73,0)</f>
        <v>0</v>
      </c>
      <c r="J73" t="s" s="2">
        <v>281</v>
      </c>
    </row>
    <row r="74">
      <c r="B74" t="s">
        <v>6</v>
      </c>
      <c r="C74" t="s">
        <v>282</v>
      </c>
      <c r="D74" s="66">
        <v>44926</v>
      </c>
      <c r="E74" t="s">
        <v>187</v>
      </c>
      <c r="F74" s="67">
        <v>-115</v>
      </c>
      <c r="G74" s="87">
        <f>IF(COUNTIFS('PPM Headline'!$B$7:$B$17,$C74,'PPM Headline'!$C$7:$C$17,"Realized")&gt;0,$F74,0)</f>
        <v>0</v>
      </c>
      <c r="H74" s="8">
        <f>IF($C74="Bracken Fluid Systems",0,G74)</f>
        <v>0</v>
      </c>
      <c r="I74" s="87">
        <f>IF(COUNTIFS('PPM Headline'!$B$7:$B$17,$C74,'PPM Headline'!$C$7:$C$17,"Unrealized")&gt;0,$F74,0)</f>
        <v>0</v>
      </c>
      <c r="J74" t="s" s="2">
        <v>283</v>
      </c>
    </row>
    <row r="75">
      <c r="B75" t="s">
        <v>6</v>
      </c>
      <c r="C75" t="s">
        <v>282</v>
      </c>
      <c r="D75" s="66">
        <v>46203</v>
      </c>
      <c r="E75" t="s">
        <v>241</v>
      </c>
      <c r="F75" s="67">
        <v>260</v>
      </c>
      <c r="G75" s="87">
        <f>IF(COUNTIFS('PPM Headline'!$B$7:$B$17,$C75,'PPM Headline'!$C$7:$C$17,"Realized")&gt;0,$F75,0)</f>
        <v>0</v>
      </c>
      <c r="H75" s="8">
        <f>IF($C75="Bracken Fluid Systems",0,G75)</f>
        <v>0</v>
      </c>
      <c r="I75" s="87">
        <f>IF(COUNTIFS('PPM Headline'!$B$7:$B$17,$C75,'PPM Headline'!$C$7:$C$17,"Unrealized")&gt;0,$F75,0)</f>
        <v>0</v>
      </c>
      <c r="J75" t="s" s="2">
        <v>284</v>
      </c>
    </row>
    <row r="76">
      <c r="B76" t="s">
        <v>6</v>
      </c>
      <c r="C76" t="s">
        <v>285</v>
      </c>
      <c r="D76" s="66">
        <v>45016</v>
      </c>
      <c r="E76" t="s">
        <v>187</v>
      </c>
      <c r="F76" s="67">
        <v>-110</v>
      </c>
      <c r="G76" s="87">
        <f>IF(COUNTIFS('PPM Headline'!$B$7:$B$17,$C76,'PPM Headline'!$C$7:$C$17,"Realized")&gt;0,$F76,0)</f>
        <v>0</v>
      </c>
      <c r="H76" s="8">
        <f>IF($C76="Bracken Fluid Systems",0,G76)</f>
        <v>0</v>
      </c>
      <c r="I76" s="87">
        <f>IF(COUNTIFS('PPM Headline'!$B$7:$B$17,$C76,'PPM Headline'!$C$7:$C$17,"Unrealized")&gt;0,$F76,0)</f>
        <v>0</v>
      </c>
      <c r="J76" t="s" s="2">
        <v>286</v>
      </c>
    </row>
    <row r="77">
      <c r="B77" t="s">
        <v>6</v>
      </c>
      <c r="C77" t="s">
        <v>285</v>
      </c>
      <c r="D77" s="66">
        <v>46203</v>
      </c>
      <c r="E77" t="s">
        <v>241</v>
      </c>
      <c r="F77" s="67">
        <v>195</v>
      </c>
      <c r="G77" s="87">
        <f>IF(COUNTIFS('PPM Headline'!$B$7:$B$17,$C77,'PPM Headline'!$C$7:$C$17,"Realized")&gt;0,$F77,0)</f>
        <v>0</v>
      </c>
      <c r="H77" s="8">
        <f>IF($C77="Bracken Fluid Systems",0,G77)</f>
        <v>0</v>
      </c>
      <c r="I77" s="87">
        <f>IF(COUNTIFS('PPM Headline'!$B$7:$B$17,$C77,'PPM Headline'!$C$7:$C$17,"Unrealized")&gt;0,$F77,0)</f>
        <v>0</v>
      </c>
      <c r="J77" t="s" s="2">
        <v>287</v>
      </c>
    </row>
    <row r="78">
      <c r="B78" t="s">
        <v>6</v>
      </c>
      <c r="C78" t="s">
        <v>288</v>
      </c>
      <c r="D78" s="66">
        <v>45199</v>
      </c>
      <c r="E78" t="s">
        <v>187</v>
      </c>
      <c r="F78" s="67">
        <v>-100</v>
      </c>
      <c r="G78" s="87">
        <f>IF(COUNTIFS('PPM Headline'!$B$7:$B$17,$C78,'PPM Headline'!$C$7:$C$17,"Realized")&gt;0,$F78,0)</f>
        <v>0</v>
      </c>
      <c r="H78" s="8">
        <f>IF($C78="Bracken Fluid Systems",0,G78)</f>
        <v>0</v>
      </c>
      <c r="I78" s="87">
        <f>IF(COUNTIFS('PPM Headline'!$B$7:$B$17,$C78,'PPM Headline'!$C$7:$C$17,"Unrealized")&gt;0,$F78,0)</f>
        <v>0</v>
      </c>
      <c r="J78" t="s" s="2">
        <v>289</v>
      </c>
    </row>
    <row r="79">
      <c r="B79" t="s">
        <v>6</v>
      </c>
      <c r="C79" t="s">
        <v>288</v>
      </c>
      <c r="D79" s="66">
        <v>46203</v>
      </c>
      <c r="E79" t="s">
        <v>241</v>
      </c>
      <c r="F79" s="67">
        <v>60</v>
      </c>
      <c r="G79" s="87">
        <f>IF(COUNTIFS('PPM Headline'!$B$7:$B$17,$C79,'PPM Headline'!$C$7:$C$17,"Realized")&gt;0,$F79,0)</f>
        <v>0</v>
      </c>
      <c r="H79" s="8">
        <f>IF($C79="Bracken Fluid Systems",0,G79)</f>
        <v>0</v>
      </c>
      <c r="I79" s="87">
        <f>IF(COUNTIFS('PPM Headline'!$B$7:$B$17,$C79,'PPM Headline'!$C$7:$C$17,"Unrealized")&gt;0,$F79,0)</f>
        <v>0</v>
      </c>
      <c r="J79" t="s" s="2">
        <v>290</v>
      </c>
    </row>
    <row r="80">
      <c r="B80" t="s">
        <v>6</v>
      </c>
      <c r="C80" t="s">
        <v>291</v>
      </c>
      <c r="D80" s="66">
        <v>45382</v>
      </c>
      <c r="E80" t="s">
        <v>187</v>
      </c>
      <c r="F80" s="67">
        <v>-85</v>
      </c>
      <c r="G80" s="87">
        <f>IF(COUNTIFS('PPM Headline'!$B$7:$B$17,$C80,'PPM Headline'!$C$7:$C$17,"Realized")&gt;0,$F80,0)</f>
        <v>0</v>
      </c>
      <c r="H80" s="8">
        <f>IF($C80="Bracken Fluid Systems",0,G80)</f>
        <v>0</v>
      </c>
      <c r="I80" s="87">
        <f>IF(COUNTIFS('PPM Headline'!$B$7:$B$17,$C80,'PPM Headline'!$C$7:$C$17,"Unrealized")&gt;0,$F80,0)</f>
        <v>0</v>
      </c>
      <c r="J80" t="s" s="2">
        <v>292</v>
      </c>
    </row>
    <row r="81">
      <c r="B81" t="s">
        <v>6</v>
      </c>
      <c r="C81" t="s">
        <v>291</v>
      </c>
      <c r="D81" s="66">
        <v>46203</v>
      </c>
      <c r="E81" t="s">
        <v>241</v>
      </c>
      <c r="F81" s="67">
        <v>95</v>
      </c>
      <c r="G81" s="87">
        <f>IF(COUNTIFS('PPM Headline'!$B$7:$B$17,$C81,'PPM Headline'!$C$7:$C$17,"Realized")&gt;0,$F81,0)</f>
        <v>0</v>
      </c>
      <c r="H81" s="8">
        <f>IF($C81="Bracken Fluid Systems",0,G81)</f>
        <v>0</v>
      </c>
      <c r="I81" s="87">
        <f>IF(COUNTIFS('PPM Headline'!$B$7:$B$17,$C81,'PPM Headline'!$C$7:$C$17,"Unrealized")&gt;0,$F81,0)</f>
        <v>0</v>
      </c>
      <c r="J81" t="s" s="2">
        <v>293</v>
      </c>
    </row>
  </sheetData>
  <pageMargins left="0.7" right="0.7" top="0.75" bottom="0.75" header="0.3" footer="0.3"/>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107"/>
  <sheetViews>
    <sheetView showGridLines="0" workbookViewId="0">
      <pane ySplit="4" topLeftCell="A5" activePane="bottomLeft" state="frozen"/>
      <selection pane="bottomLeft" activeCell="A1" sqref="A1"/>
    </sheetView>
  </sheetViews>
  <cols>
    <col min="1" max="1" width="2.21875" customWidth="1"/>
    <col min="2" max="2" width="11.359375" customWidth="1"/>
    <col min="3" max="3" width="13.21875" customWidth="1"/>
    <col min="4" max="4" width="18.9296875" customWidth="1"/>
    <col min="5" max="5" width="62.7890625" customWidth="1"/>
    <col min="6" max="6" width="14.21875" customWidth="1"/>
    <col min="7" max="7" width="13.21875" customWidth="1"/>
    <col min="8" max="8" width="14.21875" customWidth="1"/>
    <col min="9" max="10" width="13.21875" customWidth="1"/>
    <col min="11" max="13" width="14.21875" customWidth="1"/>
    <col min="14" max="14" width="13.21875" customWidth="1"/>
    <col min="15" max="15" width="14.21875" customWidth="1"/>
    <col min="16" max="16" width="13.21875" customWidth="1"/>
    <col min="17" max="17" width="15.21875" customWidth="1"/>
    <col min="18" max="18" width="28.50390625" customWidth="1"/>
  </cols>
  <sheetData>
    <row r="2">
      <c r="B2" t="s" s="1">
        <v>294</v>
      </c>
    </row>
    <row r="3">
      <c r="B3" t="s" s="2">
        <v>295</v>
      </c>
    </row>
    <row r="4" ht="42" customHeight="1">
      <c r="B4" t="s" s="56">
        <v>179</v>
      </c>
      <c r="C4" t="s" s="56">
        <v>180</v>
      </c>
      <c r="D4" t="s" s="56">
        <v>296</v>
      </c>
      <c r="E4" t="s" s="56">
        <v>297</v>
      </c>
      <c r="F4" t="s" s="56">
        <v>298</v>
      </c>
      <c r="G4" t="s" s="56">
        <v>299</v>
      </c>
      <c r="H4" t="s" s="56">
        <v>300</v>
      </c>
      <c r="I4" t="s" s="56">
        <v>301</v>
      </c>
      <c r="J4" t="s" s="56">
        <v>302</v>
      </c>
      <c r="K4" t="s" s="56">
        <v>303</v>
      </c>
      <c r="L4" t="s" s="56">
        <v>304</v>
      </c>
      <c r="M4" t="s" s="56">
        <v>305</v>
      </c>
      <c r="N4" t="s" s="56">
        <v>306</v>
      </c>
      <c r="O4" t="s" s="56">
        <v>307</v>
      </c>
      <c r="P4" t="s" s="56">
        <v>308</v>
      </c>
      <c r="Q4" t="s" s="56">
        <v>309</v>
      </c>
      <c r="R4" t="s" s="56">
        <v>185</v>
      </c>
    </row>
    <row r="5">
      <c r="B5" t="s">
        <v>3</v>
      </c>
      <c r="C5" s="66">
        <v>40359</v>
      </c>
      <c r="D5" t="s">
        <v>310</v>
      </c>
      <c r="E5" t="s">
        <v>311</v>
      </c>
      <c r="F5" s="88">
        <v>-1.40625</v>
      </c>
      <c r="G5" s="29">
        <f>IF(ISNUMBER(SEARCH("Repayment of subscription facility",E5)),1,0)</f>
        <v>0</v>
      </c>
      <c r="H5" t="str" s="89">
        <f>IF(G5=1,SUMIFS(Facility!$C$5:$C$37,Facility!$B$5:$B$37,B5,Facility!$F$5:$F$37,C5),"")</f>
        <v/>
      </c>
      <c r="I5" s="90">
        <f>IF(G5=1,SUMIFS(Facility!$D$5:$D$37,Facility!$B$5:$B$37,B5,Facility!$F$5:$F$37,C5),0)</f>
        <v>0</v>
      </c>
      <c r="J5" s="90">
        <f>IF(G5=1,SUMIFS(Facility!$H$5:$H$37,Facility!$B$5:$B$37,B5,Facility!$F$5:$F$37,C5),0)</f>
        <v>0</v>
      </c>
      <c r="K5" s="47">
        <f>IF(G5=1,H5,C5)</f>
        <v>40359</v>
      </c>
      <c r="L5" s="91">
        <f>IF(G5=1,-I5,F5)</f>
        <v>-1.40625</v>
      </c>
      <c r="M5" s="91">
        <f>IF(G5=1,F5+J5,F5)</f>
        <v>-1.40625</v>
      </c>
      <c r="N5" s="47">
        <f>EOMONTH(C5,0)</f>
        <v>40359</v>
      </c>
      <c r="O5" s="92">
        <f>INDEX('R2K TR Index'!$C$5:$C$197,MATCH(N5,'R2K TR Index'!$B$5:$B$197,0))</f>
        <v>2705.3701</v>
      </c>
      <c r="P5" s="93">
        <f>INDEX('R2K TR Index'!$C$5:$C$197,MATCH('R2K TR Index'!$F$4,'R2K TR Index'!$B$5:$B$197,0))/O5</f>
        <v>6.163656018819754</v>
      </c>
      <c r="Q5" s="91">
        <f>F5*P5</f>
        <v>-8.667641276465279</v>
      </c>
      <c r="R5" t="s" s="2">
        <v>312</v>
      </c>
    </row>
    <row r="6">
      <c r="B6" t="s">
        <v>3</v>
      </c>
      <c r="C6" s="66">
        <v>40451</v>
      </c>
      <c r="D6" t="s">
        <v>310</v>
      </c>
      <c r="E6" t="s">
        <v>311</v>
      </c>
      <c r="F6" s="88">
        <v>-31.16625</v>
      </c>
      <c r="G6" s="29">
        <f>IF(ISNUMBER(SEARCH("Repayment of subscription facility",E6)),1,0)</f>
        <v>0</v>
      </c>
      <c r="H6" t="str" s="89">
        <f>IF(G6=1,SUMIFS(Facility!$C$5:$C$37,Facility!$B$5:$B$37,B6,Facility!$F$5:$F$37,C6),"")</f>
        <v/>
      </c>
      <c r="I6" s="90">
        <f>IF(G6=1,SUMIFS(Facility!$D$5:$D$37,Facility!$B$5:$B$37,B6,Facility!$F$5:$F$37,C6),0)</f>
        <v>0</v>
      </c>
      <c r="J6" s="90">
        <f>IF(G6=1,SUMIFS(Facility!$H$5:$H$37,Facility!$B$5:$B$37,B6,Facility!$F$5:$F$37,C6),0)</f>
        <v>0</v>
      </c>
      <c r="K6" s="47">
        <f>IF(G6=1,H6,C6)</f>
        <v>40451</v>
      </c>
      <c r="L6" s="91">
        <f>IF(G6=1,-I6,F6)</f>
        <v>-31.16625</v>
      </c>
      <c r="M6" s="91">
        <f>IF(G6=1,F6+J6,F6)</f>
        <v>-31.16625</v>
      </c>
      <c r="N6" s="47">
        <f>EOMONTH(C6,0)</f>
        <v>40451</v>
      </c>
      <c r="O6" s="92">
        <f>INDEX('R2K TR Index'!$C$5:$C$197,MATCH(N6,'R2K TR Index'!$B$5:$B$197,0))</f>
        <v>3010.78</v>
      </c>
      <c r="P6" s="93">
        <f>INDEX('R2K TR Index'!$C$5:$C$197,MATCH('R2K TR Index'!$F$4,'R2K TR Index'!$B$5:$B$197,0))/O6</f>
        <v>5.538422169670318</v>
      </c>
      <c r="Q6" s="91">
        <f>F6*P6</f>
        <v>-172.61184994548756</v>
      </c>
      <c r="R6" t="s" s="2">
        <v>313</v>
      </c>
    </row>
    <row r="7">
      <c r="B7" t="s">
        <v>3</v>
      </c>
      <c r="C7" s="66">
        <v>40543</v>
      </c>
      <c r="D7" t="s">
        <v>310</v>
      </c>
      <c r="E7" t="s">
        <v>311</v>
      </c>
      <c r="F7" s="88">
        <v>-29.18225</v>
      </c>
      <c r="G7" s="29">
        <f>IF(ISNUMBER(SEARCH("Repayment of subscription facility",E7)),1,0)</f>
        <v>0</v>
      </c>
      <c r="H7" t="str" s="89">
        <f>IF(G7=1,SUMIFS(Facility!$C$5:$C$37,Facility!$B$5:$B$37,B7,Facility!$F$5:$F$37,C7),"")</f>
        <v/>
      </c>
      <c r="I7" s="90">
        <f>IF(G7=1,SUMIFS(Facility!$D$5:$D$37,Facility!$B$5:$B$37,B7,Facility!$F$5:$F$37,C7),0)</f>
        <v>0</v>
      </c>
      <c r="J7" s="90">
        <f>IF(G7=1,SUMIFS(Facility!$H$5:$H$37,Facility!$B$5:$B$37,B7,Facility!$F$5:$F$37,C7),0)</f>
        <v>0</v>
      </c>
      <c r="K7" s="47">
        <f>IF(G7=1,H7,C7)</f>
        <v>40543</v>
      </c>
      <c r="L7" s="91">
        <f>IF(G7=1,-I7,F7)</f>
        <v>-29.18225</v>
      </c>
      <c r="M7" s="91">
        <f>IF(G7=1,F7+J7,F7)</f>
        <v>-29.18225</v>
      </c>
      <c r="N7" s="47">
        <f>EOMONTH(C7,0)</f>
        <v>40543</v>
      </c>
      <c r="O7" s="92">
        <f>INDEX('R2K TR Index'!$C$5:$C$197,MATCH(N7,'R2K TR Index'!$B$5:$B$197,0))</f>
        <v>3500.1499</v>
      </c>
      <c r="P7" s="93">
        <f>INDEX('R2K TR Index'!$C$5:$C$197,MATCH('R2K TR Index'!$F$4,'R2K TR Index'!$B$5:$B$197,0))/O7</f>
        <v>4.764073304403335</v>
      </c>
      <c r="Q7" s="91">
        <f>F7*P7</f>
        <v>-139.02637818742423</v>
      </c>
      <c r="R7" t="s" s="2">
        <v>314</v>
      </c>
    </row>
    <row r="8">
      <c r="B8" t="s">
        <v>3</v>
      </c>
      <c r="C8" s="66">
        <v>40633</v>
      </c>
      <c r="D8" t="s">
        <v>310</v>
      </c>
      <c r="E8" t="s">
        <v>311</v>
      </c>
      <c r="F8" s="88">
        <v>-1.40625</v>
      </c>
      <c r="G8" s="29">
        <f>IF(ISNUMBER(SEARCH("Repayment of subscription facility",E8)),1,0)</f>
        <v>0</v>
      </c>
      <c r="H8" t="str" s="89">
        <f>IF(G8=1,SUMIFS(Facility!$C$5:$C$37,Facility!$B$5:$B$37,B8,Facility!$F$5:$F$37,C8),"")</f>
        <v/>
      </c>
      <c r="I8" s="90">
        <f>IF(G8=1,SUMIFS(Facility!$D$5:$D$37,Facility!$B$5:$B$37,B8,Facility!$F$5:$F$37,C8),0)</f>
        <v>0</v>
      </c>
      <c r="J8" s="90">
        <f>IF(G8=1,SUMIFS(Facility!$H$5:$H$37,Facility!$B$5:$B$37,B8,Facility!$F$5:$F$37,C8),0)</f>
        <v>0</v>
      </c>
      <c r="K8" s="47">
        <f>IF(G8=1,H8,C8)</f>
        <v>40633</v>
      </c>
      <c r="L8" s="91">
        <f>IF(G8=1,-I8,F8)</f>
        <v>-1.40625</v>
      </c>
      <c r="M8" s="91">
        <f>IF(G8=1,F8+J8,F8)</f>
        <v>-1.40625</v>
      </c>
      <c r="N8" s="47">
        <f>EOMONTH(C8,0)</f>
        <v>40633</v>
      </c>
      <c r="O8" s="92">
        <f>INDEX('R2K TR Index'!$C$5:$C$197,MATCH(N8,'R2K TR Index'!$B$5:$B$197,0))</f>
        <v>3778.03</v>
      </c>
      <c r="P8" s="93">
        <f>INDEX('R2K TR Index'!$C$5:$C$197,MATCH('R2K TR Index'!$F$4,'R2K TR Index'!$B$5:$B$197,0))/O8</f>
        <v>4.413668155096704</v>
      </c>
      <c r="Q8" s="91">
        <f>F8*P8</f>
        <v>-6.20672084310474</v>
      </c>
      <c r="R8" t="s" s="2">
        <v>315</v>
      </c>
    </row>
    <row r="9">
      <c r="B9" t="s">
        <v>3</v>
      </c>
      <c r="C9" s="66">
        <v>40724</v>
      </c>
      <c r="D9" t="s">
        <v>310</v>
      </c>
      <c r="E9" t="s">
        <v>311</v>
      </c>
      <c r="F9" s="88">
        <v>-33.15025</v>
      </c>
      <c r="G9" s="29">
        <f>IF(ISNUMBER(SEARCH("Repayment of subscription facility",E9)),1,0)</f>
        <v>0</v>
      </c>
      <c r="H9" t="str" s="89">
        <f>IF(G9=1,SUMIFS(Facility!$C$5:$C$37,Facility!$B$5:$B$37,B9,Facility!$F$5:$F$37,C9),"")</f>
        <v/>
      </c>
      <c r="I9" s="90">
        <f>IF(G9=1,SUMIFS(Facility!$D$5:$D$37,Facility!$B$5:$B$37,B9,Facility!$F$5:$F$37,C9),0)</f>
        <v>0</v>
      </c>
      <c r="J9" s="90">
        <f>IF(G9=1,SUMIFS(Facility!$H$5:$H$37,Facility!$B$5:$B$37,B9,Facility!$F$5:$F$37,C9),0)</f>
        <v>0</v>
      </c>
      <c r="K9" s="47">
        <f>IF(G9=1,H9,C9)</f>
        <v>40724</v>
      </c>
      <c r="L9" s="91">
        <f>IF(G9=1,-I9,F9)</f>
        <v>-33.15025</v>
      </c>
      <c r="M9" s="91">
        <f>IF(G9=1,F9+J9,F9)</f>
        <v>-33.15025</v>
      </c>
      <c r="N9" s="47">
        <f>EOMONTH(C9,0)</f>
        <v>40724</v>
      </c>
      <c r="O9" s="92">
        <f>INDEX('R2K TR Index'!$C$5:$C$197,MATCH(N9,'R2K TR Index'!$B$5:$B$197,0))</f>
        <v>3717.3601</v>
      </c>
      <c r="P9" s="93">
        <f>INDEX('R2K TR Index'!$C$5:$C$197,MATCH('R2K TR Index'!$F$4,'R2K TR Index'!$B$5:$B$197,0))/O9</f>
        <v>4.485702286415568</v>
      </c>
      <c r="Q9" s="91">
        <f>F9*P9</f>
        <v>-148.70215222024765</v>
      </c>
      <c r="R9" t="s" s="2">
        <v>316</v>
      </c>
    </row>
    <row r="10">
      <c r="B10" t="s">
        <v>3</v>
      </c>
      <c r="C10" s="66">
        <v>40816</v>
      </c>
      <c r="D10" t="s">
        <v>310</v>
      </c>
      <c r="E10" t="s">
        <v>311</v>
      </c>
      <c r="F10" s="88">
        <v>-26.20625</v>
      </c>
      <c r="G10" s="29">
        <f>IF(ISNUMBER(SEARCH("Repayment of subscription facility",E10)),1,0)</f>
        <v>0</v>
      </c>
      <c r="H10" t="str" s="89">
        <f>IF(G10=1,SUMIFS(Facility!$C$5:$C$37,Facility!$B$5:$B$37,B10,Facility!$F$5:$F$37,C10),"")</f>
        <v/>
      </c>
      <c r="I10" s="90">
        <f>IF(G10=1,SUMIFS(Facility!$D$5:$D$37,Facility!$B$5:$B$37,B10,Facility!$F$5:$F$37,C10),0)</f>
        <v>0</v>
      </c>
      <c r="J10" s="90">
        <f>IF(G10=1,SUMIFS(Facility!$H$5:$H$37,Facility!$B$5:$B$37,B10,Facility!$F$5:$F$37,C10),0)</f>
        <v>0</v>
      </c>
      <c r="K10" s="47">
        <f>IF(G10=1,H10,C10)</f>
        <v>40816</v>
      </c>
      <c r="L10" s="91">
        <f>IF(G10=1,-I10,F10)</f>
        <v>-26.20625</v>
      </c>
      <c r="M10" s="91">
        <f>IF(G10=1,F10+J10,F10)</f>
        <v>-26.20625</v>
      </c>
      <c r="N10" s="47">
        <f>EOMONTH(C10,0)</f>
        <v>40816</v>
      </c>
      <c r="O10" s="92">
        <f>INDEX('R2K TR Index'!$C$5:$C$197,MATCH(N10,'R2K TR Index'!$B$5:$B$197,0))</f>
        <v>2904.55</v>
      </c>
      <c r="P10" s="93">
        <f>INDEX('R2K TR Index'!$C$5:$C$197,MATCH('R2K TR Index'!$F$4,'R2K TR Index'!$B$5:$B$197,0))/O10</f>
        <v>5.740982492985144</v>
      </c>
      <c r="Q10" s="91">
        <f>F10*P10</f>
        <v>-150.44962245679193</v>
      </c>
      <c r="R10" t="s" s="2">
        <v>317</v>
      </c>
    </row>
    <row r="11">
      <c r="B11" t="s">
        <v>3</v>
      </c>
      <c r="C11" s="66">
        <v>40908</v>
      </c>
      <c r="D11" t="s">
        <v>310</v>
      </c>
      <c r="E11" t="s">
        <v>311</v>
      </c>
      <c r="F11" s="88">
        <v>-1.40625</v>
      </c>
      <c r="G11" s="29">
        <f>IF(ISNUMBER(SEARCH("Repayment of subscription facility",E11)),1,0)</f>
        <v>0</v>
      </c>
      <c r="H11" t="str" s="89">
        <f>IF(G11=1,SUMIFS(Facility!$C$5:$C$37,Facility!$B$5:$B$37,B11,Facility!$F$5:$F$37,C11),"")</f>
        <v/>
      </c>
      <c r="I11" s="90">
        <f>IF(G11=1,SUMIFS(Facility!$D$5:$D$37,Facility!$B$5:$B$37,B11,Facility!$F$5:$F$37,C11),0)</f>
        <v>0</v>
      </c>
      <c r="J11" s="90">
        <f>IF(G11=1,SUMIFS(Facility!$H$5:$H$37,Facility!$B$5:$B$37,B11,Facility!$F$5:$F$37,C11),0)</f>
        <v>0</v>
      </c>
      <c r="K11" s="47">
        <f>IF(G11=1,H11,C11)</f>
        <v>40908</v>
      </c>
      <c r="L11" s="91">
        <f>IF(G11=1,-I11,F11)</f>
        <v>-1.40625</v>
      </c>
      <c r="M11" s="91">
        <f>IF(G11=1,F11+J11,F11)</f>
        <v>-1.40625</v>
      </c>
      <c r="N11" s="47">
        <f>EOMONTH(C11,0)</f>
        <v>40908</v>
      </c>
      <c r="O11" s="92">
        <f>INDEX('R2K TR Index'!$C$5:$C$197,MATCH(N11,'R2K TR Index'!$B$5:$B$197,0))</f>
        <v>3353.99</v>
      </c>
      <c r="P11" s="93">
        <f>INDEX('R2K TR Index'!$C$5:$C$197,MATCH('R2K TR Index'!$F$4,'R2K TR Index'!$B$5:$B$197,0))/O11</f>
        <v>4.971681698514308</v>
      </c>
      <c r="Q11" s="91">
        <f>F11*P11</f>
        <v>-6.991427388535746</v>
      </c>
      <c r="R11" t="s" s="2">
        <v>318</v>
      </c>
    </row>
    <row r="12">
      <c r="B12" t="s">
        <v>3</v>
      </c>
      <c r="C12" s="66">
        <v>40999</v>
      </c>
      <c r="D12" t="s">
        <v>310</v>
      </c>
      <c r="E12" t="s">
        <v>311</v>
      </c>
      <c r="F12" s="88">
        <v>-36.12625</v>
      </c>
      <c r="G12" s="29">
        <f>IF(ISNUMBER(SEARCH("Repayment of subscription facility",E12)),1,0)</f>
        <v>0</v>
      </c>
      <c r="H12" t="str" s="89">
        <f>IF(G12=1,SUMIFS(Facility!$C$5:$C$37,Facility!$B$5:$B$37,B12,Facility!$F$5:$F$37,C12),"")</f>
        <v/>
      </c>
      <c r="I12" s="90">
        <f>IF(G12=1,SUMIFS(Facility!$D$5:$D$37,Facility!$B$5:$B$37,B12,Facility!$F$5:$F$37,C12),0)</f>
        <v>0</v>
      </c>
      <c r="J12" s="90">
        <f>IF(G12=1,SUMIFS(Facility!$H$5:$H$37,Facility!$B$5:$B$37,B12,Facility!$F$5:$F$37,C12),0)</f>
        <v>0</v>
      </c>
      <c r="K12" s="47">
        <f>IF(G12=1,H12,C12)</f>
        <v>40999</v>
      </c>
      <c r="L12" s="91">
        <f>IF(G12=1,-I12,F12)</f>
        <v>-36.12625</v>
      </c>
      <c r="M12" s="91">
        <f>IF(G12=1,F12+J12,F12)</f>
        <v>-36.12625</v>
      </c>
      <c r="N12" s="47">
        <f>EOMONTH(C12,0)</f>
        <v>40999</v>
      </c>
      <c r="O12" s="92">
        <f>INDEX('R2K TR Index'!$C$5:$C$197,MATCH(N12,'R2K TR Index'!$B$5:$B$197,0))</f>
        <v>3771.1101</v>
      </c>
      <c r="P12" s="93">
        <f>INDEX('R2K TR Index'!$C$5:$C$197,MATCH('R2K TR Index'!$F$4,'R2K TR Index'!$B$5:$B$197,0))/O12</f>
        <v>4.421767134298201</v>
      </c>
      <c r="Q12" s="91">
        <f>F12*P12</f>
        <v>-159.7418649354404</v>
      </c>
      <c r="R12" t="s" s="2">
        <v>319</v>
      </c>
    </row>
    <row r="13">
      <c r="B13" t="s">
        <v>3</v>
      </c>
      <c r="C13" s="66">
        <v>41090</v>
      </c>
      <c r="D13" t="s">
        <v>310</v>
      </c>
      <c r="E13" t="s">
        <v>311</v>
      </c>
      <c r="F13" s="88">
        <v>-1.40625</v>
      </c>
      <c r="G13" s="29">
        <f>IF(ISNUMBER(SEARCH("Repayment of subscription facility",E13)),1,0)</f>
        <v>0</v>
      </c>
      <c r="H13" t="str" s="89">
        <f>IF(G13=1,SUMIFS(Facility!$C$5:$C$37,Facility!$B$5:$B$37,B13,Facility!$F$5:$F$37,C13),"")</f>
        <v/>
      </c>
      <c r="I13" s="90">
        <f>IF(G13=1,SUMIFS(Facility!$D$5:$D$37,Facility!$B$5:$B$37,B13,Facility!$F$5:$F$37,C13),0)</f>
        <v>0</v>
      </c>
      <c r="J13" s="90">
        <f>IF(G13=1,SUMIFS(Facility!$H$5:$H$37,Facility!$B$5:$B$37,B13,Facility!$F$5:$F$37,C13),0)</f>
        <v>0</v>
      </c>
      <c r="K13" s="47">
        <f>IF(G13=1,H13,C13)</f>
        <v>41090</v>
      </c>
      <c r="L13" s="91">
        <f>IF(G13=1,-I13,F13)</f>
        <v>-1.40625</v>
      </c>
      <c r="M13" s="91">
        <f>IF(G13=1,F13+J13,F13)</f>
        <v>-1.40625</v>
      </c>
      <c r="N13" s="47">
        <f>EOMONTH(C13,0)</f>
        <v>41090</v>
      </c>
      <c r="O13" s="92">
        <f>INDEX('R2K TR Index'!$C$5:$C$197,MATCH(N13,'R2K TR Index'!$B$5:$B$197,0))</f>
        <v>3640.1101</v>
      </c>
      <c r="P13" s="93">
        <f>INDEX('R2K TR Index'!$C$5:$C$197,MATCH('R2K TR Index'!$F$4,'R2K TR Index'!$B$5:$B$197,0))/O13</f>
        <v>4.580897347033543</v>
      </c>
      <c r="Q13" s="91">
        <f>F13*P13</f>
        <v>-6.441886894265919</v>
      </c>
      <c r="R13" t="s" s="2">
        <v>320</v>
      </c>
    </row>
    <row r="14">
      <c r="B14" t="s">
        <v>3</v>
      </c>
      <c r="C14" s="66">
        <v>41182</v>
      </c>
      <c r="D14" t="s">
        <v>310</v>
      </c>
      <c r="E14" t="s">
        <v>311</v>
      </c>
      <c r="F14" s="88">
        <v>-31.16625</v>
      </c>
      <c r="G14" s="29">
        <f>IF(ISNUMBER(SEARCH("Repayment of subscription facility",E14)),1,0)</f>
        <v>0</v>
      </c>
      <c r="H14" t="str" s="89">
        <f>IF(G14=1,SUMIFS(Facility!$C$5:$C$37,Facility!$B$5:$B$37,B14,Facility!$F$5:$F$37,C14),"")</f>
        <v/>
      </c>
      <c r="I14" s="90">
        <f>IF(G14=1,SUMIFS(Facility!$D$5:$D$37,Facility!$B$5:$B$37,B14,Facility!$F$5:$F$37,C14),0)</f>
        <v>0</v>
      </c>
      <c r="J14" s="90">
        <f>IF(G14=1,SUMIFS(Facility!$H$5:$H$37,Facility!$B$5:$B$37,B14,Facility!$F$5:$F$37,C14),0)</f>
        <v>0</v>
      </c>
      <c r="K14" s="47">
        <f>IF(G14=1,H14,C14)</f>
        <v>41182</v>
      </c>
      <c r="L14" s="91">
        <f>IF(G14=1,-I14,F14)</f>
        <v>-31.16625</v>
      </c>
      <c r="M14" s="91">
        <f>IF(G14=1,F14+J14,F14)</f>
        <v>-31.16625</v>
      </c>
      <c r="N14" s="47">
        <f>EOMONTH(C14,0)</f>
        <v>41182</v>
      </c>
      <c r="O14" s="92">
        <f>INDEX('R2K TR Index'!$C$5:$C$197,MATCH(N14,'R2K TR Index'!$B$5:$B$197,0))</f>
        <v>3831.3301</v>
      </c>
      <c r="P14" s="93">
        <f>INDEX('R2K TR Index'!$C$5:$C$197,MATCH('R2K TR Index'!$F$4,'R2K TR Index'!$B$5:$B$197,0))/O14</f>
        <v>4.352266775446992</v>
      </c>
      <c r="Q14" s="91">
        <f>F14*P14</f>
        <v>-135.64383439027483</v>
      </c>
      <c r="R14" t="s" s="2">
        <v>321</v>
      </c>
    </row>
    <row r="15">
      <c r="B15" t="s">
        <v>3</v>
      </c>
      <c r="C15" s="66">
        <v>41274</v>
      </c>
      <c r="D15" t="s">
        <v>310</v>
      </c>
      <c r="E15" t="s">
        <v>311</v>
      </c>
      <c r="F15" s="88">
        <v>-1.40625</v>
      </c>
      <c r="G15" s="29">
        <f>IF(ISNUMBER(SEARCH("Repayment of subscription facility",E15)),1,0)</f>
        <v>0</v>
      </c>
      <c r="H15" t="str" s="89">
        <f>IF(G15=1,SUMIFS(Facility!$C$5:$C$37,Facility!$B$5:$B$37,B15,Facility!$F$5:$F$37,C15),"")</f>
        <v/>
      </c>
      <c r="I15" s="90">
        <f>IF(G15=1,SUMIFS(Facility!$D$5:$D$37,Facility!$B$5:$B$37,B15,Facility!$F$5:$F$37,C15),0)</f>
        <v>0</v>
      </c>
      <c r="J15" s="90">
        <f>IF(G15=1,SUMIFS(Facility!$H$5:$H$37,Facility!$B$5:$B$37,B15,Facility!$F$5:$F$37,C15),0)</f>
        <v>0</v>
      </c>
      <c r="K15" s="47">
        <f>IF(G15=1,H15,C15)</f>
        <v>41274</v>
      </c>
      <c r="L15" s="91">
        <f>IF(G15=1,-I15,F15)</f>
        <v>-1.40625</v>
      </c>
      <c r="M15" s="91">
        <f>IF(G15=1,F15+J15,F15)</f>
        <v>-1.40625</v>
      </c>
      <c r="N15" s="47">
        <f>EOMONTH(C15,0)</f>
        <v>41274</v>
      </c>
      <c r="O15" s="92">
        <f>INDEX('R2K TR Index'!$C$5:$C$197,MATCH(N15,'R2K TR Index'!$B$5:$B$197,0))</f>
        <v>3902.3701</v>
      </c>
      <c r="P15" s="93">
        <f>INDEX('R2K TR Index'!$C$5:$C$197,MATCH('R2K TR Index'!$F$4,'R2K TR Index'!$B$5:$B$197,0))/O15</f>
        <v>4.273036711715273</v>
      </c>
      <c r="Q15" s="91">
        <f>F15*P15</f>
        <v>-6.008957875849602</v>
      </c>
      <c r="R15" t="s" s="2">
        <v>322</v>
      </c>
    </row>
    <row r="16">
      <c r="B16" t="s">
        <v>3</v>
      </c>
      <c r="C16" s="66">
        <v>41364</v>
      </c>
      <c r="D16" t="s">
        <v>310</v>
      </c>
      <c r="E16" t="s">
        <v>311</v>
      </c>
      <c r="F16" s="88">
        <v>-29.18225</v>
      </c>
      <c r="G16" s="29">
        <f>IF(ISNUMBER(SEARCH("Repayment of subscription facility",E16)),1,0)</f>
        <v>0</v>
      </c>
      <c r="H16" t="str" s="89">
        <f>IF(G16=1,SUMIFS(Facility!$C$5:$C$37,Facility!$B$5:$B$37,B16,Facility!$F$5:$F$37,C16),"")</f>
        <v/>
      </c>
      <c r="I16" s="90">
        <f>IF(G16=1,SUMIFS(Facility!$D$5:$D$37,Facility!$B$5:$B$37,B16,Facility!$F$5:$F$37,C16),0)</f>
        <v>0</v>
      </c>
      <c r="J16" s="90">
        <f>IF(G16=1,SUMIFS(Facility!$H$5:$H$37,Facility!$B$5:$B$37,B16,Facility!$F$5:$F$37,C16),0)</f>
        <v>0</v>
      </c>
      <c r="K16" s="47">
        <f>IF(G16=1,H16,C16)</f>
        <v>41364</v>
      </c>
      <c r="L16" s="91">
        <f>IF(G16=1,-I16,F16)</f>
        <v>-29.18225</v>
      </c>
      <c r="M16" s="91">
        <f>IF(G16=1,F16+J16,F16)</f>
        <v>-29.18225</v>
      </c>
      <c r="N16" s="47">
        <f>EOMONTH(C16,0)</f>
        <v>41364</v>
      </c>
      <c r="O16" s="92">
        <f>INDEX('R2K TR Index'!$C$5:$C$197,MATCH(N16,'R2K TR Index'!$B$5:$B$197,0))</f>
        <v>4385.9502</v>
      </c>
      <c r="P16" s="93">
        <f>INDEX('R2K TR Index'!$C$5:$C$197,MATCH('R2K TR Index'!$F$4,'R2K TR Index'!$B$5:$B$197,0))/O16</f>
        <v>3.8019060727137304</v>
      </c>
      <c r="Q16" s="91">
        <f>F16*P16</f>
        <v>-110.94817349045026</v>
      </c>
      <c r="R16" t="s" s="2">
        <v>323</v>
      </c>
    </row>
    <row r="17">
      <c r="B17" t="s">
        <v>3</v>
      </c>
      <c r="C17" s="66">
        <v>41455</v>
      </c>
      <c r="D17" t="s">
        <v>310</v>
      </c>
      <c r="E17" t="s">
        <v>311</v>
      </c>
      <c r="F17" s="88">
        <v>-23.23025</v>
      </c>
      <c r="G17" s="29">
        <f>IF(ISNUMBER(SEARCH("Repayment of subscription facility",E17)),1,0)</f>
        <v>0</v>
      </c>
      <c r="H17" t="str" s="89">
        <f>IF(G17=1,SUMIFS(Facility!$C$5:$C$37,Facility!$B$5:$B$37,B17,Facility!$F$5:$F$37,C17),"")</f>
        <v/>
      </c>
      <c r="I17" s="90">
        <f>IF(G17=1,SUMIFS(Facility!$D$5:$D$37,Facility!$B$5:$B$37,B17,Facility!$F$5:$F$37,C17),0)</f>
        <v>0</v>
      </c>
      <c r="J17" s="90">
        <f>IF(G17=1,SUMIFS(Facility!$H$5:$H$37,Facility!$B$5:$B$37,B17,Facility!$F$5:$F$37,C17),0)</f>
        <v>0</v>
      </c>
      <c r="K17" s="47">
        <f>IF(G17=1,H17,C17)</f>
        <v>41455</v>
      </c>
      <c r="L17" s="91">
        <f>IF(G17=1,-I17,F17)</f>
        <v>-23.23025</v>
      </c>
      <c r="M17" s="91">
        <f>IF(G17=1,F17+J17,F17)</f>
        <v>-23.23025</v>
      </c>
      <c r="N17" s="47">
        <f>EOMONTH(C17,0)</f>
        <v>41455</v>
      </c>
      <c r="O17" s="92">
        <f>INDEX('R2K TR Index'!$C$5:$C$197,MATCH(N17,'R2K TR Index'!$B$5:$B$197,0))</f>
        <v>4521.2402</v>
      </c>
      <c r="P17" s="93">
        <f>INDEX('R2K TR Index'!$C$5:$C$197,MATCH('R2K TR Index'!$F$4,'R2K TR Index'!$B$5:$B$197,0))/O17</f>
        <v>3.688140855688225</v>
      </c>
      <c r="Q17" s="91">
        <f>F17*P17</f>
        <v>-85.6764341128514</v>
      </c>
      <c r="R17" t="s" s="2">
        <v>324</v>
      </c>
    </row>
    <row r="18">
      <c r="B18" t="s">
        <v>3</v>
      </c>
      <c r="C18" s="66">
        <v>41547</v>
      </c>
      <c r="D18" t="s">
        <v>310</v>
      </c>
      <c r="E18" t="s">
        <v>311</v>
      </c>
      <c r="F18" s="88">
        <v>-1.40625</v>
      </c>
      <c r="G18" s="29">
        <f>IF(ISNUMBER(SEARCH("Repayment of subscription facility",E18)),1,0)</f>
        <v>0</v>
      </c>
      <c r="H18" t="str" s="89">
        <f>IF(G18=1,SUMIFS(Facility!$C$5:$C$37,Facility!$B$5:$B$37,B18,Facility!$F$5:$F$37,C18),"")</f>
        <v/>
      </c>
      <c r="I18" s="90">
        <f>IF(G18=1,SUMIFS(Facility!$D$5:$D$37,Facility!$B$5:$B$37,B18,Facility!$F$5:$F$37,C18),0)</f>
        <v>0</v>
      </c>
      <c r="J18" s="90">
        <f>IF(G18=1,SUMIFS(Facility!$H$5:$H$37,Facility!$B$5:$B$37,B18,Facility!$F$5:$F$37,C18),0)</f>
        <v>0</v>
      </c>
      <c r="K18" s="47">
        <f>IF(G18=1,H18,C18)</f>
        <v>41547</v>
      </c>
      <c r="L18" s="91">
        <f>IF(G18=1,-I18,F18)</f>
        <v>-1.40625</v>
      </c>
      <c r="M18" s="91">
        <f>IF(G18=1,F18+J18,F18)</f>
        <v>-1.40625</v>
      </c>
      <c r="N18" s="47">
        <f>EOMONTH(C18,0)</f>
        <v>41547</v>
      </c>
      <c r="O18" s="92">
        <f>INDEX('R2K TR Index'!$C$5:$C$197,MATCH(N18,'R2K TR Index'!$B$5:$B$197,0))</f>
        <v>4982.8501</v>
      </c>
      <c r="P18" s="93">
        <f>INDEX('R2K TR Index'!$C$5:$C$197,MATCH('R2K TR Index'!$F$4,'R2K TR Index'!$B$5:$B$197,0))/O18</f>
        <v>3.3464724736551883</v>
      </c>
      <c r="Q18" s="91">
        <f>F18*P18</f>
        <v>-4.705976916077608</v>
      </c>
      <c r="R18" t="s" s="2">
        <v>325</v>
      </c>
    </row>
    <row r="19">
      <c r="B19" t="s">
        <v>3</v>
      </c>
      <c r="C19" s="66">
        <v>41639</v>
      </c>
      <c r="D19" t="s">
        <v>310</v>
      </c>
      <c r="E19" t="s">
        <v>311</v>
      </c>
      <c r="F19" s="88">
        <v>-1.40625</v>
      </c>
      <c r="G19" s="29">
        <f>IF(ISNUMBER(SEARCH("Repayment of subscription facility",E19)),1,0)</f>
        <v>0</v>
      </c>
      <c r="H19" t="str" s="89">
        <f>IF(G19=1,SUMIFS(Facility!$C$5:$C$37,Facility!$B$5:$B$37,B19,Facility!$F$5:$F$37,C19),"")</f>
        <v/>
      </c>
      <c r="I19" s="90">
        <f>IF(G19=1,SUMIFS(Facility!$D$5:$D$37,Facility!$B$5:$B$37,B19,Facility!$F$5:$F$37,C19),0)</f>
        <v>0</v>
      </c>
      <c r="J19" s="90">
        <f>IF(G19=1,SUMIFS(Facility!$H$5:$H$37,Facility!$B$5:$B$37,B19,Facility!$F$5:$F$37,C19),0)</f>
        <v>0</v>
      </c>
      <c r="K19" s="47">
        <f>IF(G19=1,H19,C19)</f>
        <v>41639</v>
      </c>
      <c r="L19" s="91">
        <f>IF(G19=1,-I19,F19)</f>
        <v>-1.40625</v>
      </c>
      <c r="M19" s="91">
        <f>IF(G19=1,F19+J19,F19)</f>
        <v>-1.40625</v>
      </c>
      <c r="N19" s="47">
        <f>EOMONTH(C19,0)</f>
        <v>41639</v>
      </c>
      <c r="O19" s="92">
        <f>INDEX('R2K TR Index'!$C$5:$C$197,MATCH(N19,'R2K TR Index'!$B$5:$B$197,0))</f>
        <v>5417.3599</v>
      </c>
      <c r="P19" s="93">
        <f>INDEX('R2K TR Index'!$C$5:$C$197,MATCH('R2K TR Index'!$F$4,'R2K TR Index'!$B$5:$B$197,0))/O19</f>
        <v>3.0780621940956885</v>
      </c>
      <c r="Q19" s="91">
        <f>F19*P19</f>
        <v>-4.328524960447062</v>
      </c>
      <c r="R19" t="s" s="2">
        <v>326</v>
      </c>
    </row>
    <row r="20">
      <c r="B20" t="s">
        <v>3</v>
      </c>
      <c r="C20" s="66">
        <v>41729</v>
      </c>
      <c r="D20" t="s">
        <v>310</v>
      </c>
      <c r="E20" t="s">
        <v>311</v>
      </c>
      <c r="F20" s="88">
        <v>-0.746249999999975</v>
      </c>
      <c r="G20" s="29">
        <f>IF(ISNUMBER(SEARCH("Repayment of subscription facility",E20)),1,0)</f>
        <v>0</v>
      </c>
      <c r="H20" t="str" s="89">
        <f>IF(G20=1,SUMIFS(Facility!$C$5:$C$37,Facility!$B$5:$B$37,B20,Facility!$F$5:$F$37,C20),"")</f>
        <v/>
      </c>
      <c r="I20" s="90">
        <f>IF(G20=1,SUMIFS(Facility!$D$5:$D$37,Facility!$B$5:$B$37,B20,Facility!$F$5:$F$37,C20),0)</f>
        <v>0</v>
      </c>
      <c r="J20" s="90">
        <f>IF(G20=1,SUMIFS(Facility!$H$5:$H$37,Facility!$B$5:$B$37,B20,Facility!$F$5:$F$37,C20),0)</f>
        <v>0</v>
      </c>
      <c r="K20" s="47">
        <f>IF(G20=1,H20,C20)</f>
        <v>41729</v>
      </c>
      <c r="L20" s="91">
        <f>IF(G20=1,-I20,F20)</f>
        <v>-0.746249999999975</v>
      </c>
      <c r="M20" s="91">
        <f>IF(G20=1,F20+J20,F20)</f>
        <v>-0.746249999999975</v>
      </c>
      <c r="N20" s="47">
        <f>EOMONTH(C20,0)</f>
        <v>41729</v>
      </c>
      <c r="O20" s="92">
        <f>INDEX('R2K TR Index'!$C$5:$C$197,MATCH(N20,'R2K TR Index'!$B$5:$B$197,0))</f>
        <v>5477.96</v>
      </c>
      <c r="P20" s="93">
        <f>INDEX('R2K TR Index'!$C$5:$C$197,MATCH('R2K TR Index'!$F$4,'R2K TR Index'!$B$5:$B$197,0))/O20</f>
        <v>3.044011036955363</v>
      </c>
      <c r="Q20" s="91">
        <f>F20*P20</f>
        <v>-2.2715932363278637</v>
      </c>
      <c r="R20" t="s" s="2">
        <v>327</v>
      </c>
    </row>
    <row r="21">
      <c r="B21" t="s">
        <v>3</v>
      </c>
      <c r="C21" s="66">
        <v>42004</v>
      </c>
      <c r="D21" t="s">
        <v>328</v>
      </c>
      <c r="E21" t="s">
        <v>329</v>
      </c>
      <c r="F21" s="88">
        <v>73.12124999999997</v>
      </c>
      <c r="G21" s="29">
        <f>IF(ISNUMBER(SEARCH("Repayment of subscription facility",E21)),1,0)</f>
        <v>0</v>
      </c>
      <c r="H21" t="str" s="89">
        <f>IF(G21=1,SUMIFS(Facility!$C$5:$C$37,Facility!$B$5:$B$37,B21,Facility!$F$5:$F$37,C21),"")</f>
        <v/>
      </c>
      <c r="I21" s="90">
        <f>IF(G21=1,SUMIFS(Facility!$D$5:$D$37,Facility!$B$5:$B$37,B21,Facility!$F$5:$F$37,C21),0)</f>
        <v>0</v>
      </c>
      <c r="J21" s="90">
        <f>IF(G21=1,SUMIFS(Facility!$H$5:$H$37,Facility!$B$5:$B$37,B21,Facility!$F$5:$F$37,C21),0)</f>
        <v>0</v>
      </c>
      <c r="K21" s="47">
        <f>IF(G21=1,H21,C21)</f>
        <v>42004</v>
      </c>
      <c r="L21" s="91">
        <f>IF(G21=1,-I21,F21)</f>
        <v>73.12124999999997</v>
      </c>
      <c r="M21" s="91">
        <f>IF(G21=1,F21+J21,F21)</f>
        <v>73.12124999999997</v>
      </c>
      <c r="N21" s="47">
        <f>EOMONTH(C21,0)</f>
        <v>42004</v>
      </c>
      <c r="O21" s="92">
        <f>INDEX('R2K TR Index'!$C$5:$C$197,MATCH(N21,'R2K TR Index'!$B$5:$B$197,0))</f>
        <v>5682.5</v>
      </c>
      <c r="P21" s="93">
        <f>INDEX('R2K TR Index'!$C$5:$C$197,MATCH('R2K TR Index'!$F$4,'R2K TR Index'!$B$5:$B$197,0))/O21</f>
        <v>2.934442710074791</v>
      </c>
      <c r="Q21" s="91">
        <f>F21*P21</f>
        <v>214.57011901405625</v>
      </c>
      <c r="R21" t="s" s="2">
        <v>330</v>
      </c>
    </row>
    <row r="22">
      <c r="B22" t="s">
        <v>3</v>
      </c>
      <c r="C22" s="66">
        <v>42185</v>
      </c>
      <c r="D22" t="s">
        <v>328</v>
      </c>
      <c r="E22" t="s">
        <v>329</v>
      </c>
      <c r="F22" s="88">
        <v>77.1875</v>
      </c>
      <c r="G22" s="29">
        <f>IF(ISNUMBER(SEARCH("Repayment of subscription facility",E22)),1,0)</f>
        <v>0</v>
      </c>
      <c r="H22" t="str" s="89">
        <f>IF(G22=1,SUMIFS(Facility!$C$5:$C$37,Facility!$B$5:$B$37,B22,Facility!$F$5:$F$37,C22),"")</f>
        <v/>
      </c>
      <c r="I22" s="90">
        <f>IF(G22=1,SUMIFS(Facility!$D$5:$D$37,Facility!$B$5:$B$37,B22,Facility!$F$5:$F$37,C22),0)</f>
        <v>0</v>
      </c>
      <c r="J22" s="90">
        <f>IF(G22=1,SUMIFS(Facility!$H$5:$H$37,Facility!$B$5:$B$37,B22,Facility!$F$5:$F$37,C22),0)</f>
        <v>0</v>
      </c>
      <c r="K22" s="47">
        <f>IF(G22=1,H22,C22)</f>
        <v>42185</v>
      </c>
      <c r="L22" s="91">
        <f>IF(G22=1,-I22,F22)</f>
        <v>77.1875</v>
      </c>
      <c r="M22" s="91">
        <f>IF(G22=1,F22+J22,F22)</f>
        <v>77.1875</v>
      </c>
      <c r="N22" s="47">
        <f>EOMONTH(C22,0)</f>
        <v>42185</v>
      </c>
      <c r="O22" s="92">
        <f>INDEX('R2K TR Index'!$C$5:$C$197,MATCH(N22,'R2K TR Index'!$B$5:$B$197,0))</f>
        <v>5952.6699</v>
      </c>
      <c r="P22" s="93">
        <f>INDEX('R2K TR Index'!$C$5:$C$197,MATCH('R2K TR Index'!$F$4,'R2K TR Index'!$B$5:$B$197,0))/O22</f>
        <v>2.801259095519475</v>
      </c>
      <c r="Q22" s="91">
        <f>F22*P22</f>
        <v>216.22218643540947</v>
      </c>
      <c r="R22" t="s" s="2">
        <v>331</v>
      </c>
    </row>
    <row r="23">
      <c r="B23" t="s">
        <v>3</v>
      </c>
      <c r="C23" s="66">
        <v>42369</v>
      </c>
      <c r="D23" t="s">
        <v>328</v>
      </c>
      <c r="E23" t="s">
        <v>329</v>
      </c>
      <c r="F23" s="88">
        <v>68.5175</v>
      </c>
      <c r="G23" s="29">
        <f>IF(ISNUMBER(SEARCH("Repayment of subscription facility",E23)),1,0)</f>
        <v>0</v>
      </c>
      <c r="H23" t="str" s="89">
        <f>IF(G23=1,SUMIFS(Facility!$C$5:$C$37,Facility!$B$5:$B$37,B23,Facility!$F$5:$F$37,C23),"")</f>
        <v/>
      </c>
      <c r="I23" s="90">
        <f>IF(G23=1,SUMIFS(Facility!$D$5:$D$37,Facility!$B$5:$B$37,B23,Facility!$F$5:$F$37,C23),0)</f>
        <v>0</v>
      </c>
      <c r="J23" s="90">
        <f>IF(G23=1,SUMIFS(Facility!$H$5:$H$37,Facility!$B$5:$B$37,B23,Facility!$F$5:$F$37,C23),0)</f>
        <v>0</v>
      </c>
      <c r="K23" s="47">
        <f>IF(G23=1,H23,C23)</f>
        <v>42369</v>
      </c>
      <c r="L23" s="91">
        <f>IF(G23=1,-I23,F23)</f>
        <v>68.5175</v>
      </c>
      <c r="M23" s="91">
        <f>IF(G23=1,F23+J23,F23)</f>
        <v>68.5175</v>
      </c>
      <c r="N23" s="47">
        <f>EOMONTH(C23,0)</f>
        <v>42369</v>
      </c>
      <c r="O23" s="92">
        <f>INDEX('R2K TR Index'!$C$5:$C$197,MATCH(N23,'R2K TR Index'!$B$5:$B$197,0))</f>
        <v>5431.6699</v>
      </c>
      <c r="P23" s="93">
        <f>INDEX('R2K TR Index'!$C$5:$C$197,MATCH('R2K TR Index'!$F$4,'R2K TR Index'!$B$5:$B$197,0))/O23</f>
        <v>3.069952888705553</v>
      </c>
      <c r="Q23" s="91">
        <f>F23*P23</f>
        <v>210.34549705188272</v>
      </c>
      <c r="R23" t="s" s="2">
        <v>332</v>
      </c>
    </row>
    <row r="24">
      <c r="B24" t="s">
        <v>3</v>
      </c>
      <c r="C24" s="66">
        <v>42460</v>
      </c>
      <c r="D24" t="s">
        <v>328</v>
      </c>
      <c r="E24" t="s">
        <v>329</v>
      </c>
      <c r="F24" s="88">
        <v>61.4125</v>
      </c>
      <c r="G24" s="29">
        <f>IF(ISNUMBER(SEARCH("Repayment of subscription facility",E24)),1,0)</f>
        <v>0</v>
      </c>
      <c r="H24" t="str" s="89">
        <f>IF(G24=1,SUMIFS(Facility!$C$5:$C$37,Facility!$B$5:$B$37,B24,Facility!$F$5:$F$37,C24),"")</f>
        <v/>
      </c>
      <c r="I24" s="90">
        <f>IF(G24=1,SUMIFS(Facility!$D$5:$D$37,Facility!$B$5:$B$37,B24,Facility!$F$5:$F$37,C24),0)</f>
        <v>0</v>
      </c>
      <c r="J24" s="90">
        <f>IF(G24=1,SUMIFS(Facility!$H$5:$H$37,Facility!$B$5:$B$37,B24,Facility!$F$5:$F$37,C24),0)</f>
        <v>0</v>
      </c>
      <c r="K24" s="47">
        <f>IF(G24=1,H24,C24)</f>
        <v>42460</v>
      </c>
      <c r="L24" s="91">
        <f>IF(G24=1,-I24,F24)</f>
        <v>61.4125</v>
      </c>
      <c r="M24" s="91">
        <f>IF(G24=1,F24+J24,F24)</f>
        <v>61.4125</v>
      </c>
      <c r="N24" s="47">
        <f>EOMONTH(C24,0)</f>
        <v>42460</v>
      </c>
      <c r="O24" s="92">
        <f>INDEX('R2K TR Index'!$C$5:$C$197,MATCH(N24,'R2K TR Index'!$B$5:$B$197,0))</f>
        <v>5349.1899</v>
      </c>
      <c r="P24" s="93">
        <f>INDEX('R2K TR Index'!$C$5:$C$197,MATCH('R2K TR Index'!$F$4,'R2K TR Index'!$B$5:$B$197,0))/O24</f>
        <v>3.1172889749156223</v>
      </c>
      <c r="Q24" s="91">
        <f>F24*P24</f>
        <v>191.44050917200565</v>
      </c>
      <c r="R24" t="s" s="2">
        <v>333</v>
      </c>
    </row>
    <row r="25">
      <c r="B25" t="s">
        <v>3</v>
      </c>
      <c r="C25" s="66">
        <v>42643</v>
      </c>
      <c r="D25" t="s">
        <v>328</v>
      </c>
      <c r="E25" t="s">
        <v>329</v>
      </c>
      <c r="F25" s="88">
        <v>71.51725</v>
      </c>
      <c r="G25" s="29">
        <f>IF(ISNUMBER(SEARCH("Repayment of subscription facility",E25)),1,0)</f>
        <v>0</v>
      </c>
      <c r="H25" t="str" s="89">
        <f>IF(G25=1,SUMIFS(Facility!$C$5:$C$37,Facility!$B$5:$B$37,B25,Facility!$F$5:$F$37,C25),"")</f>
        <v/>
      </c>
      <c r="I25" s="90">
        <f>IF(G25=1,SUMIFS(Facility!$D$5:$D$37,Facility!$B$5:$B$37,B25,Facility!$F$5:$F$37,C25),0)</f>
        <v>0</v>
      </c>
      <c r="J25" s="90">
        <f>IF(G25=1,SUMIFS(Facility!$H$5:$H$37,Facility!$B$5:$B$37,B25,Facility!$F$5:$F$37,C25),0)</f>
        <v>0</v>
      </c>
      <c r="K25" s="47">
        <f>IF(G25=1,H25,C25)</f>
        <v>42643</v>
      </c>
      <c r="L25" s="91">
        <f>IF(G25=1,-I25,F25)</f>
        <v>71.51725</v>
      </c>
      <c r="M25" s="91">
        <f>IF(G25=1,F25+J25,F25)</f>
        <v>71.51725</v>
      </c>
      <c r="N25" s="47">
        <f>EOMONTH(C25,0)</f>
        <v>42643</v>
      </c>
      <c r="O25" s="92">
        <f>INDEX('R2K TR Index'!$C$5:$C$197,MATCH(N25,'R2K TR Index'!$B$5:$B$197,0))</f>
        <v>6054.25</v>
      </c>
      <c r="P25" s="93">
        <f>INDEX('R2K TR Index'!$C$5:$C$197,MATCH('R2K TR Index'!$F$4,'R2K TR Index'!$B$5:$B$197,0))/O25</f>
        <v>2.7542586943056535</v>
      </c>
      <c r="Q25" s="91">
        <f>F25*P25</f>
        <v>196.977007605331</v>
      </c>
      <c r="R25" t="s" s="2">
        <v>334</v>
      </c>
    </row>
    <row r="26">
      <c r="B26" t="s">
        <v>3</v>
      </c>
      <c r="C26" s="66">
        <v>42735</v>
      </c>
      <c r="D26" t="s">
        <v>328</v>
      </c>
      <c r="E26" t="s">
        <v>329</v>
      </c>
      <c r="F26" s="88">
        <v>6.100999999999996</v>
      </c>
      <c r="G26" s="29">
        <f>IF(ISNUMBER(SEARCH("Repayment of subscription facility",E26)),1,0)</f>
        <v>0</v>
      </c>
      <c r="H26" t="str" s="89">
        <f>IF(G26=1,SUMIFS(Facility!$C$5:$C$37,Facility!$B$5:$B$37,B26,Facility!$F$5:$F$37,C26),"")</f>
        <v/>
      </c>
      <c r="I26" s="90">
        <f>IF(G26=1,SUMIFS(Facility!$D$5:$D$37,Facility!$B$5:$B$37,B26,Facility!$F$5:$F$37,C26),0)</f>
        <v>0</v>
      </c>
      <c r="J26" s="90">
        <f>IF(G26=1,SUMIFS(Facility!$H$5:$H$37,Facility!$B$5:$B$37,B26,Facility!$F$5:$F$37,C26),0)</f>
        <v>0</v>
      </c>
      <c r="K26" s="47">
        <f>IF(G26=1,H26,C26)</f>
        <v>42735</v>
      </c>
      <c r="L26" s="91">
        <f>IF(G26=1,-I26,F26)</f>
        <v>6.100999999999996</v>
      </c>
      <c r="M26" s="91">
        <f>IF(G26=1,F26+J26,F26)</f>
        <v>6.100999999999996</v>
      </c>
      <c r="N26" s="47">
        <f>EOMONTH(C26,0)</f>
        <v>42735</v>
      </c>
      <c r="O26" s="92">
        <f>INDEX('R2K TR Index'!$C$5:$C$197,MATCH(N26,'R2K TR Index'!$B$5:$B$197,0))</f>
        <v>6589.0498</v>
      </c>
      <c r="P26" s="93">
        <f>INDEX('R2K TR Index'!$C$5:$C$197,MATCH('R2K TR Index'!$F$4,'R2K TR Index'!$B$5:$B$197,0))/O26</f>
        <v>2.530709465877766</v>
      </c>
      <c r="Q26" s="91">
        <f>F26*P26</f>
        <v>15.43985845132024</v>
      </c>
      <c r="R26" t="s" s="2">
        <v>335</v>
      </c>
    </row>
    <row r="27">
      <c r="B27" t="s">
        <v>3</v>
      </c>
      <c r="C27" s="66">
        <v>42916</v>
      </c>
      <c r="D27" t="s">
        <v>328</v>
      </c>
      <c r="E27" t="s">
        <v>329</v>
      </c>
      <c r="F27" s="88">
        <v>57.09199999999999</v>
      </c>
      <c r="G27" s="29">
        <f>IF(ISNUMBER(SEARCH("Repayment of subscription facility",E27)),1,0)</f>
        <v>0</v>
      </c>
      <c r="H27" t="str" s="89">
        <f>IF(G27=1,SUMIFS(Facility!$C$5:$C$37,Facility!$B$5:$B$37,B27,Facility!$F$5:$F$37,C27),"")</f>
        <v/>
      </c>
      <c r="I27" s="90">
        <f>IF(G27=1,SUMIFS(Facility!$D$5:$D$37,Facility!$B$5:$B$37,B27,Facility!$F$5:$F$37,C27),0)</f>
        <v>0</v>
      </c>
      <c r="J27" s="90">
        <f>IF(G27=1,SUMIFS(Facility!$H$5:$H$37,Facility!$B$5:$B$37,B27,Facility!$F$5:$F$37,C27),0)</f>
        <v>0</v>
      </c>
      <c r="K27" s="47">
        <f>IF(G27=1,H27,C27)</f>
        <v>42916</v>
      </c>
      <c r="L27" s="91">
        <f>IF(G27=1,-I27,F27)</f>
        <v>57.09199999999999</v>
      </c>
      <c r="M27" s="91">
        <f>IF(G27=1,F27+J27,F27)</f>
        <v>57.09199999999999</v>
      </c>
      <c r="N27" s="47">
        <f>EOMONTH(C27,0)</f>
        <v>42916</v>
      </c>
      <c r="O27" s="92">
        <f>INDEX('R2K TR Index'!$C$5:$C$197,MATCH(N27,'R2K TR Index'!$B$5:$B$197,0))</f>
        <v>6917.8599</v>
      </c>
      <c r="P27" s="93">
        <f>INDEX('R2K TR Index'!$C$5:$C$197,MATCH('R2K TR Index'!$F$4,'R2K TR Index'!$B$5:$B$197,0))/O27</f>
        <v>2.410423301576258</v>
      </c>
      <c r="Q27" s="91">
        <f>F27*P27</f>
        <v>137.6158871335917</v>
      </c>
      <c r="R27" t="s" s="2">
        <v>336</v>
      </c>
    </row>
    <row r="28">
      <c r="B28" t="s">
        <v>3</v>
      </c>
      <c r="C28" s="66">
        <v>43100</v>
      </c>
      <c r="D28" t="s">
        <v>328</v>
      </c>
      <c r="E28" t="s">
        <v>329</v>
      </c>
      <c r="F28" s="88">
        <v>41.39100000000001</v>
      </c>
      <c r="G28" s="29">
        <f>IF(ISNUMBER(SEARCH("Repayment of subscription facility",E28)),1,0)</f>
        <v>0</v>
      </c>
      <c r="H28" t="str" s="89">
        <f>IF(G28=1,SUMIFS(Facility!$C$5:$C$37,Facility!$B$5:$B$37,B28,Facility!$F$5:$F$37,C28),"")</f>
        <v/>
      </c>
      <c r="I28" s="90">
        <f>IF(G28=1,SUMIFS(Facility!$D$5:$D$37,Facility!$B$5:$B$37,B28,Facility!$F$5:$F$37,C28),0)</f>
        <v>0</v>
      </c>
      <c r="J28" s="90">
        <f>IF(G28=1,SUMIFS(Facility!$H$5:$H$37,Facility!$B$5:$B$37,B28,Facility!$F$5:$F$37,C28),0)</f>
        <v>0</v>
      </c>
      <c r="K28" s="47">
        <f>IF(G28=1,H28,C28)</f>
        <v>43100</v>
      </c>
      <c r="L28" s="91">
        <f>IF(G28=1,-I28,F28)</f>
        <v>41.39100000000001</v>
      </c>
      <c r="M28" s="91">
        <f>IF(G28=1,F28+J28,F28)</f>
        <v>41.39100000000001</v>
      </c>
      <c r="N28" s="47">
        <f>EOMONTH(C28,0)</f>
        <v>43100</v>
      </c>
      <c r="O28" s="92">
        <f>INDEX('R2K TR Index'!$C$5:$C$197,MATCH(N28,'R2K TR Index'!$B$5:$B$197,0))</f>
        <v>7554.1699</v>
      </c>
      <c r="P28" s="93">
        <f>INDEX('R2K TR Index'!$C$5:$C$197,MATCH('R2K TR Index'!$F$4,'R2K TR Index'!$B$5:$B$197,0))/O28</f>
        <v>2.207386241074615</v>
      </c>
      <c r="Q28" s="91">
        <f>F28*P28</f>
        <v>91.36592390431942</v>
      </c>
      <c r="R28" t="s" s="2">
        <v>337</v>
      </c>
    </row>
    <row r="29">
      <c r="B29" t="s">
        <v>3</v>
      </c>
      <c r="C29" s="66">
        <v>46203</v>
      </c>
      <c r="D29" t="s">
        <v>338</v>
      </c>
      <c r="E29" t="s">
        <v>339</v>
      </c>
      <c r="F29" s="88">
        <v>0</v>
      </c>
      <c r="G29" s="29">
        <f>IF(ISNUMBER(SEARCH("Repayment of subscription facility",E29)),1,0)</f>
        <v>0</v>
      </c>
      <c r="H29" t="str" s="89">
        <f>IF(G29=1,SUMIFS(Facility!$C$5:$C$37,Facility!$B$5:$B$37,B29,Facility!$F$5:$F$37,C29),"")</f>
        <v/>
      </c>
      <c r="I29" s="90">
        <f>IF(G29=1,SUMIFS(Facility!$D$5:$D$37,Facility!$B$5:$B$37,B29,Facility!$F$5:$F$37,C29),0)</f>
        <v>0</v>
      </c>
      <c r="J29" s="90">
        <f>IF(G29=1,SUMIFS(Facility!$H$5:$H$37,Facility!$B$5:$B$37,B29,Facility!$F$5:$F$37,C29),0)</f>
        <v>0</v>
      </c>
      <c r="K29" s="47">
        <f>IF(G29=1,H29,C29)</f>
        <v>46203</v>
      </c>
      <c r="L29" s="91">
        <f>IF(G29=1,-I29,F29)</f>
        <v>0</v>
      </c>
      <c r="M29" s="91">
        <f>IF(G29=1,F29+J29,F29)</f>
        <v>0</v>
      </c>
      <c r="N29" s="47">
        <f>EOMONTH(C29,0)</f>
        <v>46203</v>
      </c>
      <c r="O29" s="92">
        <f>INDEX('R2K TR Index'!$C$5:$C$197,MATCH(N29,'R2K TR Index'!$B$5:$B$197,0))</f>
        <v>16674.9707</v>
      </c>
      <c r="P29" s="93">
        <f>INDEX('R2K TR Index'!$C$5:$C$197,MATCH('R2K TR Index'!$F$4,'R2K TR Index'!$B$5:$B$197,0))/O29</f>
        <v>1</v>
      </c>
      <c r="Q29" s="91">
        <f>F29*P29</f>
        <v>0</v>
      </c>
      <c r="R29" t="s" s="2">
        <v>340</v>
      </c>
    </row>
    <row r="30">
      <c r="B30" t="s">
        <v>4</v>
      </c>
      <c r="C30" s="66">
        <v>41547</v>
      </c>
      <c r="D30" t="s">
        <v>310</v>
      </c>
      <c r="E30" t="s">
        <v>311</v>
      </c>
      <c r="F30" s="88">
        <v>-2.3625</v>
      </c>
      <c r="G30" s="29">
        <f>IF(ISNUMBER(SEARCH("Repayment of subscription facility",E30)),1,0)</f>
        <v>0</v>
      </c>
      <c r="H30" t="str" s="89">
        <f>IF(G30=1,SUMIFS(Facility!$C$5:$C$37,Facility!$B$5:$B$37,B30,Facility!$F$5:$F$37,C30),"")</f>
        <v/>
      </c>
      <c r="I30" s="90">
        <f>IF(G30=1,SUMIFS(Facility!$D$5:$D$37,Facility!$B$5:$B$37,B30,Facility!$F$5:$F$37,C30),0)</f>
        <v>0</v>
      </c>
      <c r="J30" s="90">
        <f>IF(G30=1,SUMIFS(Facility!$H$5:$H$37,Facility!$B$5:$B$37,B30,Facility!$F$5:$F$37,C30),0)</f>
        <v>0</v>
      </c>
      <c r="K30" s="47">
        <f>IF(G30=1,H30,C30)</f>
        <v>41547</v>
      </c>
      <c r="L30" s="91">
        <f>IF(G30=1,-I30,F30)</f>
        <v>-2.3625</v>
      </c>
      <c r="M30" s="91">
        <f>IF(G30=1,F30+J30,F30)</f>
        <v>-2.3625</v>
      </c>
      <c r="N30" s="47">
        <f>EOMONTH(C30,0)</f>
        <v>41547</v>
      </c>
      <c r="O30" s="92">
        <f>INDEX('R2K TR Index'!$C$5:$C$197,MATCH(N30,'R2K TR Index'!$B$5:$B$197,0))</f>
        <v>4982.8501</v>
      </c>
      <c r="P30" s="93">
        <f>INDEX('R2K TR Index'!$C$5:$C$197,MATCH('R2K TR Index'!$F$4,'R2K TR Index'!$B$5:$B$197,0))/O30</f>
        <v>3.3464724736551883</v>
      </c>
      <c r="Q30" s="91">
        <f>F30*P30</f>
        <v>-7.9060412190103815</v>
      </c>
      <c r="R30" t="s" s="2">
        <v>341</v>
      </c>
    </row>
    <row r="31">
      <c r="B31" t="s">
        <v>4</v>
      </c>
      <c r="C31" s="66">
        <v>41639</v>
      </c>
      <c r="D31" t="s">
        <v>310</v>
      </c>
      <c r="E31" t="s">
        <v>311</v>
      </c>
      <c r="F31" s="88">
        <v>-42.0425</v>
      </c>
      <c r="G31" s="29">
        <f>IF(ISNUMBER(SEARCH("Repayment of subscription facility",E31)),1,0)</f>
        <v>0</v>
      </c>
      <c r="H31" t="str" s="89">
        <f>IF(G31=1,SUMIFS(Facility!$C$5:$C$37,Facility!$B$5:$B$37,B31,Facility!$F$5:$F$37,C31),"")</f>
        <v/>
      </c>
      <c r="I31" s="90">
        <f>IF(G31=1,SUMIFS(Facility!$D$5:$D$37,Facility!$B$5:$B$37,B31,Facility!$F$5:$F$37,C31),0)</f>
        <v>0</v>
      </c>
      <c r="J31" s="90">
        <f>IF(G31=1,SUMIFS(Facility!$H$5:$H$37,Facility!$B$5:$B$37,B31,Facility!$F$5:$F$37,C31),0)</f>
        <v>0</v>
      </c>
      <c r="K31" s="47">
        <f>IF(G31=1,H31,C31)</f>
        <v>41639</v>
      </c>
      <c r="L31" s="91">
        <f>IF(G31=1,-I31,F31)</f>
        <v>-42.0425</v>
      </c>
      <c r="M31" s="91">
        <f>IF(G31=1,F31+J31,F31)</f>
        <v>-42.0425</v>
      </c>
      <c r="N31" s="47">
        <f>EOMONTH(C31,0)</f>
        <v>41639</v>
      </c>
      <c r="O31" s="92">
        <f>INDEX('R2K TR Index'!$C$5:$C$197,MATCH(N31,'R2K TR Index'!$B$5:$B$197,0))</f>
        <v>5417.3599</v>
      </c>
      <c r="P31" s="93">
        <f>INDEX('R2K TR Index'!$C$5:$C$197,MATCH('R2K TR Index'!$F$4,'R2K TR Index'!$B$5:$B$197,0))/O31</f>
        <v>3.0780621940956885</v>
      </c>
      <c r="Q31" s="91">
        <f>F31*P31</f>
        <v>-129.40942979526798</v>
      </c>
      <c r="R31" t="s" s="2">
        <v>342</v>
      </c>
    </row>
    <row r="32">
      <c r="B32" t="s">
        <v>4</v>
      </c>
      <c r="C32" s="66">
        <v>41729</v>
      </c>
      <c r="D32" t="s">
        <v>310</v>
      </c>
      <c r="E32" t="s">
        <v>311</v>
      </c>
      <c r="F32" s="88">
        <v>-47.0025</v>
      </c>
      <c r="G32" s="29">
        <f>IF(ISNUMBER(SEARCH("Repayment of subscription facility",E32)),1,0)</f>
        <v>0</v>
      </c>
      <c r="H32" t="str" s="89">
        <f>IF(G32=1,SUMIFS(Facility!$C$5:$C$37,Facility!$B$5:$B$37,B32,Facility!$F$5:$F$37,C32),"")</f>
        <v/>
      </c>
      <c r="I32" s="90">
        <f>IF(G32=1,SUMIFS(Facility!$D$5:$D$37,Facility!$B$5:$B$37,B32,Facility!$F$5:$F$37,C32),0)</f>
        <v>0</v>
      </c>
      <c r="J32" s="90">
        <f>IF(G32=1,SUMIFS(Facility!$H$5:$H$37,Facility!$B$5:$B$37,B32,Facility!$F$5:$F$37,C32),0)</f>
        <v>0</v>
      </c>
      <c r="K32" s="47">
        <f>IF(G32=1,H32,C32)</f>
        <v>41729</v>
      </c>
      <c r="L32" s="91">
        <f>IF(G32=1,-I32,F32)</f>
        <v>-47.0025</v>
      </c>
      <c r="M32" s="91">
        <f>IF(G32=1,F32+J32,F32)</f>
        <v>-47.0025</v>
      </c>
      <c r="N32" s="47">
        <f>EOMONTH(C32,0)</f>
        <v>41729</v>
      </c>
      <c r="O32" s="92">
        <f>INDEX('R2K TR Index'!$C$5:$C$197,MATCH(N32,'R2K TR Index'!$B$5:$B$197,0))</f>
        <v>5477.96</v>
      </c>
      <c r="P32" s="93">
        <f>INDEX('R2K TR Index'!$C$5:$C$197,MATCH('R2K TR Index'!$F$4,'R2K TR Index'!$B$5:$B$197,0))/O32</f>
        <v>3.044011036955363</v>
      </c>
      <c r="Q32" s="91">
        <f>F32*P32</f>
        <v>-143.07612876449446</v>
      </c>
      <c r="R32" t="s" s="2">
        <v>343</v>
      </c>
    </row>
    <row r="33">
      <c r="B33" t="s">
        <v>4</v>
      </c>
      <c r="C33" s="66">
        <v>41820</v>
      </c>
      <c r="D33" t="s">
        <v>310</v>
      </c>
      <c r="E33" t="s">
        <v>311</v>
      </c>
      <c r="F33" s="88">
        <v>-40.0585</v>
      </c>
      <c r="G33" s="29">
        <f>IF(ISNUMBER(SEARCH("Repayment of subscription facility",E33)),1,0)</f>
        <v>0</v>
      </c>
      <c r="H33" t="str" s="89">
        <f>IF(G33=1,SUMIFS(Facility!$C$5:$C$37,Facility!$B$5:$B$37,B33,Facility!$F$5:$F$37,C33),"")</f>
        <v/>
      </c>
      <c r="I33" s="90">
        <f>IF(G33=1,SUMIFS(Facility!$D$5:$D$37,Facility!$B$5:$B$37,B33,Facility!$F$5:$F$37,C33),0)</f>
        <v>0</v>
      </c>
      <c r="J33" s="90">
        <f>IF(G33=1,SUMIFS(Facility!$H$5:$H$37,Facility!$B$5:$B$37,B33,Facility!$F$5:$F$37,C33),0)</f>
        <v>0</v>
      </c>
      <c r="K33" s="47">
        <f>IF(G33=1,H33,C33)</f>
        <v>41820</v>
      </c>
      <c r="L33" s="91">
        <f>IF(G33=1,-I33,F33)</f>
        <v>-40.0585</v>
      </c>
      <c r="M33" s="91">
        <f>IF(G33=1,F33+J33,F33)</f>
        <v>-40.0585</v>
      </c>
      <c r="N33" s="47">
        <f>EOMONTH(C33,0)</f>
        <v>41820</v>
      </c>
      <c r="O33" s="92">
        <f>INDEX('R2K TR Index'!$C$5:$C$197,MATCH(N33,'R2K TR Index'!$B$5:$B$197,0))</f>
        <v>5590.1201</v>
      </c>
      <c r="P33" s="93">
        <f>INDEX('R2K TR Index'!$C$5:$C$197,MATCH('R2K TR Index'!$F$4,'R2K TR Index'!$B$5:$B$197,0))/O33</f>
        <v>2.982936037456512</v>
      </c>
      <c r="Q33" s="91">
        <f>F33*P33</f>
        <v>-119.4919432564517</v>
      </c>
      <c r="R33" t="s" s="2">
        <v>344</v>
      </c>
    </row>
    <row r="34">
      <c r="B34" t="s">
        <v>4</v>
      </c>
      <c r="C34" s="66">
        <v>41912</v>
      </c>
      <c r="D34" t="s">
        <v>310</v>
      </c>
      <c r="E34" t="s">
        <v>311</v>
      </c>
      <c r="F34" s="88">
        <v>-2.3625</v>
      </c>
      <c r="G34" s="29">
        <f>IF(ISNUMBER(SEARCH("Repayment of subscription facility",E34)),1,0)</f>
        <v>0</v>
      </c>
      <c r="H34" t="str" s="89">
        <f>IF(G34=1,SUMIFS(Facility!$C$5:$C$37,Facility!$B$5:$B$37,B34,Facility!$F$5:$F$37,C34),"")</f>
        <v/>
      </c>
      <c r="I34" s="90">
        <f>IF(G34=1,SUMIFS(Facility!$D$5:$D$37,Facility!$B$5:$B$37,B34,Facility!$F$5:$F$37,C34),0)</f>
        <v>0</v>
      </c>
      <c r="J34" s="90">
        <f>IF(G34=1,SUMIFS(Facility!$H$5:$H$37,Facility!$B$5:$B$37,B34,Facility!$F$5:$F$37,C34),0)</f>
        <v>0</v>
      </c>
      <c r="K34" s="47">
        <f>IF(G34=1,H34,C34)</f>
        <v>41912</v>
      </c>
      <c r="L34" s="91">
        <f>IF(G34=1,-I34,F34)</f>
        <v>-2.3625</v>
      </c>
      <c r="M34" s="91">
        <f>IF(G34=1,F34+J34,F34)</f>
        <v>-2.3625</v>
      </c>
      <c r="N34" s="47">
        <f>EOMONTH(C34,0)</f>
        <v>41912</v>
      </c>
      <c r="O34" s="92">
        <f>INDEX('R2K TR Index'!$C$5:$C$197,MATCH(N34,'R2K TR Index'!$B$5:$B$197,0))</f>
        <v>5178.71</v>
      </c>
      <c r="P34" s="93">
        <f>INDEX('R2K TR Index'!$C$5:$C$197,MATCH('R2K TR Index'!$F$4,'R2K TR Index'!$B$5:$B$197,0))/O34</f>
        <v>3.2199081817672743</v>
      </c>
      <c r="Q34" s="91">
        <f>F34*P34</f>
        <v>-7.607033079425185</v>
      </c>
      <c r="R34" t="s" s="2">
        <v>345</v>
      </c>
    </row>
    <row r="35">
      <c r="B35" t="s">
        <v>4</v>
      </c>
      <c r="C35" s="66">
        <v>42004</v>
      </c>
      <c r="D35" t="s">
        <v>310</v>
      </c>
      <c r="E35" t="s">
        <v>311</v>
      </c>
      <c r="F35" s="88">
        <v>-44.0265</v>
      </c>
      <c r="G35" s="29">
        <f>IF(ISNUMBER(SEARCH("Repayment of subscription facility",E35)),1,0)</f>
        <v>0</v>
      </c>
      <c r="H35" t="str" s="89">
        <f>IF(G35=1,SUMIFS(Facility!$C$5:$C$37,Facility!$B$5:$B$37,B35,Facility!$F$5:$F$37,C35),"")</f>
        <v/>
      </c>
      <c r="I35" s="90">
        <f>IF(G35=1,SUMIFS(Facility!$D$5:$D$37,Facility!$B$5:$B$37,B35,Facility!$F$5:$F$37,C35),0)</f>
        <v>0</v>
      </c>
      <c r="J35" s="90">
        <f>IF(G35=1,SUMIFS(Facility!$H$5:$H$37,Facility!$B$5:$B$37,B35,Facility!$F$5:$F$37,C35),0)</f>
        <v>0</v>
      </c>
      <c r="K35" s="47">
        <f>IF(G35=1,H35,C35)</f>
        <v>42004</v>
      </c>
      <c r="L35" s="91">
        <f>IF(G35=1,-I35,F35)</f>
        <v>-44.0265</v>
      </c>
      <c r="M35" s="91">
        <f>IF(G35=1,F35+J35,F35)</f>
        <v>-44.0265</v>
      </c>
      <c r="N35" s="47">
        <f>EOMONTH(C35,0)</f>
        <v>42004</v>
      </c>
      <c r="O35" s="92">
        <f>INDEX('R2K TR Index'!$C$5:$C$197,MATCH(N35,'R2K TR Index'!$B$5:$B$197,0))</f>
        <v>5682.5</v>
      </c>
      <c r="P35" s="93">
        <f>INDEX('R2K TR Index'!$C$5:$C$197,MATCH('R2K TR Index'!$F$4,'R2K TR Index'!$B$5:$B$197,0))/O35</f>
        <v>2.934442710074791</v>
      </c>
      <c r="Q35" s="91">
        <f>F35*P35</f>
        <v>-129.19324197510778</v>
      </c>
      <c r="R35" t="s" s="2">
        <v>346</v>
      </c>
    </row>
    <row r="36">
      <c r="B36" t="s">
        <v>4</v>
      </c>
      <c r="C36" s="66">
        <v>42094</v>
      </c>
      <c r="D36" t="s">
        <v>310</v>
      </c>
      <c r="E36" t="s">
        <v>311</v>
      </c>
      <c r="F36" s="88">
        <v>-37.0825</v>
      </c>
      <c r="G36" s="29">
        <f>IF(ISNUMBER(SEARCH("Repayment of subscription facility",E36)),1,0)</f>
        <v>0</v>
      </c>
      <c r="H36" t="str" s="89">
        <f>IF(G36=1,SUMIFS(Facility!$C$5:$C$37,Facility!$B$5:$B$37,B36,Facility!$F$5:$F$37,C36),"")</f>
        <v/>
      </c>
      <c r="I36" s="90">
        <f>IF(G36=1,SUMIFS(Facility!$D$5:$D$37,Facility!$B$5:$B$37,B36,Facility!$F$5:$F$37,C36),0)</f>
        <v>0</v>
      </c>
      <c r="J36" s="90">
        <f>IF(G36=1,SUMIFS(Facility!$H$5:$H$37,Facility!$B$5:$B$37,B36,Facility!$F$5:$F$37,C36),0)</f>
        <v>0</v>
      </c>
      <c r="K36" s="47">
        <f>IF(G36=1,H36,C36)</f>
        <v>42094</v>
      </c>
      <c r="L36" s="91">
        <f>IF(G36=1,-I36,F36)</f>
        <v>-37.0825</v>
      </c>
      <c r="M36" s="91">
        <f>IF(G36=1,F36+J36,F36)</f>
        <v>-37.0825</v>
      </c>
      <c r="N36" s="47">
        <f>EOMONTH(C36,0)</f>
        <v>42094</v>
      </c>
      <c r="O36" s="92">
        <f>INDEX('R2K TR Index'!$C$5:$C$197,MATCH(N36,'R2K TR Index'!$B$5:$B$197,0))</f>
        <v>5927.7202</v>
      </c>
      <c r="P36" s="93">
        <f>INDEX('R2K TR Index'!$C$5:$C$197,MATCH('R2K TR Index'!$F$4,'R2K TR Index'!$B$5:$B$197,0))/O36</f>
        <v>2.8130495599303087</v>
      </c>
      <c r="Q36" s="91">
        <f>F36*P36</f>
        <v>-104.31491030611568</v>
      </c>
      <c r="R36" t="s" s="2">
        <v>347</v>
      </c>
    </row>
    <row r="37">
      <c r="B37" t="s">
        <v>4</v>
      </c>
      <c r="C37" s="66">
        <v>42185</v>
      </c>
      <c r="D37" t="s">
        <v>310</v>
      </c>
      <c r="E37" t="s">
        <v>311</v>
      </c>
      <c r="F37" s="88">
        <v>-42.0425</v>
      </c>
      <c r="G37" s="29">
        <f>IF(ISNUMBER(SEARCH("Repayment of subscription facility",E37)),1,0)</f>
        <v>0</v>
      </c>
      <c r="H37" t="str" s="89">
        <f>IF(G37=1,SUMIFS(Facility!$C$5:$C$37,Facility!$B$5:$B$37,B37,Facility!$F$5:$F$37,C37),"")</f>
        <v/>
      </c>
      <c r="I37" s="90">
        <f>IF(G37=1,SUMIFS(Facility!$D$5:$D$37,Facility!$B$5:$B$37,B37,Facility!$F$5:$F$37,C37),0)</f>
        <v>0</v>
      </c>
      <c r="J37" s="90">
        <f>IF(G37=1,SUMIFS(Facility!$H$5:$H$37,Facility!$B$5:$B$37,B37,Facility!$F$5:$F$37,C37),0)</f>
        <v>0</v>
      </c>
      <c r="K37" s="47">
        <f>IF(G37=1,H37,C37)</f>
        <v>42185</v>
      </c>
      <c r="L37" s="91">
        <f>IF(G37=1,-I37,F37)</f>
        <v>-42.0425</v>
      </c>
      <c r="M37" s="91">
        <f>IF(G37=1,F37+J37,F37)</f>
        <v>-42.0425</v>
      </c>
      <c r="N37" s="47">
        <f>EOMONTH(C37,0)</f>
        <v>42185</v>
      </c>
      <c r="O37" s="92">
        <f>INDEX('R2K TR Index'!$C$5:$C$197,MATCH(N37,'R2K TR Index'!$B$5:$B$197,0))</f>
        <v>5952.6699</v>
      </c>
      <c r="P37" s="93">
        <f>INDEX('R2K TR Index'!$C$5:$C$197,MATCH('R2K TR Index'!$F$4,'R2K TR Index'!$B$5:$B$197,0))/O37</f>
        <v>2.801259095519475</v>
      </c>
      <c r="Q37" s="91">
        <f>F37*P37</f>
        <v>-117.77193552337752</v>
      </c>
      <c r="R37" t="s" s="2">
        <v>348</v>
      </c>
    </row>
    <row r="38">
      <c r="B38" t="s">
        <v>4</v>
      </c>
      <c r="C38" s="66">
        <v>42277</v>
      </c>
      <c r="D38" t="s">
        <v>310</v>
      </c>
      <c r="E38" t="s">
        <v>311</v>
      </c>
      <c r="F38" s="88">
        <v>-38.0745</v>
      </c>
      <c r="G38" s="29">
        <f>IF(ISNUMBER(SEARCH("Repayment of subscription facility",E38)),1,0)</f>
        <v>0</v>
      </c>
      <c r="H38" t="str" s="89">
        <f>IF(G38=1,SUMIFS(Facility!$C$5:$C$37,Facility!$B$5:$B$37,B38,Facility!$F$5:$F$37,C38),"")</f>
        <v/>
      </c>
      <c r="I38" s="90">
        <f>IF(G38=1,SUMIFS(Facility!$D$5:$D$37,Facility!$B$5:$B$37,B38,Facility!$F$5:$F$37,C38),0)</f>
        <v>0</v>
      </c>
      <c r="J38" s="90">
        <f>IF(G38=1,SUMIFS(Facility!$H$5:$H$37,Facility!$B$5:$B$37,B38,Facility!$F$5:$F$37,C38),0)</f>
        <v>0</v>
      </c>
      <c r="K38" s="47">
        <f>IF(G38=1,H38,C38)</f>
        <v>42277</v>
      </c>
      <c r="L38" s="91">
        <f>IF(G38=1,-I38,F38)</f>
        <v>-38.0745</v>
      </c>
      <c r="M38" s="91">
        <f>IF(G38=1,F38+J38,F38)</f>
        <v>-38.0745</v>
      </c>
      <c r="N38" s="47">
        <f>EOMONTH(C38,0)</f>
        <v>42277</v>
      </c>
      <c r="O38" s="92">
        <f>INDEX('R2K TR Index'!$C$5:$C$197,MATCH(N38,'R2K TR Index'!$B$5:$B$197,0))</f>
        <v>5243.2402</v>
      </c>
      <c r="P38" s="93">
        <f>INDEX('R2K TR Index'!$C$5:$C$197,MATCH('R2K TR Index'!$F$4,'R2K TR Index'!$B$5:$B$197,0))/O38</f>
        <v>3.1802797628840276</v>
      </c>
      <c r="Q38" s="91">
        <f>F38*P38</f>
        <v>-121.08756183192791</v>
      </c>
      <c r="R38" t="s" s="2">
        <v>349</v>
      </c>
    </row>
    <row r="39">
      <c r="B39" t="s">
        <v>4</v>
      </c>
      <c r="C39" s="66">
        <v>42369</v>
      </c>
      <c r="D39" t="s">
        <v>310</v>
      </c>
      <c r="E39" t="s">
        <v>311</v>
      </c>
      <c r="F39" s="88">
        <v>-2.3625</v>
      </c>
      <c r="G39" s="29">
        <f>IF(ISNUMBER(SEARCH("Repayment of subscription facility",E39)),1,0)</f>
        <v>0</v>
      </c>
      <c r="H39" t="str" s="89">
        <f>IF(G39=1,SUMIFS(Facility!$C$5:$C$37,Facility!$B$5:$B$37,B39,Facility!$F$5:$F$37,C39),"")</f>
        <v/>
      </c>
      <c r="I39" s="90">
        <f>IF(G39=1,SUMIFS(Facility!$D$5:$D$37,Facility!$B$5:$B$37,B39,Facility!$F$5:$F$37,C39),0)</f>
        <v>0</v>
      </c>
      <c r="J39" s="90">
        <f>IF(G39=1,SUMIFS(Facility!$H$5:$H$37,Facility!$B$5:$B$37,B39,Facility!$F$5:$F$37,C39),0)</f>
        <v>0</v>
      </c>
      <c r="K39" s="47">
        <f>IF(G39=1,H39,C39)</f>
        <v>42369</v>
      </c>
      <c r="L39" s="91">
        <f>IF(G39=1,-I39,F39)</f>
        <v>-2.3625</v>
      </c>
      <c r="M39" s="91">
        <f>IF(G39=1,F39+J39,F39)</f>
        <v>-2.3625</v>
      </c>
      <c r="N39" s="47">
        <f>EOMONTH(C39,0)</f>
        <v>42369</v>
      </c>
      <c r="O39" s="92">
        <f>INDEX('R2K TR Index'!$C$5:$C$197,MATCH(N39,'R2K TR Index'!$B$5:$B$197,0))</f>
        <v>5431.6699</v>
      </c>
      <c r="P39" s="93">
        <f>INDEX('R2K TR Index'!$C$5:$C$197,MATCH('R2K TR Index'!$F$4,'R2K TR Index'!$B$5:$B$197,0))/O39</f>
        <v>3.069952888705553</v>
      </c>
      <c r="Q39" s="91">
        <f>F39*P39</f>
        <v>-7.252763699566868</v>
      </c>
      <c r="R39" t="s" s="2">
        <v>350</v>
      </c>
    </row>
    <row r="40">
      <c r="B40" t="s">
        <v>4</v>
      </c>
      <c r="C40" s="66">
        <v>42460</v>
      </c>
      <c r="D40" t="s">
        <v>310</v>
      </c>
      <c r="E40" t="s">
        <v>311</v>
      </c>
      <c r="F40" s="88">
        <v>-47.0025</v>
      </c>
      <c r="G40" s="29">
        <f>IF(ISNUMBER(SEARCH("Repayment of subscription facility",E40)),1,0)</f>
        <v>0</v>
      </c>
      <c r="H40" t="str" s="89">
        <f>IF(G40=1,SUMIFS(Facility!$C$5:$C$37,Facility!$B$5:$B$37,B40,Facility!$F$5:$F$37,C40),"")</f>
        <v/>
      </c>
      <c r="I40" s="90">
        <f>IF(G40=1,SUMIFS(Facility!$D$5:$D$37,Facility!$B$5:$B$37,B40,Facility!$F$5:$F$37,C40),0)</f>
        <v>0</v>
      </c>
      <c r="J40" s="90">
        <f>IF(G40=1,SUMIFS(Facility!$H$5:$H$37,Facility!$B$5:$B$37,B40,Facility!$F$5:$F$37,C40),0)</f>
        <v>0</v>
      </c>
      <c r="K40" s="47">
        <f>IF(G40=1,H40,C40)</f>
        <v>42460</v>
      </c>
      <c r="L40" s="91">
        <f>IF(G40=1,-I40,F40)</f>
        <v>-47.0025</v>
      </c>
      <c r="M40" s="91">
        <f>IF(G40=1,F40+J40,F40)</f>
        <v>-47.0025</v>
      </c>
      <c r="N40" s="47">
        <f>EOMONTH(C40,0)</f>
        <v>42460</v>
      </c>
      <c r="O40" s="92">
        <f>INDEX('R2K TR Index'!$C$5:$C$197,MATCH(N40,'R2K TR Index'!$B$5:$B$197,0))</f>
        <v>5349.1899</v>
      </c>
      <c r="P40" s="93">
        <f>INDEX('R2K TR Index'!$C$5:$C$197,MATCH('R2K TR Index'!$F$4,'R2K TR Index'!$B$5:$B$197,0))/O40</f>
        <v>3.1172889749156223</v>
      </c>
      <c r="Q40" s="91">
        <f>F40*P40</f>
        <v>-146.52037504347152</v>
      </c>
      <c r="R40" t="s" s="2">
        <v>351</v>
      </c>
    </row>
    <row r="41">
      <c r="B41" t="s">
        <v>4</v>
      </c>
      <c r="C41" s="66">
        <v>42551</v>
      </c>
      <c r="D41" t="s">
        <v>310</v>
      </c>
      <c r="E41" t="s">
        <v>311</v>
      </c>
      <c r="F41" s="88">
        <v>-44.0265</v>
      </c>
      <c r="G41" s="29">
        <f>IF(ISNUMBER(SEARCH("Repayment of subscription facility",E41)),1,0)</f>
        <v>0</v>
      </c>
      <c r="H41" t="str" s="89">
        <f>IF(G41=1,SUMIFS(Facility!$C$5:$C$37,Facility!$B$5:$B$37,B41,Facility!$F$5:$F$37,C41),"")</f>
        <v/>
      </c>
      <c r="I41" s="90">
        <f>IF(G41=1,SUMIFS(Facility!$D$5:$D$37,Facility!$B$5:$B$37,B41,Facility!$F$5:$F$37,C41),0)</f>
        <v>0</v>
      </c>
      <c r="J41" s="90">
        <f>IF(G41=1,SUMIFS(Facility!$H$5:$H$37,Facility!$B$5:$B$37,B41,Facility!$F$5:$F$37,C41),0)</f>
        <v>0</v>
      </c>
      <c r="K41" s="47">
        <f>IF(G41=1,H41,C41)</f>
        <v>42551</v>
      </c>
      <c r="L41" s="91">
        <f>IF(G41=1,-I41,F41)</f>
        <v>-44.0265</v>
      </c>
      <c r="M41" s="91">
        <f>IF(G41=1,F41+J41,F41)</f>
        <v>-44.0265</v>
      </c>
      <c r="N41" s="47">
        <f>EOMONTH(C41,0)</f>
        <v>42551</v>
      </c>
      <c r="O41" s="92">
        <f>INDEX('R2K TR Index'!$C$5:$C$197,MATCH(N41,'R2K TR Index'!$B$5:$B$197,0))</f>
        <v>5552.02</v>
      </c>
      <c r="P41" s="93">
        <f>INDEX('R2K TR Index'!$C$5:$C$197,MATCH('R2K TR Index'!$F$4,'R2K TR Index'!$B$5:$B$197,0))/O41</f>
        <v>3.003406093637991</v>
      </c>
      <c r="Q41" s="91">
        <f>F41*P41</f>
        <v>-132.229458381553</v>
      </c>
      <c r="R41" t="s" s="2">
        <v>352</v>
      </c>
    </row>
    <row r="42">
      <c r="B42" t="s">
        <v>4</v>
      </c>
      <c r="C42" s="66">
        <v>42643</v>
      </c>
      <c r="D42" t="s">
        <v>310</v>
      </c>
      <c r="E42" t="s">
        <v>311</v>
      </c>
      <c r="F42" s="88">
        <v>-2.3625</v>
      </c>
      <c r="G42" s="29">
        <f>IF(ISNUMBER(SEARCH("Repayment of subscription facility",E42)),1,0)</f>
        <v>0</v>
      </c>
      <c r="H42" t="str" s="89">
        <f>IF(G42=1,SUMIFS(Facility!$C$5:$C$37,Facility!$B$5:$B$37,B42,Facility!$F$5:$F$37,C42),"")</f>
        <v/>
      </c>
      <c r="I42" s="90">
        <f>IF(G42=1,SUMIFS(Facility!$D$5:$D$37,Facility!$B$5:$B$37,B42,Facility!$F$5:$F$37,C42),0)</f>
        <v>0</v>
      </c>
      <c r="J42" s="90">
        <f>IF(G42=1,SUMIFS(Facility!$H$5:$H$37,Facility!$B$5:$B$37,B42,Facility!$F$5:$F$37,C42),0)</f>
        <v>0</v>
      </c>
      <c r="K42" s="47">
        <f>IF(G42=1,H42,C42)</f>
        <v>42643</v>
      </c>
      <c r="L42" s="91">
        <f>IF(G42=1,-I42,F42)</f>
        <v>-2.3625</v>
      </c>
      <c r="M42" s="91">
        <f>IF(G42=1,F42+J42,F42)</f>
        <v>-2.3625</v>
      </c>
      <c r="N42" s="47">
        <f>EOMONTH(C42,0)</f>
        <v>42643</v>
      </c>
      <c r="O42" s="92">
        <f>INDEX('R2K TR Index'!$C$5:$C$197,MATCH(N42,'R2K TR Index'!$B$5:$B$197,0))</f>
        <v>6054.25</v>
      </c>
      <c r="P42" s="93">
        <f>INDEX('R2K TR Index'!$C$5:$C$197,MATCH('R2K TR Index'!$F$4,'R2K TR Index'!$B$5:$B$197,0))/O42</f>
        <v>2.7542586943056535</v>
      </c>
      <c r="Q42" s="91">
        <f>F42*P42</f>
        <v>-6.506936165297106</v>
      </c>
      <c r="R42" t="s" s="2">
        <v>353</v>
      </c>
    </row>
    <row r="43">
      <c r="B43" t="s">
        <v>4</v>
      </c>
      <c r="C43" s="66">
        <v>42735</v>
      </c>
      <c r="D43" t="s">
        <v>310</v>
      </c>
      <c r="E43" t="s">
        <v>311</v>
      </c>
      <c r="F43" s="88">
        <v>-2.3625</v>
      </c>
      <c r="G43" s="29">
        <f>IF(ISNUMBER(SEARCH("Repayment of subscription facility",E43)),1,0)</f>
        <v>0</v>
      </c>
      <c r="H43" t="str" s="89">
        <f>IF(G43=1,SUMIFS(Facility!$C$5:$C$37,Facility!$B$5:$B$37,B43,Facility!$F$5:$F$37,C43),"")</f>
        <v/>
      </c>
      <c r="I43" s="90">
        <f>IF(G43=1,SUMIFS(Facility!$D$5:$D$37,Facility!$B$5:$B$37,B43,Facility!$F$5:$F$37,C43),0)</f>
        <v>0</v>
      </c>
      <c r="J43" s="90">
        <f>IF(G43=1,SUMIFS(Facility!$H$5:$H$37,Facility!$B$5:$B$37,B43,Facility!$F$5:$F$37,C43),0)</f>
        <v>0</v>
      </c>
      <c r="K43" s="47">
        <f>IF(G43=1,H43,C43)</f>
        <v>42735</v>
      </c>
      <c r="L43" s="91">
        <f>IF(G43=1,-I43,F43)</f>
        <v>-2.3625</v>
      </c>
      <c r="M43" s="91">
        <f>IF(G43=1,F43+J43,F43)</f>
        <v>-2.3625</v>
      </c>
      <c r="N43" s="47">
        <f>EOMONTH(C43,0)</f>
        <v>42735</v>
      </c>
      <c r="O43" s="92">
        <f>INDEX('R2K TR Index'!$C$5:$C$197,MATCH(N43,'R2K TR Index'!$B$5:$B$197,0))</f>
        <v>6589.0498</v>
      </c>
      <c r="P43" s="93">
        <f>INDEX('R2K TR Index'!$C$5:$C$197,MATCH('R2K TR Index'!$F$4,'R2K TR Index'!$B$5:$B$197,0))/O43</f>
        <v>2.530709465877766</v>
      </c>
      <c r="Q43" s="91">
        <f>F43*P43</f>
        <v>-5.978801113136222</v>
      </c>
      <c r="R43" t="s" s="2">
        <v>354</v>
      </c>
    </row>
    <row r="44">
      <c r="B44" t="s">
        <v>4</v>
      </c>
      <c r="C44" s="66">
        <v>42825</v>
      </c>
      <c r="D44" t="s">
        <v>310</v>
      </c>
      <c r="E44" t="s">
        <v>311</v>
      </c>
      <c r="F44" s="88">
        <v>-26.82899999999995</v>
      </c>
      <c r="G44" s="29">
        <f>IF(ISNUMBER(SEARCH("Repayment of subscription facility",E44)),1,0)</f>
        <v>0</v>
      </c>
      <c r="H44" t="str" s="89">
        <f>IF(G44=1,SUMIFS(Facility!$C$5:$C$37,Facility!$B$5:$B$37,B44,Facility!$F$5:$F$37,C44),"")</f>
        <v/>
      </c>
      <c r="I44" s="90">
        <f>IF(G44=1,SUMIFS(Facility!$D$5:$D$37,Facility!$B$5:$B$37,B44,Facility!$F$5:$F$37,C44),0)</f>
        <v>0</v>
      </c>
      <c r="J44" s="90">
        <f>IF(G44=1,SUMIFS(Facility!$H$5:$H$37,Facility!$B$5:$B$37,B44,Facility!$F$5:$F$37,C44),0)</f>
        <v>0</v>
      </c>
      <c r="K44" s="47">
        <f>IF(G44=1,H44,C44)</f>
        <v>42825</v>
      </c>
      <c r="L44" s="91">
        <f>IF(G44=1,-I44,F44)</f>
        <v>-26.82899999999995</v>
      </c>
      <c r="M44" s="91">
        <f>IF(G44=1,F44+J44,F44)</f>
        <v>-26.82899999999995</v>
      </c>
      <c r="N44" s="47">
        <f>EOMONTH(C44,0)</f>
        <v>42825</v>
      </c>
      <c r="O44" s="92">
        <f>INDEX('R2K TR Index'!$C$5:$C$197,MATCH(N44,'R2K TR Index'!$B$5:$B$197,0))</f>
        <v>6751.5298</v>
      </c>
      <c r="P44" s="93">
        <f>INDEX('R2K TR Index'!$C$5:$C$197,MATCH('R2K TR Index'!$F$4,'R2K TR Index'!$B$5:$B$197,0))/O44</f>
        <v>2.4698062800522633</v>
      </c>
      <c r="Q44" s="91">
        <f>F44*P44</f>
        <v>-66.26243268752205</v>
      </c>
      <c r="R44" t="s" s="2">
        <v>355</v>
      </c>
    </row>
    <row r="45">
      <c r="B45" t="s">
        <v>4</v>
      </c>
      <c r="C45" s="66">
        <v>43100</v>
      </c>
      <c r="D45" t="s">
        <v>328</v>
      </c>
      <c r="E45" t="s">
        <v>329</v>
      </c>
      <c r="F45" s="88">
        <v>105.6349999999999</v>
      </c>
      <c r="G45" s="29">
        <f>IF(ISNUMBER(SEARCH("Repayment of subscription facility",E45)),1,0)</f>
        <v>0</v>
      </c>
      <c r="H45" t="str" s="89">
        <f>IF(G45=1,SUMIFS(Facility!$C$5:$C$37,Facility!$B$5:$B$37,B45,Facility!$F$5:$F$37,C45),"")</f>
        <v/>
      </c>
      <c r="I45" s="90">
        <f>IF(G45=1,SUMIFS(Facility!$D$5:$D$37,Facility!$B$5:$B$37,B45,Facility!$F$5:$F$37,C45),0)</f>
        <v>0</v>
      </c>
      <c r="J45" s="90">
        <f>IF(G45=1,SUMIFS(Facility!$H$5:$H$37,Facility!$B$5:$B$37,B45,Facility!$F$5:$F$37,C45),0)</f>
        <v>0</v>
      </c>
      <c r="K45" s="47">
        <f>IF(G45=1,H45,C45)</f>
        <v>43100</v>
      </c>
      <c r="L45" s="91">
        <f>IF(G45=1,-I45,F45)</f>
        <v>105.6349999999999</v>
      </c>
      <c r="M45" s="91">
        <f>IF(G45=1,F45+J45,F45)</f>
        <v>105.6349999999999</v>
      </c>
      <c r="N45" s="47">
        <f>EOMONTH(C45,0)</f>
        <v>43100</v>
      </c>
      <c r="O45" s="92">
        <f>INDEX('R2K TR Index'!$C$5:$C$197,MATCH(N45,'R2K TR Index'!$B$5:$B$197,0))</f>
        <v>7554.1699</v>
      </c>
      <c r="P45" s="93">
        <f>INDEX('R2K TR Index'!$C$5:$C$197,MATCH('R2K TR Index'!$F$4,'R2K TR Index'!$B$5:$B$197,0))/O45</f>
        <v>2.207386241074615</v>
      </c>
      <c r="Q45" s="91">
        <f>F45*P45</f>
        <v>233.17724557591674</v>
      </c>
      <c r="R45" t="s" s="2">
        <v>356</v>
      </c>
    </row>
    <row r="46">
      <c r="B46" t="s">
        <v>4</v>
      </c>
      <c r="C46" s="66">
        <v>43281</v>
      </c>
      <c r="D46" t="s">
        <v>328</v>
      </c>
      <c r="E46" t="s">
        <v>329</v>
      </c>
      <c r="F46" s="88">
        <v>105.275</v>
      </c>
      <c r="G46" s="29">
        <f>IF(ISNUMBER(SEARCH("Repayment of subscription facility",E46)),1,0)</f>
        <v>0</v>
      </c>
      <c r="H46" t="str" s="89">
        <f>IF(G46=1,SUMIFS(Facility!$C$5:$C$37,Facility!$B$5:$B$37,B46,Facility!$F$5:$F$37,C46),"")</f>
        <v/>
      </c>
      <c r="I46" s="90">
        <f>IF(G46=1,SUMIFS(Facility!$D$5:$D$37,Facility!$B$5:$B$37,B46,Facility!$F$5:$F$37,C46),0)</f>
        <v>0</v>
      </c>
      <c r="J46" s="90">
        <f>IF(G46=1,SUMIFS(Facility!$H$5:$H$37,Facility!$B$5:$B$37,B46,Facility!$F$5:$F$37,C46),0)</f>
        <v>0</v>
      </c>
      <c r="K46" s="47">
        <f>IF(G46=1,H46,C46)</f>
        <v>43281</v>
      </c>
      <c r="L46" s="91">
        <f>IF(G46=1,-I46,F46)</f>
        <v>105.275</v>
      </c>
      <c r="M46" s="91">
        <f>IF(G46=1,F46+J46,F46)</f>
        <v>105.275</v>
      </c>
      <c r="N46" s="47">
        <f>EOMONTH(C46,0)</f>
        <v>43281</v>
      </c>
      <c r="O46" s="92">
        <f>INDEX('R2K TR Index'!$C$5:$C$197,MATCH(N46,'R2K TR Index'!$B$5:$B$197,0))</f>
        <v>8133.04</v>
      </c>
      <c r="P46" s="93">
        <f>INDEX('R2K TR Index'!$C$5:$C$197,MATCH('R2K TR Index'!$F$4,'R2K TR Index'!$B$5:$B$197,0))/O46</f>
        <v>2.0502752599274072</v>
      </c>
      <c r="Q46" s="91">
        <f>F46*P46</f>
        <v>215.8427279888578</v>
      </c>
      <c r="R46" t="s" s="2">
        <v>357</v>
      </c>
    </row>
    <row r="47">
      <c r="B47" t="s">
        <v>4</v>
      </c>
      <c r="C47" s="66">
        <v>43373</v>
      </c>
      <c r="D47" t="s">
        <v>328</v>
      </c>
      <c r="E47" t="s">
        <v>329</v>
      </c>
      <c r="F47" s="88">
        <v>92.6375</v>
      </c>
      <c r="G47" s="29">
        <f>IF(ISNUMBER(SEARCH("Repayment of subscription facility",E47)),1,0)</f>
        <v>0</v>
      </c>
      <c r="H47" t="str" s="89">
        <f>IF(G47=1,SUMIFS(Facility!$C$5:$C$37,Facility!$B$5:$B$37,B47,Facility!$F$5:$F$37,C47),"")</f>
        <v/>
      </c>
      <c r="I47" s="90">
        <f>IF(G47=1,SUMIFS(Facility!$D$5:$D$37,Facility!$B$5:$B$37,B47,Facility!$F$5:$F$37,C47),0)</f>
        <v>0</v>
      </c>
      <c r="J47" s="90">
        <f>IF(G47=1,SUMIFS(Facility!$H$5:$H$37,Facility!$B$5:$B$37,B47,Facility!$F$5:$F$37,C47),0)</f>
        <v>0</v>
      </c>
      <c r="K47" s="47">
        <f>IF(G47=1,H47,C47)</f>
        <v>43373</v>
      </c>
      <c r="L47" s="91">
        <f>IF(G47=1,-I47,F47)</f>
        <v>92.6375</v>
      </c>
      <c r="M47" s="91">
        <f>IF(G47=1,F47+J47,F47)</f>
        <v>92.6375</v>
      </c>
      <c r="N47" s="47">
        <f>EOMONTH(C47,0)</f>
        <v>43373</v>
      </c>
      <c r="O47" s="92">
        <f>INDEX('R2K TR Index'!$C$5:$C$197,MATCH(N47,'R2K TR Index'!$B$5:$B$197,0))</f>
        <v>8423.9102</v>
      </c>
      <c r="P47" s="93">
        <f>INDEX('R2K TR Index'!$C$5:$C$197,MATCH('R2K TR Index'!$F$4,'R2K TR Index'!$B$5:$B$197,0))/O47</f>
        <v>1.979481060944833</v>
      </c>
      <c r="Q47" s="91">
        <f>F47*P47</f>
        <v>183.37417678327697</v>
      </c>
      <c r="R47" t="s" s="2">
        <v>358</v>
      </c>
    </row>
    <row r="48">
      <c r="B48" t="s">
        <v>4</v>
      </c>
      <c r="C48" s="66">
        <v>43555</v>
      </c>
      <c r="D48" t="s">
        <v>328</v>
      </c>
      <c r="E48" t="s">
        <v>329</v>
      </c>
      <c r="F48" s="88">
        <v>165.5925</v>
      </c>
      <c r="G48" s="29">
        <f>IF(ISNUMBER(SEARCH("Repayment of subscription facility",E48)),1,0)</f>
        <v>0</v>
      </c>
      <c r="H48" t="str" s="89">
        <f>IF(G48=1,SUMIFS(Facility!$C$5:$C$37,Facility!$B$5:$B$37,B48,Facility!$F$5:$F$37,C48),"")</f>
        <v/>
      </c>
      <c r="I48" s="90">
        <f>IF(G48=1,SUMIFS(Facility!$D$5:$D$37,Facility!$B$5:$B$37,B48,Facility!$F$5:$F$37,C48),0)</f>
        <v>0</v>
      </c>
      <c r="J48" s="90">
        <f>IF(G48=1,SUMIFS(Facility!$H$5:$H$37,Facility!$B$5:$B$37,B48,Facility!$F$5:$F$37,C48),0)</f>
        <v>0</v>
      </c>
      <c r="K48" s="47">
        <f>IF(G48=1,H48,C48)</f>
        <v>43555</v>
      </c>
      <c r="L48" s="91">
        <f>IF(G48=1,-I48,F48)</f>
        <v>165.5925</v>
      </c>
      <c r="M48" s="91">
        <f>IF(G48=1,F48+J48,F48)</f>
        <v>165.5925</v>
      </c>
      <c r="N48" s="47">
        <f>EOMONTH(C48,0)</f>
        <v>43555</v>
      </c>
      <c r="O48" s="92">
        <f>INDEX('R2K TR Index'!$C$5:$C$197,MATCH(N48,'R2K TR Index'!$B$5:$B$197,0))</f>
        <v>7702.52</v>
      </c>
      <c r="P48" s="93">
        <f>INDEX('R2K TR Index'!$C$5:$C$197,MATCH('R2K TR Index'!$F$4,'R2K TR Index'!$B$5:$B$197,0))/O48</f>
        <v>2.1648721067910244</v>
      </c>
      <c r="Q48" s="91">
        <f>F48*P48</f>
        <v>358.4865843437927</v>
      </c>
      <c r="R48" t="s" s="2">
        <v>359</v>
      </c>
    </row>
    <row r="49">
      <c r="B49" t="s">
        <v>4</v>
      </c>
      <c r="C49" s="66">
        <v>43646</v>
      </c>
      <c r="D49" t="s">
        <v>328</v>
      </c>
      <c r="E49" t="s">
        <v>329</v>
      </c>
      <c r="F49" s="88">
        <v>11.00625</v>
      </c>
      <c r="G49" s="29">
        <f>IF(ISNUMBER(SEARCH("Repayment of subscription facility",E49)),1,0)</f>
        <v>0</v>
      </c>
      <c r="H49" t="str" s="89">
        <f>IF(G49=1,SUMIFS(Facility!$C$5:$C$37,Facility!$B$5:$B$37,B49,Facility!$F$5:$F$37,C49),"")</f>
        <v/>
      </c>
      <c r="I49" s="90">
        <f>IF(G49=1,SUMIFS(Facility!$D$5:$D$37,Facility!$B$5:$B$37,B49,Facility!$F$5:$F$37,C49),0)</f>
        <v>0</v>
      </c>
      <c r="J49" s="90">
        <f>IF(G49=1,SUMIFS(Facility!$H$5:$H$37,Facility!$B$5:$B$37,B49,Facility!$F$5:$F$37,C49),0)</f>
        <v>0</v>
      </c>
      <c r="K49" s="47">
        <f>IF(G49=1,H49,C49)</f>
        <v>43646</v>
      </c>
      <c r="L49" s="91">
        <f>IF(G49=1,-I49,F49)</f>
        <v>11.00625</v>
      </c>
      <c r="M49" s="91">
        <f>IF(G49=1,F49+J49,F49)</f>
        <v>11.00625</v>
      </c>
      <c r="N49" s="47">
        <f>EOMONTH(C49,0)</f>
        <v>43646</v>
      </c>
      <c r="O49" s="92">
        <f>INDEX('R2K TR Index'!$C$5:$C$197,MATCH(N49,'R2K TR Index'!$B$5:$B$197,0))</f>
        <v>7863.8901</v>
      </c>
      <c r="P49" s="93">
        <f>INDEX('R2K TR Index'!$C$5:$C$197,MATCH('R2K TR Index'!$F$4,'R2K TR Index'!$B$5:$B$197,0))/O49</f>
        <v>2.1204480845936544</v>
      </c>
      <c r="Q49" s="91">
        <f>F49*P49</f>
        <v>23.33818173105891</v>
      </c>
      <c r="R49" t="s" s="2">
        <v>360</v>
      </c>
    </row>
    <row r="50">
      <c r="B50" t="s">
        <v>4</v>
      </c>
      <c r="C50" s="66">
        <v>43830</v>
      </c>
      <c r="D50" t="s">
        <v>328</v>
      </c>
      <c r="E50" t="s">
        <v>329</v>
      </c>
      <c r="F50" s="88">
        <v>71.42046567833336</v>
      </c>
      <c r="G50" s="29">
        <f>IF(ISNUMBER(SEARCH("Repayment of subscription facility",E50)),1,0)</f>
        <v>0</v>
      </c>
      <c r="H50" t="str" s="89">
        <f>IF(G50=1,SUMIFS(Facility!$C$5:$C$37,Facility!$B$5:$B$37,B50,Facility!$F$5:$F$37,C50),"")</f>
        <v/>
      </c>
      <c r="I50" s="90">
        <f>IF(G50=1,SUMIFS(Facility!$D$5:$D$37,Facility!$B$5:$B$37,B50,Facility!$F$5:$F$37,C50),0)</f>
        <v>0</v>
      </c>
      <c r="J50" s="90">
        <f>IF(G50=1,SUMIFS(Facility!$H$5:$H$37,Facility!$B$5:$B$37,B50,Facility!$F$5:$F$37,C50),0)</f>
        <v>0</v>
      </c>
      <c r="K50" s="47">
        <f>IF(G50=1,H50,C50)</f>
        <v>43830</v>
      </c>
      <c r="L50" s="91">
        <f>IF(G50=1,-I50,F50)</f>
        <v>71.42046567833336</v>
      </c>
      <c r="M50" s="91">
        <f>IF(G50=1,F50+J50,F50)</f>
        <v>71.42046567833336</v>
      </c>
      <c r="N50" s="47">
        <f>EOMONTH(C50,0)</f>
        <v>43830</v>
      </c>
      <c r="O50" s="92">
        <f>INDEX('R2K TR Index'!$C$5:$C$197,MATCH(N50,'R2K TR Index'!$B$5:$B$197,0))</f>
        <v>8437.9805</v>
      </c>
      <c r="P50" s="93">
        <f>INDEX('R2K TR Index'!$C$5:$C$197,MATCH('R2K TR Index'!$F$4,'R2K TR Index'!$B$5:$B$197,0))/O50</f>
        <v>1.9761802838961293</v>
      </c>
      <c r="Q50" s="91">
        <f>F50*P50</f>
        <v>141.13971614020258</v>
      </c>
      <c r="R50" t="s" s="2">
        <v>361</v>
      </c>
    </row>
    <row r="51">
      <c r="B51" t="s">
        <v>4</v>
      </c>
      <c r="C51" s="66">
        <v>44012</v>
      </c>
      <c r="D51" t="s">
        <v>328</v>
      </c>
      <c r="E51" t="s">
        <v>329</v>
      </c>
      <c r="F51" s="88">
        <v>13.83828432166663</v>
      </c>
      <c r="G51" s="29">
        <f>IF(ISNUMBER(SEARCH("Repayment of subscription facility",E51)),1,0)</f>
        <v>0</v>
      </c>
      <c r="H51" t="str" s="89">
        <f>IF(G51=1,SUMIFS(Facility!$C$5:$C$37,Facility!$B$5:$B$37,B51,Facility!$F$5:$F$37,C51),"")</f>
        <v/>
      </c>
      <c r="I51" s="90">
        <f>IF(G51=1,SUMIFS(Facility!$D$5:$D$37,Facility!$B$5:$B$37,B51,Facility!$F$5:$F$37,C51),0)</f>
        <v>0</v>
      </c>
      <c r="J51" s="90">
        <f>IF(G51=1,SUMIFS(Facility!$H$5:$H$37,Facility!$B$5:$B$37,B51,Facility!$F$5:$F$37,C51),0)</f>
        <v>0</v>
      </c>
      <c r="K51" s="47">
        <f>IF(G51=1,H51,C51)</f>
        <v>44012</v>
      </c>
      <c r="L51" s="91">
        <f>IF(G51=1,-I51,F51)</f>
        <v>13.83828432166663</v>
      </c>
      <c r="M51" s="91">
        <f>IF(G51=1,F51+J51,F51)</f>
        <v>13.83828432166663</v>
      </c>
      <c r="N51" s="47">
        <f>EOMONTH(C51,0)</f>
        <v>44012</v>
      </c>
      <c r="O51" s="92">
        <f>INDEX('R2K TR Index'!$C$5:$C$197,MATCH(N51,'R2K TR Index'!$B$5:$B$197,0))</f>
        <v>7342.8999</v>
      </c>
      <c r="P51" s="93">
        <f>INDEX('R2K TR Index'!$C$5:$C$197,MATCH('R2K TR Index'!$F$4,'R2K TR Index'!$B$5:$B$197,0))/O51</f>
        <v>2.2708971832776856</v>
      </c>
      <c r="Q51" s="91">
        <f>F51*P51</f>
        <v>31.425320887468505</v>
      </c>
      <c r="R51" t="s" s="2">
        <v>362</v>
      </c>
    </row>
    <row r="52">
      <c r="B52" t="s">
        <v>4</v>
      </c>
      <c r="C52" s="66">
        <v>44286</v>
      </c>
      <c r="D52" t="s">
        <v>328</v>
      </c>
      <c r="E52" t="s">
        <v>329</v>
      </c>
      <c r="F52" s="88">
        <v>134.434</v>
      </c>
      <c r="G52" s="29">
        <f>IF(ISNUMBER(SEARCH("Repayment of subscription facility",E52)),1,0)</f>
        <v>0</v>
      </c>
      <c r="H52" t="str" s="89">
        <f>IF(G52=1,SUMIFS(Facility!$C$5:$C$37,Facility!$B$5:$B$37,B52,Facility!$F$5:$F$37,C52),"")</f>
        <v/>
      </c>
      <c r="I52" s="90">
        <f>IF(G52=1,SUMIFS(Facility!$D$5:$D$37,Facility!$B$5:$B$37,B52,Facility!$F$5:$F$37,C52),0)</f>
        <v>0</v>
      </c>
      <c r="J52" s="90">
        <f>IF(G52=1,SUMIFS(Facility!$H$5:$H$37,Facility!$B$5:$B$37,B52,Facility!$F$5:$F$37,C52),0)</f>
        <v>0</v>
      </c>
      <c r="K52" s="47">
        <f>IF(G52=1,H52,C52)</f>
        <v>44286</v>
      </c>
      <c r="L52" s="91">
        <f>IF(G52=1,-I52,F52)</f>
        <v>134.434</v>
      </c>
      <c r="M52" s="91">
        <f>IF(G52=1,F52+J52,F52)</f>
        <v>134.434</v>
      </c>
      <c r="N52" s="47">
        <f>EOMONTH(C52,0)</f>
        <v>44286</v>
      </c>
      <c r="O52" s="92">
        <f>INDEX('R2K TR Index'!$C$5:$C$197,MATCH(N52,'R2K TR Index'!$B$5:$B$197,0))</f>
        <v>11407.7002</v>
      </c>
      <c r="P52" s="93">
        <f>INDEX('R2K TR Index'!$C$5:$C$197,MATCH('R2K TR Index'!$F$4,'R2K TR Index'!$B$5:$B$197,0))/O52</f>
        <v>1.4617293939754836</v>
      </c>
      <c r="Q52" s="91">
        <f>F52*P52</f>
        <v>196.50612934970016</v>
      </c>
      <c r="R52" t="s" s="2">
        <v>363</v>
      </c>
    </row>
    <row r="53">
      <c r="B53" t="s">
        <v>4</v>
      </c>
      <c r="C53" s="66">
        <v>44561</v>
      </c>
      <c r="D53" t="s">
        <v>328</v>
      </c>
      <c r="E53" t="s">
        <v>329</v>
      </c>
      <c r="F53" s="88">
        <v>82.83000000000001</v>
      </c>
      <c r="G53" s="29">
        <f>IF(ISNUMBER(SEARCH("Repayment of subscription facility",E53)),1,0)</f>
        <v>0</v>
      </c>
      <c r="H53" t="str" s="89">
        <f>IF(G53=1,SUMIFS(Facility!$C$5:$C$37,Facility!$B$5:$B$37,B53,Facility!$F$5:$F$37,C53),"")</f>
        <v/>
      </c>
      <c r="I53" s="90">
        <f>IF(G53=1,SUMIFS(Facility!$D$5:$D$37,Facility!$B$5:$B$37,B53,Facility!$F$5:$F$37,C53),0)</f>
        <v>0</v>
      </c>
      <c r="J53" s="90">
        <f>IF(G53=1,SUMIFS(Facility!$H$5:$H$37,Facility!$B$5:$B$37,B53,Facility!$F$5:$F$37,C53),0)</f>
        <v>0</v>
      </c>
      <c r="K53" s="47">
        <f>IF(G53=1,H53,C53)</f>
        <v>44561</v>
      </c>
      <c r="L53" s="91">
        <f>IF(G53=1,-I53,F53)</f>
        <v>82.83000000000001</v>
      </c>
      <c r="M53" s="91">
        <f>IF(G53=1,F53+J53,F53)</f>
        <v>82.83000000000001</v>
      </c>
      <c r="N53" s="47">
        <f>EOMONTH(C53,0)</f>
        <v>44561</v>
      </c>
      <c r="O53" s="92">
        <f>INDEX('R2K TR Index'!$C$5:$C$197,MATCH(N53,'R2K TR Index'!$B$5:$B$197,0))</f>
        <v>11622.2803</v>
      </c>
      <c r="P53" s="93">
        <f>INDEX('R2K TR Index'!$C$5:$C$197,MATCH('R2K TR Index'!$F$4,'R2K TR Index'!$B$5:$B$197,0))/O53</f>
        <v>1.434741743408133</v>
      </c>
      <c r="Q53" s="91">
        <f>F53*P53</f>
        <v>118.83965860649569</v>
      </c>
      <c r="R53" t="s" s="2">
        <v>364</v>
      </c>
    </row>
    <row r="54">
      <c r="B54" t="s">
        <v>4</v>
      </c>
      <c r="C54" s="66">
        <v>46203</v>
      </c>
      <c r="D54" t="s">
        <v>338</v>
      </c>
      <c r="E54" t="s">
        <v>339</v>
      </c>
      <c r="F54" s="88">
        <v>26.49199999999999</v>
      </c>
      <c r="G54" s="29">
        <f>IF(ISNUMBER(SEARCH("Repayment of subscription facility",E54)),1,0)</f>
        <v>0</v>
      </c>
      <c r="H54" t="str" s="89">
        <f>IF(G54=1,SUMIFS(Facility!$C$5:$C$37,Facility!$B$5:$B$37,B54,Facility!$F$5:$F$37,C54),"")</f>
        <v/>
      </c>
      <c r="I54" s="90">
        <f>IF(G54=1,SUMIFS(Facility!$D$5:$D$37,Facility!$B$5:$B$37,B54,Facility!$F$5:$F$37,C54),0)</f>
        <v>0</v>
      </c>
      <c r="J54" s="90">
        <f>IF(G54=1,SUMIFS(Facility!$H$5:$H$37,Facility!$B$5:$B$37,B54,Facility!$F$5:$F$37,C54),0)</f>
        <v>0</v>
      </c>
      <c r="K54" s="47">
        <f>IF(G54=1,H54,C54)</f>
        <v>46203</v>
      </c>
      <c r="L54" s="91">
        <f>IF(G54=1,-I54,F54)</f>
        <v>26.49199999999999</v>
      </c>
      <c r="M54" s="91">
        <f>IF(G54=1,F54+J54,F54)</f>
        <v>26.49199999999999</v>
      </c>
      <c r="N54" s="47">
        <f>EOMONTH(C54,0)</f>
        <v>46203</v>
      </c>
      <c r="O54" s="92">
        <f>INDEX('R2K TR Index'!$C$5:$C$197,MATCH(N54,'R2K TR Index'!$B$5:$B$197,0))</f>
        <v>16674.9707</v>
      </c>
      <c r="P54" s="93">
        <f>INDEX('R2K TR Index'!$C$5:$C$197,MATCH('R2K TR Index'!$F$4,'R2K TR Index'!$B$5:$B$197,0))/O54</f>
        <v>1</v>
      </c>
      <c r="Q54" s="91">
        <f>F54*P54</f>
        <v>26.49199999999999</v>
      </c>
      <c r="R54" t="s" s="2">
        <v>365</v>
      </c>
    </row>
    <row r="55">
      <c r="B55" t="s">
        <v>5</v>
      </c>
      <c r="C55" s="66">
        <v>42916</v>
      </c>
      <c r="D55" t="s">
        <v>310</v>
      </c>
      <c r="E55" t="s">
        <v>366</v>
      </c>
      <c r="F55" s="88">
        <v>-3.9375</v>
      </c>
      <c r="G55" s="29">
        <f>IF(ISNUMBER(SEARCH("Repayment of subscription facility",E55)),1,0)</f>
        <v>0</v>
      </c>
      <c r="H55" t="str" s="89">
        <f>IF(G55=1,SUMIFS(Facility!$C$5:$C$37,Facility!$B$5:$B$37,B55,Facility!$F$5:$F$37,C55),"")</f>
        <v/>
      </c>
      <c r="I55" s="90">
        <f>IF(G55=1,SUMIFS(Facility!$D$5:$D$37,Facility!$B$5:$B$37,B55,Facility!$F$5:$F$37,C55),0)</f>
        <v>0</v>
      </c>
      <c r="J55" s="90">
        <f>IF(G55=1,SUMIFS(Facility!$H$5:$H$37,Facility!$B$5:$B$37,B55,Facility!$F$5:$F$37,C55),0)</f>
        <v>0</v>
      </c>
      <c r="K55" s="47">
        <f>IF(G55=1,H55,C55)</f>
        <v>42916</v>
      </c>
      <c r="L55" s="91">
        <f>IF(G55=1,-I55,F55)</f>
        <v>-3.9375</v>
      </c>
      <c r="M55" s="91">
        <f>IF(G55=1,F55+J55,F55)</f>
        <v>-3.9375</v>
      </c>
      <c r="N55" s="47">
        <f>EOMONTH(C55,0)</f>
        <v>42916</v>
      </c>
      <c r="O55" s="92">
        <f>INDEX('R2K TR Index'!$C$5:$C$197,MATCH(N55,'R2K TR Index'!$B$5:$B$197,0))</f>
        <v>6917.8599</v>
      </c>
      <c r="P55" s="93">
        <f>INDEX('R2K TR Index'!$C$5:$C$197,MATCH('R2K TR Index'!$F$4,'R2K TR Index'!$B$5:$B$197,0))/O55</f>
        <v>2.410423301576258</v>
      </c>
      <c r="Q55" s="91">
        <f>F55*P55</f>
        <v>-9.491041749956516</v>
      </c>
      <c r="R55" t="s" s="2">
        <v>367</v>
      </c>
    </row>
    <row r="56">
      <c r="B56" t="s">
        <v>5</v>
      </c>
      <c r="C56" s="66">
        <v>43008</v>
      </c>
      <c r="D56" t="s">
        <v>310</v>
      </c>
      <c r="E56" t="s">
        <v>366</v>
      </c>
      <c r="F56" s="88">
        <v>-3.457500000000003</v>
      </c>
      <c r="G56" s="29">
        <f>IF(ISNUMBER(SEARCH("Repayment of subscription facility",E56)),1,0)</f>
        <v>0</v>
      </c>
      <c r="H56" t="str" s="89">
        <f>IF(G56=1,SUMIFS(Facility!$C$5:$C$37,Facility!$B$5:$B$37,B56,Facility!$F$5:$F$37,C56),"")</f>
        <v/>
      </c>
      <c r="I56" s="90">
        <f>IF(G56=1,SUMIFS(Facility!$D$5:$D$37,Facility!$B$5:$B$37,B56,Facility!$F$5:$F$37,C56),0)</f>
        <v>0</v>
      </c>
      <c r="J56" s="90">
        <f>IF(G56=1,SUMIFS(Facility!$H$5:$H$37,Facility!$B$5:$B$37,B56,Facility!$F$5:$F$37,C56),0)</f>
        <v>0</v>
      </c>
      <c r="K56" s="47">
        <f>IF(G56=1,H56,C56)</f>
        <v>43008</v>
      </c>
      <c r="L56" s="91">
        <f>IF(G56=1,-I56,F56)</f>
        <v>-3.457500000000003</v>
      </c>
      <c r="M56" s="91">
        <f>IF(G56=1,F56+J56,F56)</f>
        <v>-3.457500000000003</v>
      </c>
      <c r="N56" s="47">
        <f>EOMONTH(C56,0)</f>
        <v>43008</v>
      </c>
      <c r="O56" s="92">
        <f>INDEX('R2K TR Index'!$C$5:$C$197,MATCH(N56,'R2K TR Index'!$B$5:$B$197,0))</f>
        <v>7310</v>
      </c>
      <c r="P56" s="93">
        <f>INDEX('R2K TR Index'!$C$5:$C$197,MATCH('R2K TR Index'!$F$4,'R2K TR Index'!$B$5:$B$197,0))/O56</f>
        <v>2.281117742818058</v>
      </c>
      <c r="Q56" s="91">
        <f>F56*P56</f>
        <v>-7.886964595793442</v>
      </c>
      <c r="R56" t="s" s="2">
        <v>368</v>
      </c>
    </row>
    <row r="57">
      <c r="B57" t="s">
        <v>5</v>
      </c>
      <c r="C57" s="66">
        <v>43098</v>
      </c>
      <c r="D57" t="s">
        <v>310</v>
      </c>
      <c r="E57" t="s">
        <v>369</v>
      </c>
      <c r="F57" s="88">
        <v>-60.36986301369863</v>
      </c>
      <c r="G57" s="29">
        <f>IF(ISNUMBER(SEARCH("Repayment of subscription facility",E57)),1,0)</f>
        <v>1</v>
      </c>
      <c r="H57" s="89">
        <f>IF(G57=1,SUMIFS(Facility!$C$5:$C$37,Facility!$B$5:$B$37,B57,Facility!$F$5:$F$37,C57),"")</f>
        <v>43008</v>
      </c>
      <c r="I57" s="90">
        <f>IF(G57=1,SUMIFS(Facility!$D$5:$D$37,Facility!$B$5:$B$37,B57,Facility!$F$5:$F$37,C57),0)</f>
        <v>60</v>
      </c>
      <c r="J57" s="90">
        <f>IF(G57=1,SUMIFS(Facility!$H$5:$H$37,Facility!$B$5:$B$37,B57,Facility!$F$5:$F$37,C57),0)</f>
        <v>0.3698630136986301</v>
      </c>
      <c r="K57" s="47">
        <f>IF(G57=1,H57,C57)</f>
        <v>43008</v>
      </c>
      <c r="L57" s="91">
        <f>IF(G57=1,-I57,F57)</f>
        <v>-60</v>
      </c>
      <c r="M57" s="91">
        <f>IF(G57=1,F57+J57,F57)</f>
        <v>-60</v>
      </c>
      <c r="N57" s="47">
        <f>EOMONTH(C57,0)</f>
        <v>43100</v>
      </c>
      <c r="O57" s="92">
        <f>INDEX('R2K TR Index'!$C$5:$C$197,MATCH(N57,'R2K TR Index'!$B$5:$B$197,0))</f>
        <v>7554.1699</v>
      </c>
      <c r="P57" s="93">
        <f>INDEX('R2K TR Index'!$C$5:$C$197,MATCH('R2K TR Index'!$F$4,'R2K TR Index'!$B$5:$B$197,0))/O57</f>
        <v>2.207386241074615</v>
      </c>
      <c r="Q57" s="91">
        <f>F57*P57</f>
        <v>-133.25960499199763</v>
      </c>
      <c r="R57" t="s" s="2">
        <v>370</v>
      </c>
    </row>
    <row r="58">
      <c r="B58" t="s">
        <v>5</v>
      </c>
      <c r="C58" s="66">
        <v>43100</v>
      </c>
      <c r="D58" t="s">
        <v>310</v>
      </c>
      <c r="E58" t="s">
        <v>366</v>
      </c>
      <c r="F58" s="88">
        <v>-3.9375</v>
      </c>
      <c r="G58" s="29">
        <f>IF(ISNUMBER(SEARCH("Repayment of subscription facility",E58)),1,0)</f>
        <v>0</v>
      </c>
      <c r="H58" t="str" s="89">
        <f>IF(G58=1,SUMIFS(Facility!$C$5:$C$37,Facility!$B$5:$B$37,B58,Facility!$F$5:$F$37,C58),"")</f>
        <v/>
      </c>
      <c r="I58" s="90">
        <f>IF(G58=1,SUMIFS(Facility!$D$5:$D$37,Facility!$B$5:$B$37,B58,Facility!$F$5:$F$37,C58),0)</f>
        <v>0</v>
      </c>
      <c r="J58" s="90">
        <f>IF(G58=1,SUMIFS(Facility!$H$5:$H$37,Facility!$B$5:$B$37,B58,Facility!$F$5:$F$37,C58),0)</f>
        <v>0</v>
      </c>
      <c r="K58" s="47">
        <f>IF(G58=1,H58,C58)</f>
        <v>43100</v>
      </c>
      <c r="L58" s="91">
        <f>IF(G58=1,-I58,F58)</f>
        <v>-3.9375</v>
      </c>
      <c r="M58" s="91">
        <f>IF(G58=1,F58+J58,F58)</f>
        <v>-3.9375</v>
      </c>
      <c r="N58" s="47">
        <f>EOMONTH(C58,0)</f>
        <v>43100</v>
      </c>
      <c r="O58" s="92">
        <f>INDEX('R2K TR Index'!$C$5:$C$197,MATCH(N58,'R2K TR Index'!$B$5:$B$197,0))</f>
        <v>7554.1699</v>
      </c>
      <c r="P58" s="93">
        <f>INDEX('R2K TR Index'!$C$5:$C$197,MATCH('R2K TR Index'!$F$4,'R2K TR Index'!$B$5:$B$197,0))/O58</f>
        <v>2.207386241074615</v>
      </c>
      <c r="Q58" s="91">
        <f>F58*P58</f>
        <v>-8.691583324231297</v>
      </c>
      <c r="R58" t="s" s="2">
        <v>371</v>
      </c>
    </row>
    <row r="59">
      <c r="B59" t="s">
        <v>5</v>
      </c>
      <c r="C59" s="66">
        <v>43190</v>
      </c>
      <c r="D59" t="s">
        <v>310</v>
      </c>
      <c r="E59" t="s">
        <v>366</v>
      </c>
      <c r="F59" s="88">
        <v>-3.337500000000006</v>
      </c>
      <c r="G59" s="29">
        <f>IF(ISNUMBER(SEARCH("Repayment of subscription facility",E59)),1,0)</f>
        <v>0</v>
      </c>
      <c r="H59" t="str" s="89">
        <f>IF(G59=1,SUMIFS(Facility!$C$5:$C$37,Facility!$B$5:$B$37,B59,Facility!$F$5:$F$37,C59),"")</f>
        <v/>
      </c>
      <c r="I59" s="90">
        <f>IF(G59=1,SUMIFS(Facility!$D$5:$D$37,Facility!$B$5:$B$37,B59,Facility!$F$5:$F$37,C59),0)</f>
        <v>0</v>
      </c>
      <c r="J59" s="90">
        <f>IF(G59=1,SUMIFS(Facility!$H$5:$H$37,Facility!$B$5:$B$37,B59,Facility!$F$5:$F$37,C59),0)</f>
        <v>0</v>
      </c>
      <c r="K59" s="47">
        <f>IF(G59=1,H59,C59)</f>
        <v>43190</v>
      </c>
      <c r="L59" s="91">
        <f>IF(G59=1,-I59,F59)</f>
        <v>-3.337500000000006</v>
      </c>
      <c r="M59" s="91">
        <f>IF(G59=1,F59+J59,F59)</f>
        <v>-3.337500000000006</v>
      </c>
      <c r="N59" s="47">
        <f>EOMONTH(C59,0)</f>
        <v>43190</v>
      </c>
      <c r="O59" s="92">
        <f>INDEX('R2K TR Index'!$C$5:$C$197,MATCH(N59,'R2K TR Index'!$B$5:$B$197,0))</f>
        <v>7547.8101</v>
      </c>
      <c r="P59" s="93">
        <f>INDEX('R2K TR Index'!$C$5:$C$197,MATCH('R2K TR Index'!$F$4,'R2K TR Index'!$B$5:$B$197,0))/O59</f>
        <v>2.209246189169492</v>
      </c>
      <c r="Q59" s="91">
        <f>F59*P59</f>
        <v>-7.373359156353192</v>
      </c>
      <c r="R59" t="s" s="2">
        <v>372</v>
      </c>
    </row>
    <row r="60">
      <c r="B60" t="s">
        <v>5</v>
      </c>
      <c r="C60" s="66">
        <v>43280</v>
      </c>
      <c r="D60" t="s">
        <v>310</v>
      </c>
      <c r="E60" t="s">
        <v>369</v>
      </c>
      <c r="F60" s="88">
        <v>-75.46232876712328</v>
      </c>
      <c r="G60" s="29">
        <f>IF(ISNUMBER(SEARCH("Repayment of subscription facility",E60)),1,0)</f>
        <v>1</v>
      </c>
      <c r="H60" s="89">
        <f>IF(G60=1,SUMIFS(Facility!$C$5:$C$37,Facility!$B$5:$B$37,B60,Facility!$F$5:$F$37,C60),"")</f>
        <v>43190</v>
      </c>
      <c r="I60" s="90">
        <f>IF(G60=1,SUMIFS(Facility!$D$5:$D$37,Facility!$B$5:$B$37,B60,Facility!$F$5:$F$37,C60),0)</f>
        <v>75</v>
      </c>
      <c r="J60" s="90">
        <f>IF(G60=1,SUMIFS(Facility!$H$5:$H$37,Facility!$B$5:$B$37,B60,Facility!$F$5:$F$37,C60),0)</f>
        <v>0.4623287671232877</v>
      </c>
      <c r="K60" s="47">
        <f>IF(G60=1,H60,C60)</f>
        <v>43190</v>
      </c>
      <c r="L60" s="91">
        <f>IF(G60=1,-I60,F60)</f>
        <v>-75</v>
      </c>
      <c r="M60" s="91">
        <f>IF(G60=1,F60+J60,F60)</f>
        <v>-75</v>
      </c>
      <c r="N60" s="47">
        <f>EOMONTH(C60,0)</f>
        <v>43281</v>
      </c>
      <c r="O60" s="92">
        <f>INDEX('R2K TR Index'!$C$5:$C$197,MATCH(N60,'R2K TR Index'!$B$5:$B$197,0))</f>
        <v>8133.04</v>
      </c>
      <c r="P60" s="93">
        <f>INDEX('R2K TR Index'!$C$5:$C$197,MATCH('R2K TR Index'!$F$4,'R2K TR Index'!$B$5:$B$197,0))/O60</f>
        <v>2.0502752599274072</v>
      </c>
      <c r="Q60" s="91">
        <f>F60*P60</f>
        <v>-154.71854572774114</v>
      </c>
      <c r="R60" t="s" s="2">
        <v>373</v>
      </c>
    </row>
    <row r="61">
      <c r="B61" t="s">
        <v>5</v>
      </c>
      <c r="C61" s="66">
        <v>43281</v>
      </c>
      <c r="D61" t="s">
        <v>310</v>
      </c>
      <c r="E61" t="s">
        <v>366</v>
      </c>
      <c r="F61" s="88">
        <v>-3.377499999999998</v>
      </c>
      <c r="G61" s="29">
        <f>IF(ISNUMBER(SEARCH("Repayment of subscription facility",E61)),1,0)</f>
        <v>0</v>
      </c>
      <c r="H61" t="str" s="89">
        <f>IF(G61=1,SUMIFS(Facility!$C$5:$C$37,Facility!$B$5:$B$37,B61,Facility!$F$5:$F$37,C61),"")</f>
        <v/>
      </c>
      <c r="I61" s="90">
        <f>IF(G61=1,SUMIFS(Facility!$D$5:$D$37,Facility!$B$5:$B$37,B61,Facility!$F$5:$F$37,C61),0)</f>
        <v>0</v>
      </c>
      <c r="J61" s="90">
        <f>IF(G61=1,SUMIFS(Facility!$H$5:$H$37,Facility!$B$5:$B$37,B61,Facility!$F$5:$F$37,C61),0)</f>
        <v>0</v>
      </c>
      <c r="K61" s="47">
        <f>IF(G61=1,H61,C61)</f>
        <v>43281</v>
      </c>
      <c r="L61" s="91">
        <f>IF(G61=1,-I61,F61)</f>
        <v>-3.377499999999998</v>
      </c>
      <c r="M61" s="91">
        <f>IF(G61=1,F61+J61,F61)</f>
        <v>-3.377499999999998</v>
      </c>
      <c r="N61" s="47">
        <f>EOMONTH(C61,0)</f>
        <v>43281</v>
      </c>
      <c r="O61" s="92">
        <f>INDEX('R2K TR Index'!$C$5:$C$197,MATCH(N61,'R2K TR Index'!$B$5:$B$197,0))</f>
        <v>8133.04</v>
      </c>
      <c r="P61" s="93">
        <f>INDEX('R2K TR Index'!$C$5:$C$197,MATCH('R2K TR Index'!$F$4,'R2K TR Index'!$B$5:$B$197,0))/O61</f>
        <v>2.0502752599274072</v>
      </c>
      <c r="Q61" s="91">
        <f>F61*P61</f>
        <v>-6.924804690404814</v>
      </c>
      <c r="R61" t="s" s="2">
        <v>374</v>
      </c>
    </row>
    <row r="62">
      <c r="B62" t="s">
        <v>5</v>
      </c>
      <c r="C62" s="66">
        <v>43371</v>
      </c>
      <c r="D62" t="s">
        <v>310</v>
      </c>
      <c r="E62" t="s">
        <v>369</v>
      </c>
      <c r="F62" s="88">
        <v>-70.43150684931507</v>
      </c>
      <c r="G62" s="29">
        <f>IF(ISNUMBER(SEARCH("Repayment of subscription facility",E62)),1,0)</f>
        <v>1</v>
      </c>
      <c r="H62" s="89">
        <f>IF(G62=1,SUMIFS(Facility!$C$5:$C$37,Facility!$B$5:$B$37,B62,Facility!$F$5:$F$37,C62),"")</f>
        <v>43281</v>
      </c>
      <c r="I62" s="90">
        <f>IF(G62=1,SUMIFS(Facility!$D$5:$D$37,Facility!$B$5:$B$37,B62,Facility!$F$5:$F$37,C62),0)</f>
        <v>70</v>
      </c>
      <c r="J62" s="90">
        <f>IF(G62=1,SUMIFS(Facility!$H$5:$H$37,Facility!$B$5:$B$37,B62,Facility!$F$5:$F$37,C62),0)</f>
        <v>0.4315068493150685</v>
      </c>
      <c r="K62" s="47">
        <f>IF(G62=1,H62,C62)</f>
        <v>43281</v>
      </c>
      <c r="L62" s="91">
        <f>IF(G62=1,-I62,F62)</f>
        <v>-70</v>
      </c>
      <c r="M62" s="91">
        <f>IF(G62=1,F62+J62,F62)</f>
        <v>-70</v>
      </c>
      <c r="N62" s="47">
        <f>EOMONTH(C62,0)</f>
        <v>43373</v>
      </c>
      <c r="O62" s="92">
        <f>INDEX('R2K TR Index'!$C$5:$C$197,MATCH(N62,'R2K TR Index'!$B$5:$B$197,0))</f>
        <v>8423.9102</v>
      </c>
      <c r="P62" s="93">
        <f>INDEX('R2K TR Index'!$C$5:$C$197,MATCH('R2K TR Index'!$F$4,'R2K TR Index'!$B$5:$B$197,0))/O62</f>
        <v>1.979481060944833</v>
      </c>
      <c r="Q62" s="91">
        <f>F62*P62</f>
        <v>-139.41783390202548</v>
      </c>
      <c r="R62" t="s" s="2">
        <v>375</v>
      </c>
    </row>
    <row r="63">
      <c r="B63" t="s">
        <v>5</v>
      </c>
      <c r="C63" s="66">
        <v>43373</v>
      </c>
      <c r="D63" t="s">
        <v>310</v>
      </c>
      <c r="E63" t="s">
        <v>366</v>
      </c>
      <c r="F63" s="88">
        <v>-3.417500000000004</v>
      </c>
      <c r="G63" s="29">
        <f>IF(ISNUMBER(SEARCH("Repayment of subscription facility",E63)),1,0)</f>
        <v>0</v>
      </c>
      <c r="H63" t="str" s="89">
        <f>IF(G63=1,SUMIFS(Facility!$C$5:$C$37,Facility!$B$5:$B$37,B63,Facility!$F$5:$F$37,C63),"")</f>
        <v/>
      </c>
      <c r="I63" s="90">
        <f>IF(G63=1,SUMIFS(Facility!$D$5:$D$37,Facility!$B$5:$B$37,B63,Facility!$F$5:$F$37,C63),0)</f>
        <v>0</v>
      </c>
      <c r="J63" s="90">
        <f>IF(G63=1,SUMIFS(Facility!$H$5:$H$37,Facility!$B$5:$B$37,B63,Facility!$F$5:$F$37,C63),0)</f>
        <v>0</v>
      </c>
      <c r="K63" s="47">
        <f>IF(G63=1,H63,C63)</f>
        <v>43373</v>
      </c>
      <c r="L63" s="91">
        <f>IF(G63=1,-I63,F63)</f>
        <v>-3.417500000000004</v>
      </c>
      <c r="M63" s="91">
        <f>IF(G63=1,F63+J63,F63)</f>
        <v>-3.417500000000004</v>
      </c>
      <c r="N63" s="47">
        <f>EOMONTH(C63,0)</f>
        <v>43373</v>
      </c>
      <c r="O63" s="92">
        <f>INDEX('R2K TR Index'!$C$5:$C$197,MATCH(N63,'R2K TR Index'!$B$5:$B$197,0))</f>
        <v>8423.9102</v>
      </c>
      <c r="P63" s="93">
        <f>INDEX('R2K TR Index'!$C$5:$C$197,MATCH('R2K TR Index'!$F$4,'R2K TR Index'!$B$5:$B$197,0))/O63</f>
        <v>1.979481060944833</v>
      </c>
      <c r="Q63" s="91">
        <f>F63*P63</f>
        <v>-6.764876525778974</v>
      </c>
      <c r="R63" t="s" s="2">
        <v>376</v>
      </c>
    </row>
    <row r="64">
      <c r="B64" t="s">
        <v>5</v>
      </c>
      <c r="C64" s="66">
        <v>43463</v>
      </c>
      <c r="D64" t="s">
        <v>310</v>
      </c>
      <c r="E64" t="s">
        <v>369</v>
      </c>
      <c r="F64" s="88">
        <v>-65.40068493150685</v>
      </c>
      <c r="G64" s="29">
        <f>IF(ISNUMBER(SEARCH("Repayment of subscription facility",E64)),1,0)</f>
        <v>1</v>
      </c>
      <c r="H64" s="89">
        <f>IF(G64=1,SUMIFS(Facility!$C$5:$C$37,Facility!$B$5:$B$37,B64,Facility!$F$5:$F$37,C64),"")</f>
        <v>43373</v>
      </c>
      <c r="I64" s="90">
        <f>IF(G64=1,SUMIFS(Facility!$D$5:$D$37,Facility!$B$5:$B$37,B64,Facility!$F$5:$F$37,C64),0)</f>
        <v>65</v>
      </c>
      <c r="J64" s="90">
        <f>IF(G64=1,SUMIFS(Facility!$H$5:$H$37,Facility!$B$5:$B$37,B64,Facility!$F$5:$F$37,C64),0)</f>
        <v>0.4006849315068493</v>
      </c>
      <c r="K64" s="47">
        <f>IF(G64=1,H64,C64)</f>
        <v>43373</v>
      </c>
      <c r="L64" s="91">
        <f>IF(G64=1,-I64,F64)</f>
        <v>-65</v>
      </c>
      <c r="M64" s="91">
        <f>IF(G64=1,F64+J64,F64)</f>
        <v>-65</v>
      </c>
      <c r="N64" s="47">
        <f>EOMONTH(C64,0)</f>
        <v>43465</v>
      </c>
      <c r="O64" s="92">
        <f>INDEX('R2K TR Index'!$C$5:$C$197,MATCH(N64,'R2K TR Index'!$B$5:$B$197,0))</f>
        <v>6722.1499</v>
      </c>
      <c r="P64" s="93">
        <f>INDEX('R2K TR Index'!$C$5:$C$197,MATCH('R2K TR Index'!$F$4,'R2K TR Index'!$B$5:$B$197,0))/O64</f>
        <v>2.480600841703932</v>
      </c>
      <c r="Q64" s="91">
        <f>F64*P64</f>
        <v>-162.23299408910952</v>
      </c>
      <c r="R64" t="s" s="2">
        <v>377</v>
      </c>
    </row>
    <row r="65">
      <c r="B65" t="s">
        <v>5</v>
      </c>
      <c r="C65" s="66">
        <v>43465</v>
      </c>
      <c r="D65" t="s">
        <v>310</v>
      </c>
      <c r="E65" t="s">
        <v>366</v>
      </c>
      <c r="F65" s="88">
        <v>-3.577500000000001</v>
      </c>
      <c r="G65" s="29">
        <f>IF(ISNUMBER(SEARCH("Repayment of subscription facility",E65)),1,0)</f>
        <v>0</v>
      </c>
      <c r="H65" t="str" s="89">
        <f>IF(G65=1,SUMIFS(Facility!$C$5:$C$37,Facility!$B$5:$B$37,B65,Facility!$F$5:$F$37,C65),"")</f>
        <v/>
      </c>
      <c r="I65" s="90">
        <f>IF(G65=1,SUMIFS(Facility!$D$5:$D$37,Facility!$B$5:$B$37,B65,Facility!$F$5:$F$37,C65),0)</f>
        <v>0</v>
      </c>
      <c r="J65" s="90">
        <f>IF(G65=1,SUMIFS(Facility!$H$5:$H$37,Facility!$B$5:$B$37,B65,Facility!$F$5:$F$37,C65),0)</f>
        <v>0</v>
      </c>
      <c r="K65" s="47">
        <f>IF(G65=1,H65,C65)</f>
        <v>43465</v>
      </c>
      <c r="L65" s="91">
        <f>IF(G65=1,-I65,F65)</f>
        <v>-3.577500000000001</v>
      </c>
      <c r="M65" s="91">
        <f>IF(G65=1,F65+J65,F65)</f>
        <v>-3.577500000000001</v>
      </c>
      <c r="N65" s="47">
        <f>EOMONTH(C65,0)</f>
        <v>43465</v>
      </c>
      <c r="O65" s="92">
        <f>INDEX('R2K TR Index'!$C$5:$C$197,MATCH(N65,'R2K TR Index'!$B$5:$B$197,0))</f>
        <v>6722.1499</v>
      </c>
      <c r="P65" s="93">
        <f>INDEX('R2K TR Index'!$C$5:$C$197,MATCH('R2K TR Index'!$F$4,'R2K TR Index'!$B$5:$B$197,0))/O65</f>
        <v>2.480600841703932</v>
      </c>
      <c r="Q65" s="91">
        <f>F65*P65</f>
        <v>-8.874349511195819</v>
      </c>
      <c r="R65" t="s" s="2">
        <v>378</v>
      </c>
    </row>
    <row r="66">
      <c r="B66" t="s">
        <v>5</v>
      </c>
      <c r="C66" s="66">
        <v>43555</v>
      </c>
      <c r="D66" t="s">
        <v>310</v>
      </c>
      <c r="E66" t="s">
        <v>366</v>
      </c>
      <c r="F66" s="88">
        <v>-3.497500000000002</v>
      </c>
      <c r="G66" s="29">
        <f>IF(ISNUMBER(SEARCH("Repayment of subscription facility",E66)),1,0)</f>
        <v>0</v>
      </c>
      <c r="H66" t="str" s="89">
        <f>IF(G66=1,SUMIFS(Facility!$C$5:$C$37,Facility!$B$5:$B$37,B66,Facility!$F$5:$F$37,C66),"")</f>
        <v/>
      </c>
      <c r="I66" s="90">
        <f>IF(G66=1,SUMIFS(Facility!$D$5:$D$37,Facility!$B$5:$B$37,B66,Facility!$F$5:$F$37,C66),0)</f>
        <v>0</v>
      </c>
      <c r="J66" s="90">
        <f>IF(G66=1,SUMIFS(Facility!$H$5:$H$37,Facility!$B$5:$B$37,B66,Facility!$F$5:$F$37,C66),0)</f>
        <v>0</v>
      </c>
      <c r="K66" s="47">
        <f>IF(G66=1,H66,C66)</f>
        <v>43555</v>
      </c>
      <c r="L66" s="91">
        <f>IF(G66=1,-I66,F66)</f>
        <v>-3.497500000000002</v>
      </c>
      <c r="M66" s="91">
        <f>IF(G66=1,F66+J66,F66)</f>
        <v>-3.497500000000002</v>
      </c>
      <c r="N66" s="47">
        <f>EOMONTH(C66,0)</f>
        <v>43555</v>
      </c>
      <c r="O66" s="92">
        <f>INDEX('R2K TR Index'!$C$5:$C$197,MATCH(N66,'R2K TR Index'!$B$5:$B$197,0))</f>
        <v>7702.52</v>
      </c>
      <c r="P66" s="93">
        <f>INDEX('R2K TR Index'!$C$5:$C$197,MATCH('R2K TR Index'!$F$4,'R2K TR Index'!$B$5:$B$197,0))/O66</f>
        <v>2.1648721067910244</v>
      </c>
      <c r="Q66" s="91">
        <f>F66*P66</f>
        <v>-7.5716401935016115</v>
      </c>
      <c r="R66" t="s" s="2">
        <v>379</v>
      </c>
    </row>
    <row r="67">
      <c r="B67" t="s">
        <v>5</v>
      </c>
      <c r="C67" s="66">
        <v>43555</v>
      </c>
      <c r="D67" t="s">
        <v>310</v>
      </c>
      <c r="E67" t="s">
        <v>369</v>
      </c>
      <c r="F67" s="88">
        <v>-45.27739726027397</v>
      </c>
      <c r="G67" s="29">
        <f>IF(ISNUMBER(SEARCH("Repayment of subscription facility",E67)),1,0)</f>
        <v>1</v>
      </c>
      <c r="H67" s="89">
        <f>IF(G67=1,SUMIFS(Facility!$C$5:$C$37,Facility!$B$5:$B$37,B67,Facility!$F$5:$F$37,C67),"")</f>
        <v>43465</v>
      </c>
      <c r="I67" s="90">
        <f>IF(G67=1,SUMIFS(Facility!$D$5:$D$37,Facility!$B$5:$B$37,B67,Facility!$F$5:$F$37,C67),0)</f>
        <v>45</v>
      </c>
      <c r="J67" s="90">
        <f>IF(G67=1,SUMIFS(Facility!$H$5:$H$37,Facility!$B$5:$B$37,B67,Facility!$F$5:$F$37,C67),0)</f>
        <v>0.2773972602739726</v>
      </c>
      <c r="K67" s="47">
        <f>IF(G67=1,H67,C67)</f>
        <v>43465</v>
      </c>
      <c r="L67" s="91">
        <f>IF(G67=1,-I67,F67)</f>
        <v>-45</v>
      </c>
      <c r="M67" s="91">
        <f>IF(G67=1,F67+J67,F67)</f>
        <v>-45</v>
      </c>
      <c r="N67" s="47">
        <f>EOMONTH(C67,0)</f>
        <v>43555</v>
      </c>
      <c r="O67" s="92">
        <f>INDEX('R2K TR Index'!$C$5:$C$197,MATCH(N67,'R2K TR Index'!$B$5:$B$197,0))</f>
        <v>7702.52</v>
      </c>
      <c r="P67" s="93">
        <f>INDEX('R2K TR Index'!$C$5:$C$197,MATCH('R2K TR Index'!$F$4,'R2K TR Index'!$B$5:$B$197,0))/O67</f>
        <v>2.1648721067910244</v>
      </c>
      <c r="Q67" s="91">
        <f>F67*P67</f>
        <v>-98.01977439686347</v>
      </c>
      <c r="R67" t="s" s="2">
        <v>380</v>
      </c>
    </row>
    <row r="68">
      <c r="B68" t="s">
        <v>5</v>
      </c>
      <c r="C68" s="66">
        <v>43645</v>
      </c>
      <c r="D68" t="s">
        <v>310</v>
      </c>
      <c r="E68" t="s">
        <v>369</v>
      </c>
      <c r="F68" s="88">
        <v>-55.33904109589041</v>
      </c>
      <c r="G68" s="29">
        <f>IF(ISNUMBER(SEARCH("Repayment of subscription facility",E68)),1,0)</f>
        <v>1</v>
      </c>
      <c r="H68" s="89">
        <f>IF(G68=1,SUMIFS(Facility!$C$5:$C$37,Facility!$B$5:$B$37,B68,Facility!$F$5:$F$37,C68),"")</f>
        <v>43555</v>
      </c>
      <c r="I68" s="90">
        <f>IF(G68=1,SUMIFS(Facility!$D$5:$D$37,Facility!$B$5:$B$37,B68,Facility!$F$5:$F$37,C68),0)</f>
        <v>55</v>
      </c>
      <c r="J68" s="90">
        <f>IF(G68=1,SUMIFS(Facility!$H$5:$H$37,Facility!$B$5:$B$37,B68,Facility!$F$5:$F$37,C68),0)</f>
        <v>0.339041095890411</v>
      </c>
      <c r="K68" s="47">
        <f>IF(G68=1,H68,C68)</f>
        <v>43555</v>
      </c>
      <c r="L68" s="91">
        <f>IF(G68=1,-I68,F68)</f>
        <v>-55</v>
      </c>
      <c r="M68" s="91">
        <f>IF(G68=1,F68+J68,F68)</f>
        <v>-55</v>
      </c>
      <c r="N68" s="47">
        <f>EOMONTH(C68,0)</f>
        <v>43646</v>
      </c>
      <c r="O68" s="92">
        <f>INDEX('R2K TR Index'!$C$5:$C$197,MATCH(N68,'R2K TR Index'!$B$5:$B$197,0))</f>
        <v>7863.8901</v>
      </c>
      <c r="P68" s="93">
        <f>INDEX('R2K TR Index'!$C$5:$C$197,MATCH('R2K TR Index'!$F$4,'R2K TR Index'!$B$5:$B$197,0))/O68</f>
        <v>2.1204480845936544</v>
      </c>
      <c r="Q68" s="91">
        <f>F68*P68</f>
        <v>-117.34356369503034</v>
      </c>
      <c r="R68" t="s" s="2">
        <v>381</v>
      </c>
    </row>
    <row r="69">
      <c r="B69" t="s">
        <v>5</v>
      </c>
      <c r="C69" s="66">
        <v>43646</v>
      </c>
      <c r="D69" t="s">
        <v>310</v>
      </c>
      <c r="E69" t="s">
        <v>366</v>
      </c>
      <c r="F69" s="88">
        <v>-3.457500000000003</v>
      </c>
      <c r="G69" s="29">
        <f>IF(ISNUMBER(SEARCH("Repayment of subscription facility",E69)),1,0)</f>
        <v>0</v>
      </c>
      <c r="H69" t="str" s="89">
        <f>IF(G69=1,SUMIFS(Facility!$C$5:$C$37,Facility!$B$5:$B$37,B69,Facility!$F$5:$F$37,C69),"")</f>
        <v/>
      </c>
      <c r="I69" s="90">
        <f>IF(G69=1,SUMIFS(Facility!$D$5:$D$37,Facility!$B$5:$B$37,B69,Facility!$F$5:$F$37,C69),0)</f>
        <v>0</v>
      </c>
      <c r="J69" s="90">
        <f>IF(G69=1,SUMIFS(Facility!$H$5:$H$37,Facility!$B$5:$B$37,B69,Facility!$F$5:$F$37,C69),0)</f>
        <v>0</v>
      </c>
      <c r="K69" s="47">
        <f>IF(G69=1,H69,C69)</f>
        <v>43646</v>
      </c>
      <c r="L69" s="91">
        <f>IF(G69=1,-I69,F69)</f>
        <v>-3.457500000000003</v>
      </c>
      <c r="M69" s="91">
        <f>IF(G69=1,F69+J69,F69)</f>
        <v>-3.457500000000003</v>
      </c>
      <c r="N69" s="47">
        <f>EOMONTH(C69,0)</f>
        <v>43646</v>
      </c>
      <c r="O69" s="92">
        <f>INDEX('R2K TR Index'!$C$5:$C$197,MATCH(N69,'R2K TR Index'!$B$5:$B$197,0))</f>
        <v>7863.8901</v>
      </c>
      <c r="P69" s="93">
        <f>INDEX('R2K TR Index'!$C$5:$C$197,MATCH('R2K TR Index'!$F$4,'R2K TR Index'!$B$5:$B$197,0))/O69</f>
        <v>2.1204480845936544</v>
      </c>
      <c r="Q69" s="91">
        <f>F69*P69</f>
        <v>-7.3314492524825665</v>
      </c>
      <c r="R69" t="s" s="2">
        <v>382</v>
      </c>
    </row>
    <row r="70">
      <c r="B70" t="s">
        <v>5</v>
      </c>
      <c r="C70" s="66">
        <v>43736</v>
      </c>
      <c r="D70" t="s">
        <v>310</v>
      </c>
      <c r="E70" t="s">
        <v>369</v>
      </c>
      <c r="F70" s="88">
        <v>-60.36986301369863</v>
      </c>
      <c r="G70" s="29">
        <f>IF(ISNUMBER(SEARCH("Repayment of subscription facility",E70)),1,0)</f>
        <v>1</v>
      </c>
      <c r="H70" s="89">
        <f>IF(G70=1,SUMIFS(Facility!$C$5:$C$37,Facility!$B$5:$B$37,B70,Facility!$F$5:$F$37,C70),"")</f>
        <v>43646</v>
      </c>
      <c r="I70" s="90">
        <f>IF(G70=1,SUMIFS(Facility!$D$5:$D$37,Facility!$B$5:$B$37,B70,Facility!$F$5:$F$37,C70),0)</f>
        <v>60</v>
      </c>
      <c r="J70" s="90">
        <f>IF(G70=1,SUMIFS(Facility!$H$5:$H$37,Facility!$B$5:$B$37,B70,Facility!$F$5:$F$37,C70),0)</f>
        <v>0.3698630136986301</v>
      </c>
      <c r="K70" s="47">
        <f>IF(G70=1,H70,C70)</f>
        <v>43646</v>
      </c>
      <c r="L70" s="91">
        <f>IF(G70=1,-I70,F70)</f>
        <v>-60</v>
      </c>
      <c r="M70" s="91">
        <f>IF(G70=1,F70+J70,F70)</f>
        <v>-60</v>
      </c>
      <c r="N70" s="47">
        <f>EOMONTH(C70,0)</f>
        <v>43738</v>
      </c>
      <c r="O70" s="92">
        <f>INDEX('R2K TR Index'!$C$5:$C$197,MATCH(N70,'R2K TR Index'!$B$5:$B$197,0))</f>
        <v>7675.0898</v>
      </c>
      <c r="P70" s="93">
        <f>INDEX('R2K TR Index'!$C$5:$C$197,MATCH('R2K TR Index'!$F$4,'R2K TR Index'!$B$5:$B$197,0))/O70</f>
        <v>2.172609198657194</v>
      </c>
      <c r="Q70" s="91">
        <f>F70*P70</f>
        <v>-131.16011970523633</v>
      </c>
      <c r="R70" t="s" s="2">
        <v>383</v>
      </c>
    </row>
    <row r="71">
      <c r="B71" t="s">
        <v>5</v>
      </c>
      <c r="C71" s="66">
        <v>43738</v>
      </c>
      <c r="D71" t="s">
        <v>310</v>
      </c>
      <c r="E71" t="s">
        <v>366</v>
      </c>
      <c r="F71" s="88">
        <v>-3.6175</v>
      </c>
      <c r="G71" s="29">
        <f>IF(ISNUMBER(SEARCH("Repayment of subscription facility",E71)),1,0)</f>
        <v>0</v>
      </c>
      <c r="H71" t="str" s="89">
        <f>IF(G71=1,SUMIFS(Facility!$C$5:$C$37,Facility!$B$5:$B$37,B71,Facility!$F$5:$F$37,C71),"")</f>
        <v/>
      </c>
      <c r="I71" s="90">
        <f>IF(G71=1,SUMIFS(Facility!$D$5:$D$37,Facility!$B$5:$B$37,B71,Facility!$F$5:$F$37,C71),0)</f>
        <v>0</v>
      </c>
      <c r="J71" s="90">
        <f>IF(G71=1,SUMIFS(Facility!$H$5:$H$37,Facility!$B$5:$B$37,B71,Facility!$F$5:$F$37,C71),0)</f>
        <v>0</v>
      </c>
      <c r="K71" s="47">
        <f>IF(G71=1,H71,C71)</f>
        <v>43738</v>
      </c>
      <c r="L71" s="91">
        <f>IF(G71=1,-I71,F71)</f>
        <v>-3.6175</v>
      </c>
      <c r="M71" s="91">
        <f>IF(G71=1,F71+J71,F71)</f>
        <v>-3.6175</v>
      </c>
      <c r="N71" s="47">
        <f>EOMONTH(C71,0)</f>
        <v>43738</v>
      </c>
      <c r="O71" s="92">
        <f>INDEX('R2K TR Index'!$C$5:$C$197,MATCH(N71,'R2K TR Index'!$B$5:$B$197,0))</f>
        <v>7675.0898</v>
      </c>
      <c r="P71" s="93">
        <f>INDEX('R2K TR Index'!$C$5:$C$197,MATCH('R2K TR Index'!$F$4,'R2K TR Index'!$B$5:$B$197,0))/O71</f>
        <v>2.172609198657194</v>
      </c>
      <c r="Q71" s="91">
        <f>F71*P71</f>
        <v>-7.859413776142399</v>
      </c>
      <c r="R71" t="s" s="2">
        <v>384</v>
      </c>
    </row>
    <row r="72">
      <c r="B72" t="s">
        <v>5</v>
      </c>
      <c r="C72" s="66">
        <v>43828</v>
      </c>
      <c r="D72" t="s">
        <v>310</v>
      </c>
      <c r="E72" t="s">
        <v>369</v>
      </c>
      <c r="F72" s="88">
        <v>-40.24657534246575</v>
      </c>
      <c r="G72" s="29">
        <f>IF(ISNUMBER(SEARCH("Repayment of subscription facility",E72)),1,0)</f>
        <v>1</v>
      </c>
      <c r="H72" s="89">
        <f>IF(G72=1,SUMIFS(Facility!$C$5:$C$37,Facility!$B$5:$B$37,B72,Facility!$F$5:$F$37,C72),"")</f>
        <v>43738</v>
      </c>
      <c r="I72" s="90">
        <f>IF(G72=1,SUMIFS(Facility!$D$5:$D$37,Facility!$B$5:$B$37,B72,Facility!$F$5:$F$37,C72),0)</f>
        <v>40</v>
      </c>
      <c r="J72" s="90">
        <f>IF(G72=1,SUMIFS(Facility!$H$5:$H$37,Facility!$B$5:$B$37,B72,Facility!$F$5:$F$37,C72),0)</f>
        <v>0.2465753424657534</v>
      </c>
      <c r="K72" s="47">
        <f>IF(G72=1,H72,C72)</f>
        <v>43738</v>
      </c>
      <c r="L72" s="91">
        <f>IF(G72=1,-I72,F72)</f>
        <v>-40</v>
      </c>
      <c r="M72" s="91">
        <f>IF(G72=1,F72+J72,F72)</f>
        <v>-40</v>
      </c>
      <c r="N72" s="47">
        <f>EOMONTH(C72,0)</f>
        <v>43830</v>
      </c>
      <c r="O72" s="92">
        <f>INDEX('R2K TR Index'!$C$5:$C$197,MATCH(N72,'R2K TR Index'!$B$5:$B$197,0))</f>
        <v>8437.9805</v>
      </c>
      <c r="P72" s="93">
        <f>INDEX('R2K TR Index'!$C$5:$C$197,MATCH('R2K TR Index'!$F$4,'R2K TR Index'!$B$5:$B$197,0))/O72</f>
        <v>1.9761802838961293</v>
      </c>
      <c r="Q72" s="91">
        <f>F72*P72</f>
        <v>-79.53448868612094</v>
      </c>
      <c r="R72" t="s" s="2">
        <v>385</v>
      </c>
    </row>
    <row r="73">
      <c r="B73" t="s">
        <v>5</v>
      </c>
      <c r="C73" s="66">
        <v>43830</v>
      </c>
      <c r="D73" t="s">
        <v>310</v>
      </c>
      <c r="E73" t="s">
        <v>366</v>
      </c>
      <c r="F73" s="88">
        <v>-3.537500000000001</v>
      </c>
      <c r="G73" s="29">
        <f>IF(ISNUMBER(SEARCH("Repayment of subscription facility",E73)),1,0)</f>
        <v>0</v>
      </c>
      <c r="H73" t="str" s="89">
        <f>IF(G73=1,SUMIFS(Facility!$C$5:$C$37,Facility!$B$5:$B$37,B73,Facility!$F$5:$F$37,C73),"")</f>
        <v/>
      </c>
      <c r="I73" s="90">
        <f>IF(G73=1,SUMIFS(Facility!$D$5:$D$37,Facility!$B$5:$B$37,B73,Facility!$F$5:$F$37,C73),0)</f>
        <v>0</v>
      </c>
      <c r="J73" s="90">
        <f>IF(G73=1,SUMIFS(Facility!$H$5:$H$37,Facility!$B$5:$B$37,B73,Facility!$F$5:$F$37,C73),0)</f>
        <v>0</v>
      </c>
      <c r="K73" s="47">
        <f>IF(G73=1,H73,C73)</f>
        <v>43830</v>
      </c>
      <c r="L73" s="91">
        <f>IF(G73=1,-I73,F73)</f>
        <v>-3.537500000000001</v>
      </c>
      <c r="M73" s="91">
        <f>IF(G73=1,F73+J73,F73)</f>
        <v>-3.537500000000001</v>
      </c>
      <c r="N73" s="47">
        <f>EOMONTH(C73,0)</f>
        <v>43830</v>
      </c>
      <c r="O73" s="92">
        <f>INDEX('R2K TR Index'!$C$5:$C$197,MATCH(N73,'R2K TR Index'!$B$5:$B$197,0))</f>
        <v>8437.9805</v>
      </c>
      <c r="P73" s="93">
        <f>INDEX('R2K TR Index'!$C$5:$C$197,MATCH('R2K TR Index'!$F$4,'R2K TR Index'!$B$5:$B$197,0))/O73</f>
        <v>1.9761802838961293</v>
      </c>
      <c r="Q73" s="91">
        <f>F73*P73</f>
        <v>-6.990737754282559</v>
      </c>
      <c r="R73" t="s" s="2">
        <v>386</v>
      </c>
    </row>
    <row r="74">
      <c r="B74" t="s">
        <v>5</v>
      </c>
      <c r="C74" s="66">
        <v>43920</v>
      </c>
      <c r="D74" t="s">
        <v>310</v>
      </c>
      <c r="E74" t="s">
        <v>369</v>
      </c>
      <c r="F74" s="88">
        <v>-50.30821917808219</v>
      </c>
      <c r="G74" s="29">
        <f>IF(ISNUMBER(SEARCH("Repayment of subscription facility",E74)),1,0)</f>
        <v>1</v>
      </c>
      <c r="H74" s="89">
        <f>IF(G74=1,SUMIFS(Facility!$C$5:$C$37,Facility!$B$5:$B$37,B74,Facility!$F$5:$F$37,C74),"")</f>
        <v>43830</v>
      </c>
      <c r="I74" s="90">
        <f>IF(G74=1,SUMIFS(Facility!$D$5:$D$37,Facility!$B$5:$B$37,B74,Facility!$F$5:$F$37,C74),0)</f>
        <v>50</v>
      </c>
      <c r="J74" s="90">
        <f>IF(G74=1,SUMIFS(Facility!$H$5:$H$37,Facility!$B$5:$B$37,B74,Facility!$F$5:$F$37,C74),0)</f>
        <v>0.3082191780821918</v>
      </c>
      <c r="K74" s="47">
        <f>IF(G74=1,H74,C74)</f>
        <v>43830</v>
      </c>
      <c r="L74" s="91">
        <f>IF(G74=1,-I74,F74)</f>
        <v>-50</v>
      </c>
      <c r="M74" s="91">
        <f>IF(G74=1,F74+J74,F74)</f>
        <v>-50</v>
      </c>
      <c r="N74" s="47">
        <f>EOMONTH(C74,0)</f>
        <v>43921</v>
      </c>
      <c r="O74" s="92">
        <f>INDEX('R2K TR Index'!$C$5:$C$197,MATCH(N74,'R2K TR Index'!$B$5:$B$197,0))</f>
        <v>5854.71</v>
      </c>
      <c r="P74" s="93">
        <f>INDEX('R2K TR Index'!$C$5:$C$197,MATCH('R2K TR Index'!$F$4,'R2K TR Index'!$B$5:$B$197,0))/O74</f>
        <v>2.8481292327032426</v>
      </c>
      <c r="Q74" s="91">
        <f>F74*P74</f>
        <v>-143.2843096863378</v>
      </c>
      <c r="R74" t="s" s="2">
        <v>387</v>
      </c>
    </row>
    <row r="75">
      <c r="B75" t="s">
        <v>5</v>
      </c>
      <c r="C75" s="66">
        <v>43921</v>
      </c>
      <c r="D75" t="s">
        <v>310</v>
      </c>
      <c r="E75" t="s">
        <v>366</v>
      </c>
      <c r="F75" s="88">
        <v>-3.377499999999998</v>
      </c>
      <c r="G75" s="29">
        <f>IF(ISNUMBER(SEARCH("Repayment of subscription facility",E75)),1,0)</f>
        <v>0</v>
      </c>
      <c r="H75" t="str" s="89">
        <f>IF(G75=1,SUMIFS(Facility!$C$5:$C$37,Facility!$B$5:$B$37,B75,Facility!$F$5:$F$37,C75),"")</f>
        <v/>
      </c>
      <c r="I75" s="90">
        <f>IF(G75=1,SUMIFS(Facility!$D$5:$D$37,Facility!$B$5:$B$37,B75,Facility!$F$5:$F$37,C75),0)</f>
        <v>0</v>
      </c>
      <c r="J75" s="90">
        <f>IF(G75=1,SUMIFS(Facility!$H$5:$H$37,Facility!$B$5:$B$37,B75,Facility!$F$5:$F$37,C75),0)</f>
        <v>0</v>
      </c>
      <c r="K75" s="47">
        <f>IF(G75=1,H75,C75)</f>
        <v>43921</v>
      </c>
      <c r="L75" s="91">
        <f>IF(G75=1,-I75,F75)</f>
        <v>-3.377499999999998</v>
      </c>
      <c r="M75" s="91">
        <f>IF(G75=1,F75+J75,F75)</f>
        <v>-3.377499999999998</v>
      </c>
      <c r="N75" s="47">
        <f>EOMONTH(C75,0)</f>
        <v>43921</v>
      </c>
      <c r="O75" s="92">
        <f>INDEX('R2K TR Index'!$C$5:$C$197,MATCH(N75,'R2K TR Index'!$B$5:$B$197,0))</f>
        <v>5854.71</v>
      </c>
      <c r="P75" s="93">
        <f>INDEX('R2K TR Index'!$C$5:$C$197,MATCH('R2K TR Index'!$F$4,'R2K TR Index'!$B$5:$B$197,0))/O75</f>
        <v>2.8481292327032426</v>
      </c>
      <c r="Q75" s="91">
        <f>F75*P75</f>
        <v>-9.619556483455197</v>
      </c>
      <c r="R75" t="s" s="2">
        <v>388</v>
      </c>
    </row>
    <row r="76">
      <c r="B76" t="s">
        <v>5</v>
      </c>
      <c r="C76" s="66">
        <v>44011</v>
      </c>
      <c r="D76" t="s">
        <v>310</v>
      </c>
      <c r="E76" t="s">
        <v>369</v>
      </c>
      <c r="F76" s="88">
        <v>-70.43150684931507</v>
      </c>
      <c r="G76" s="29">
        <f>IF(ISNUMBER(SEARCH("Repayment of subscription facility",E76)),1,0)</f>
        <v>1</v>
      </c>
      <c r="H76" s="89">
        <f>IF(G76=1,SUMIFS(Facility!$C$5:$C$37,Facility!$B$5:$B$37,B76,Facility!$F$5:$F$37,C76),"")</f>
        <v>43921</v>
      </c>
      <c r="I76" s="90">
        <f>IF(G76=1,SUMIFS(Facility!$D$5:$D$37,Facility!$B$5:$B$37,B76,Facility!$F$5:$F$37,C76),0)</f>
        <v>70</v>
      </c>
      <c r="J76" s="90">
        <f>IF(G76=1,SUMIFS(Facility!$H$5:$H$37,Facility!$B$5:$B$37,B76,Facility!$F$5:$F$37,C76),0)</f>
        <v>0.4315068493150685</v>
      </c>
      <c r="K76" s="47">
        <f>IF(G76=1,H76,C76)</f>
        <v>43921</v>
      </c>
      <c r="L76" s="91">
        <f>IF(G76=1,-I76,F76)</f>
        <v>-70</v>
      </c>
      <c r="M76" s="91">
        <f>IF(G76=1,F76+J76,F76)</f>
        <v>-70</v>
      </c>
      <c r="N76" s="47">
        <f>EOMONTH(C76,0)</f>
        <v>44012</v>
      </c>
      <c r="O76" s="92">
        <f>INDEX('R2K TR Index'!$C$5:$C$197,MATCH(N76,'R2K TR Index'!$B$5:$B$197,0))</f>
        <v>7342.8999</v>
      </c>
      <c r="P76" s="93">
        <f>INDEX('R2K TR Index'!$C$5:$C$197,MATCH('R2K TR Index'!$F$4,'R2K TR Index'!$B$5:$B$197,0))/O76</f>
        <v>2.2708971832776856</v>
      </c>
      <c r="Q76" s="91">
        <f>F76*P76</f>
        <v>-159.94271051811262</v>
      </c>
      <c r="R76" t="s" s="2">
        <v>389</v>
      </c>
    </row>
    <row r="77">
      <c r="B77" t="s">
        <v>5</v>
      </c>
      <c r="C77" s="66">
        <v>44012</v>
      </c>
      <c r="D77" t="s">
        <v>310</v>
      </c>
      <c r="E77" t="s">
        <v>366</v>
      </c>
      <c r="F77" s="88">
        <v>-3.9375</v>
      </c>
      <c r="G77" s="29">
        <f>IF(ISNUMBER(SEARCH("Repayment of subscription facility",E77)),1,0)</f>
        <v>0</v>
      </c>
      <c r="H77" t="str" s="89">
        <f>IF(G77=1,SUMIFS(Facility!$C$5:$C$37,Facility!$B$5:$B$37,B77,Facility!$F$5:$F$37,C77),"")</f>
        <v/>
      </c>
      <c r="I77" s="90">
        <f>IF(G77=1,SUMIFS(Facility!$D$5:$D$37,Facility!$B$5:$B$37,B77,Facility!$F$5:$F$37,C77),0)</f>
        <v>0</v>
      </c>
      <c r="J77" s="90">
        <f>IF(G77=1,SUMIFS(Facility!$H$5:$H$37,Facility!$B$5:$B$37,B77,Facility!$F$5:$F$37,C77),0)</f>
        <v>0</v>
      </c>
      <c r="K77" s="47">
        <f>IF(G77=1,H77,C77)</f>
        <v>44012</v>
      </c>
      <c r="L77" s="91">
        <f>IF(G77=1,-I77,F77)</f>
        <v>-3.9375</v>
      </c>
      <c r="M77" s="91">
        <f>IF(G77=1,F77+J77,F77)</f>
        <v>-3.9375</v>
      </c>
      <c r="N77" s="47">
        <f>EOMONTH(C77,0)</f>
        <v>44012</v>
      </c>
      <c r="O77" s="92">
        <f>INDEX('R2K TR Index'!$C$5:$C$197,MATCH(N77,'R2K TR Index'!$B$5:$B$197,0))</f>
        <v>7342.8999</v>
      </c>
      <c r="P77" s="93">
        <f>INDEX('R2K TR Index'!$C$5:$C$197,MATCH('R2K TR Index'!$F$4,'R2K TR Index'!$B$5:$B$197,0))/O77</f>
        <v>2.2708971832776856</v>
      </c>
      <c r="Q77" s="91">
        <f>F77*P77</f>
        <v>-8.941657659155887</v>
      </c>
      <c r="R77" t="s" s="2">
        <v>390</v>
      </c>
    </row>
    <row r="78">
      <c r="B78" t="s">
        <v>5</v>
      </c>
      <c r="C78" s="66">
        <v>44104</v>
      </c>
      <c r="D78" t="s">
        <v>310</v>
      </c>
      <c r="E78" t="s">
        <v>366</v>
      </c>
      <c r="F78" s="88">
        <v>-3.417500000000004</v>
      </c>
      <c r="G78" s="29">
        <f>IF(ISNUMBER(SEARCH("Repayment of subscription facility",E78)),1,0)</f>
        <v>0</v>
      </c>
      <c r="H78" t="str" s="89">
        <f>IF(G78=1,SUMIFS(Facility!$C$5:$C$37,Facility!$B$5:$B$37,B78,Facility!$F$5:$F$37,C78),"")</f>
        <v/>
      </c>
      <c r="I78" s="90">
        <f>IF(G78=1,SUMIFS(Facility!$D$5:$D$37,Facility!$B$5:$B$37,B78,Facility!$F$5:$F$37,C78),0)</f>
        <v>0</v>
      </c>
      <c r="J78" s="90">
        <f>IF(G78=1,SUMIFS(Facility!$H$5:$H$37,Facility!$B$5:$B$37,B78,Facility!$F$5:$F$37,C78),0)</f>
        <v>0</v>
      </c>
      <c r="K78" s="47">
        <f>IF(G78=1,H78,C78)</f>
        <v>44104</v>
      </c>
      <c r="L78" s="91">
        <f>IF(G78=1,-I78,F78)</f>
        <v>-3.417500000000004</v>
      </c>
      <c r="M78" s="91">
        <f>IF(G78=1,F78+J78,F78)</f>
        <v>-3.417500000000004</v>
      </c>
      <c r="N78" s="47">
        <f>EOMONTH(C78,0)</f>
        <v>44104</v>
      </c>
      <c r="O78" s="92">
        <f>INDEX('R2K TR Index'!$C$5:$C$197,MATCH(N78,'R2K TR Index'!$B$5:$B$197,0))</f>
        <v>7705.04</v>
      </c>
      <c r="P78" s="93">
        <f>INDEX('R2K TR Index'!$C$5:$C$197,MATCH('R2K TR Index'!$F$4,'R2K TR Index'!$B$5:$B$197,0))/O78</f>
        <v>2.1641640666369026</v>
      </c>
      <c r="Q78" s="91">
        <f>F78*P78</f>
        <v>-7.396030697731623</v>
      </c>
      <c r="R78" t="s" s="2">
        <v>391</v>
      </c>
    </row>
    <row r="79">
      <c r="B79" t="s">
        <v>5</v>
      </c>
      <c r="C79" s="66">
        <v>44194</v>
      </c>
      <c r="D79" t="s">
        <v>310</v>
      </c>
      <c r="E79" t="s">
        <v>369</v>
      </c>
      <c r="F79" s="88">
        <v>-56.47801369863021</v>
      </c>
      <c r="G79" s="29">
        <f>IF(ISNUMBER(SEARCH("Repayment of subscription facility",E79)),1,0)</f>
        <v>1</v>
      </c>
      <c r="H79" s="89">
        <f>IF(G79=1,SUMIFS(Facility!$C$5:$C$37,Facility!$B$5:$B$37,B79,Facility!$F$5:$F$37,C79),"")</f>
        <v>44104</v>
      </c>
      <c r="I79" s="90">
        <f>IF(G79=1,SUMIFS(Facility!$D$5:$D$37,Facility!$B$5:$B$37,B79,Facility!$F$5:$F$37,C79),0)</f>
        <v>65</v>
      </c>
      <c r="J79" s="90">
        <f>IF(G79=1,SUMIFS(Facility!$H$5:$H$37,Facility!$B$5:$B$37,B79,Facility!$F$5:$F$37,C79),0)</f>
        <v>0.4006849315068493</v>
      </c>
      <c r="K79" s="47">
        <f>IF(G79=1,H79,C79)</f>
        <v>44104</v>
      </c>
      <c r="L79" s="91">
        <f>IF(G79=1,-I79,F79)</f>
        <v>-65</v>
      </c>
      <c r="M79" s="91">
        <f>IF(G79=1,F79+J79,F79)</f>
        <v>-56.077328767123355</v>
      </c>
      <c r="N79" s="47">
        <f>EOMONTH(C79,0)</f>
        <v>44196</v>
      </c>
      <c r="O79" s="92">
        <f>INDEX('R2K TR Index'!$C$5:$C$197,MATCH(N79,'R2K TR Index'!$B$5:$B$197,0))</f>
        <v>10122.2695</v>
      </c>
      <c r="P79" s="93">
        <f>INDEX('R2K TR Index'!$C$5:$C$197,MATCH('R2K TR Index'!$F$4,'R2K TR Index'!$B$5:$B$197,0))/O79</f>
        <v>1.647354943473892</v>
      </c>
      <c r="Q79" s="91">
        <f>F79*P79</f>
        <v>-93.03933506402467</v>
      </c>
      <c r="R79" t="s" s="2">
        <v>392</v>
      </c>
    </row>
    <row r="80">
      <c r="B80" t="s">
        <v>5</v>
      </c>
      <c r="C80" s="66">
        <v>44469</v>
      </c>
      <c r="D80" t="s">
        <v>328</v>
      </c>
      <c r="E80" t="s">
        <v>329</v>
      </c>
      <c r="F80" s="88">
        <v>540.3273287671234</v>
      </c>
      <c r="G80" s="29">
        <f>IF(ISNUMBER(SEARCH("Repayment of subscription facility",E80)),1,0)</f>
        <v>0</v>
      </c>
      <c r="H80" t="str" s="89">
        <f>IF(G80=1,SUMIFS(Facility!$C$5:$C$37,Facility!$B$5:$B$37,B80,Facility!$F$5:$F$37,C80),"")</f>
        <v/>
      </c>
      <c r="I80" s="90">
        <f>IF(G80=1,SUMIFS(Facility!$D$5:$D$37,Facility!$B$5:$B$37,B80,Facility!$F$5:$F$37,C80),0)</f>
        <v>0</v>
      </c>
      <c r="J80" s="90">
        <f>IF(G80=1,SUMIFS(Facility!$H$5:$H$37,Facility!$B$5:$B$37,B80,Facility!$F$5:$F$37,C80),0)</f>
        <v>0</v>
      </c>
      <c r="K80" s="47">
        <f>IF(G80=1,H80,C80)</f>
        <v>44469</v>
      </c>
      <c r="L80" s="91">
        <f>IF(G80=1,-I80,F80)</f>
        <v>540.3273287671234</v>
      </c>
      <c r="M80" s="91">
        <f>IF(G80=1,F80+J80,F80)</f>
        <v>540.3273287671234</v>
      </c>
      <c r="N80" s="47">
        <f>EOMONTH(C80,0)</f>
        <v>44469</v>
      </c>
      <c r="O80" s="92">
        <f>INDEX('R2K TR Index'!$C$5:$C$197,MATCH(N80,'R2K TR Index'!$B$5:$B$197,0))</f>
        <v>11378.6104</v>
      </c>
      <c r="P80" s="93">
        <f>INDEX('R2K TR Index'!$C$5:$C$197,MATCH('R2K TR Index'!$F$4,'R2K TR Index'!$B$5:$B$197,0))/O80</f>
        <v>1.4654663543098376</v>
      </c>
      <c r="Q80" s="91">
        <f>F80*P80</f>
        <v>791.8315206223293</v>
      </c>
      <c r="R80" t="s" s="2">
        <v>393</v>
      </c>
    </row>
    <row r="81">
      <c r="B81" t="s">
        <v>5</v>
      </c>
      <c r="C81" s="66">
        <v>44742</v>
      </c>
      <c r="D81" t="s">
        <v>328</v>
      </c>
      <c r="E81" t="s">
        <v>329</v>
      </c>
      <c r="F81" s="88">
        <v>228.1875</v>
      </c>
      <c r="G81" s="29">
        <f>IF(ISNUMBER(SEARCH("Repayment of subscription facility",E81)),1,0)</f>
        <v>0</v>
      </c>
      <c r="H81" t="str" s="89">
        <f>IF(G81=1,SUMIFS(Facility!$C$5:$C$37,Facility!$B$5:$B$37,B81,Facility!$F$5:$F$37,C81),"")</f>
        <v/>
      </c>
      <c r="I81" s="90">
        <f>IF(G81=1,SUMIFS(Facility!$D$5:$D$37,Facility!$B$5:$B$37,B81,Facility!$F$5:$F$37,C81),0)</f>
        <v>0</v>
      </c>
      <c r="J81" s="90">
        <f>IF(G81=1,SUMIFS(Facility!$H$5:$H$37,Facility!$B$5:$B$37,B81,Facility!$F$5:$F$37,C81),0)</f>
        <v>0</v>
      </c>
      <c r="K81" s="47">
        <f>IF(G81=1,H81,C81)</f>
        <v>44742</v>
      </c>
      <c r="L81" s="91">
        <f>IF(G81=1,-I81,F81)</f>
        <v>228.1875</v>
      </c>
      <c r="M81" s="91">
        <f>IF(G81=1,F81+J81,F81)</f>
        <v>228.1875</v>
      </c>
      <c r="N81" s="47">
        <f>EOMONTH(C81,0)</f>
        <v>44742</v>
      </c>
      <c r="O81" s="92">
        <f>INDEX('R2K TR Index'!$C$5:$C$197,MATCH(N81,'R2K TR Index'!$B$5:$B$197,0))</f>
        <v>8899.54</v>
      </c>
      <c r="P81" s="93">
        <f>INDEX('R2K TR Index'!$C$5:$C$197,MATCH('R2K TR Index'!$F$4,'R2K TR Index'!$B$5:$B$197,0))/O81</f>
        <v>1.873689055838841</v>
      </c>
      <c r="Q81" s="91">
        <f>F81*P81</f>
        <v>427.55242142922555</v>
      </c>
      <c r="R81" t="s" s="2">
        <v>394</v>
      </c>
    </row>
    <row r="82">
      <c r="B82" t="s">
        <v>5</v>
      </c>
      <c r="C82" s="66">
        <v>45016</v>
      </c>
      <c r="D82" t="s">
        <v>328</v>
      </c>
      <c r="E82" t="s">
        <v>329</v>
      </c>
      <c r="F82" s="88">
        <v>148.7770342465753</v>
      </c>
      <c r="G82" s="29">
        <f>IF(ISNUMBER(SEARCH("Repayment of subscription facility",E82)),1,0)</f>
        <v>0</v>
      </c>
      <c r="H82" t="str" s="89">
        <f>IF(G82=1,SUMIFS(Facility!$C$5:$C$37,Facility!$B$5:$B$37,B82,Facility!$F$5:$F$37,C82),"")</f>
        <v/>
      </c>
      <c r="I82" s="90">
        <f>IF(G82=1,SUMIFS(Facility!$D$5:$D$37,Facility!$B$5:$B$37,B82,Facility!$F$5:$F$37,C82),0)</f>
        <v>0</v>
      </c>
      <c r="J82" s="90">
        <f>IF(G82=1,SUMIFS(Facility!$H$5:$H$37,Facility!$B$5:$B$37,B82,Facility!$F$5:$F$37,C82),0)</f>
        <v>0</v>
      </c>
      <c r="K82" s="47">
        <f>IF(G82=1,H82,C82)</f>
        <v>45016</v>
      </c>
      <c r="L82" s="91">
        <f>IF(G82=1,-I82,F82)</f>
        <v>148.7770342465753</v>
      </c>
      <c r="M82" s="91">
        <f>IF(G82=1,F82+J82,F82)</f>
        <v>148.7770342465753</v>
      </c>
      <c r="N82" s="47">
        <f>EOMONTH(C82,0)</f>
        <v>45016</v>
      </c>
      <c r="O82" s="92">
        <f>INDEX('R2K TR Index'!$C$5:$C$197,MATCH(N82,'R2K TR Index'!$B$5:$B$197,0))</f>
        <v>9500.2695</v>
      </c>
      <c r="P82" s="93">
        <f>INDEX('R2K TR Index'!$C$5:$C$197,MATCH('R2K TR Index'!$F$4,'R2K TR Index'!$B$5:$B$197,0))/O82</f>
        <v>1.7552102811399193</v>
      </c>
      <c r="Q82" s="91">
        <f>F82*P82</f>
        <v>261.13498010709486</v>
      </c>
      <c r="R82" t="s" s="2">
        <v>395</v>
      </c>
    </row>
    <row r="83">
      <c r="B83" t="s">
        <v>5</v>
      </c>
      <c r="C83" s="66">
        <v>45107</v>
      </c>
      <c r="D83" t="s">
        <v>328</v>
      </c>
      <c r="E83" t="s">
        <v>329</v>
      </c>
      <c r="F83" s="88">
        <v>138.495</v>
      </c>
      <c r="G83" s="29">
        <f>IF(ISNUMBER(SEARCH("Repayment of subscription facility",E83)),1,0)</f>
        <v>0</v>
      </c>
      <c r="H83" t="str" s="89">
        <f>IF(G83=1,SUMIFS(Facility!$C$5:$C$37,Facility!$B$5:$B$37,B83,Facility!$F$5:$F$37,C83),"")</f>
        <v/>
      </c>
      <c r="I83" s="90">
        <f>IF(G83=1,SUMIFS(Facility!$D$5:$D$37,Facility!$B$5:$B$37,B83,Facility!$F$5:$F$37,C83),0)</f>
        <v>0</v>
      </c>
      <c r="J83" s="90">
        <f>IF(G83=1,SUMIFS(Facility!$H$5:$H$37,Facility!$B$5:$B$37,B83,Facility!$F$5:$F$37,C83),0)</f>
        <v>0</v>
      </c>
      <c r="K83" s="47">
        <f>IF(G83=1,H83,C83)</f>
        <v>45107</v>
      </c>
      <c r="L83" s="91">
        <f>IF(G83=1,-I83,F83)</f>
        <v>138.495</v>
      </c>
      <c r="M83" s="91">
        <f>IF(G83=1,F83+J83,F83)</f>
        <v>138.495</v>
      </c>
      <c r="N83" s="47">
        <f>EOMONTH(C83,0)</f>
        <v>45107</v>
      </c>
      <c r="O83" s="92">
        <f>INDEX('R2K TR Index'!$C$5:$C$197,MATCH(N83,'R2K TR Index'!$B$5:$B$197,0))</f>
        <v>9994.7803</v>
      </c>
      <c r="P83" s="93">
        <f>INDEX('R2K TR Index'!$C$5:$C$197,MATCH('R2K TR Index'!$F$4,'R2K TR Index'!$B$5:$B$197,0))/O83</f>
        <v>1.6683679079969373</v>
      </c>
      <c r="Q83" s="91">
        <f>F83*P83</f>
        <v>231.06061341803584</v>
      </c>
      <c r="R83" t="s" s="2">
        <v>396</v>
      </c>
    </row>
    <row r="84">
      <c r="B84" t="s">
        <v>5</v>
      </c>
      <c r="C84" s="66">
        <v>45382</v>
      </c>
      <c r="D84" t="s">
        <v>328</v>
      </c>
      <c r="E84" t="s">
        <v>329</v>
      </c>
      <c r="F84" s="88">
        <v>107.65</v>
      </c>
      <c r="G84" s="29">
        <f>IF(ISNUMBER(SEARCH("Repayment of subscription facility",E84)),1,0)</f>
        <v>0</v>
      </c>
      <c r="H84" t="str" s="89">
        <f>IF(G84=1,SUMIFS(Facility!$C$5:$C$37,Facility!$B$5:$B$37,B84,Facility!$F$5:$F$37,C84),"")</f>
        <v/>
      </c>
      <c r="I84" s="90">
        <f>IF(G84=1,SUMIFS(Facility!$D$5:$D$37,Facility!$B$5:$B$37,B84,Facility!$F$5:$F$37,C84),0)</f>
        <v>0</v>
      </c>
      <c r="J84" s="90">
        <f>IF(G84=1,SUMIFS(Facility!$H$5:$H$37,Facility!$B$5:$B$37,B84,Facility!$F$5:$F$37,C84),0)</f>
        <v>0</v>
      </c>
      <c r="K84" s="47">
        <f>IF(G84=1,H84,C84)</f>
        <v>45382</v>
      </c>
      <c r="L84" s="91">
        <f>IF(G84=1,-I84,F84)</f>
        <v>107.65</v>
      </c>
      <c r="M84" s="91">
        <f>IF(G84=1,F84+J84,F84)</f>
        <v>107.65</v>
      </c>
      <c r="N84" s="47">
        <f>EOMONTH(C84,0)</f>
        <v>45382</v>
      </c>
      <c r="O84" s="92">
        <f>INDEX('R2K TR Index'!$C$5:$C$197,MATCH(N84,'R2K TR Index'!$B$5:$B$197,0))</f>
        <v>11372.6299</v>
      </c>
      <c r="P84" s="93">
        <f>INDEX('R2K TR Index'!$C$5:$C$197,MATCH('R2K TR Index'!$F$4,'R2K TR Index'!$B$5:$B$197,0))/O84</f>
        <v>1.4662369958948547</v>
      </c>
      <c r="Q84" s="91">
        <f>F84*P84</f>
        <v>157.84041260808112</v>
      </c>
      <c r="R84" t="s" s="2">
        <v>397</v>
      </c>
    </row>
    <row r="85">
      <c r="B85" t="s">
        <v>5</v>
      </c>
      <c r="C85" s="66">
        <v>45473</v>
      </c>
      <c r="D85" t="s">
        <v>328</v>
      </c>
      <c r="E85" t="s">
        <v>329</v>
      </c>
      <c r="F85" s="88">
        <v>118.84</v>
      </c>
      <c r="G85" s="29">
        <f>IF(ISNUMBER(SEARCH("Repayment of subscription facility",E85)),1,0)</f>
        <v>0</v>
      </c>
      <c r="H85" t="str" s="89">
        <f>IF(G85=1,SUMIFS(Facility!$C$5:$C$37,Facility!$B$5:$B$37,B85,Facility!$F$5:$F$37,C85),"")</f>
        <v/>
      </c>
      <c r="I85" s="90">
        <f>IF(G85=1,SUMIFS(Facility!$D$5:$D$37,Facility!$B$5:$B$37,B85,Facility!$F$5:$F$37,C85),0)</f>
        <v>0</v>
      </c>
      <c r="J85" s="90">
        <f>IF(G85=1,SUMIFS(Facility!$H$5:$H$37,Facility!$B$5:$B$37,B85,Facility!$F$5:$F$37,C85),0)</f>
        <v>0</v>
      </c>
      <c r="K85" s="47">
        <f>IF(G85=1,H85,C85)</f>
        <v>45473</v>
      </c>
      <c r="L85" s="91">
        <f>IF(G85=1,-I85,F85)</f>
        <v>118.84</v>
      </c>
      <c r="M85" s="91">
        <f>IF(G85=1,F85+J85,F85)</f>
        <v>118.84</v>
      </c>
      <c r="N85" s="47">
        <f>EOMONTH(C85,0)</f>
        <v>45473</v>
      </c>
      <c r="O85" s="92">
        <f>INDEX('R2K TR Index'!$C$5:$C$197,MATCH(N85,'R2K TR Index'!$B$5:$B$197,0))</f>
        <v>10999.8701</v>
      </c>
      <c r="P85" s="93">
        <f>INDEX('R2K TR Index'!$C$5:$C$197,MATCH('R2K TR Index'!$F$4,'R2K TR Index'!$B$5:$B$197,0))/O85</f>
        <v>1.5159243289609394</v>
      </c>
      <c r="Q85" s="91">
        <f>F85*P85</f>
        <v>180.15244725371804</v>
      </c>
      <c r="R85" t="s" s="2">
        <v>398</v>
      </c>
    </row>
    <row r="86">
      <c r="B86" t="s">
        <v>5</v>
      </c>
      <c r="C86" s="66">
        <v>45747</v>
      </c>
      <c r="D86" t="s">
        <v>328</v>
      </c>
      <c r="E86" t="s">
        <v>329</v>
      </c>
      <c r="F86" s="88">
        <v>76.66999999999999</v>
      </c>
      <c r="G86" s="29">
        <f>IF(ISNUMBER(SEARCH("Repayment of subscription facility",E86)),1,0)</f>
        <v>0</v>
      </c>
      <c r="H86" t="str" s="89">
        <f>IF(G86=1,SUMIFS(Facility!$C$5:$C$37,Facility!$B$5:$B$37,B86,Facility!$F$5:$F$37,C86),"")</f>
        <v/>
      </c>
      <c r="I86" s="90">
        <f>IF(G86=1,SUMIFS(Facility!$D$5:$D$37,Facility!$B$5:$B$37,B86,Facility!$F$5:$F$37,C86),0)</f>
        <v>0</v>
      </c>
      <c r="J86" s="90">
        <f>IF(G86=1,SUMIFS(Facility!$H$5:$H$37,Facility!$B$5:$B$37,B86,Facility!$F$5:$F$37,C86),0)</f>
        <v>0</v>
      </c>
      <c r="K86" s="47">
        <f>IF(G86=1,H86,C86)</f>
        <v>45747</v>
      </c>
      <c r="L86" s="91">
        <f>IF(G86=1,-I86,F86)</f>
        <v>76.66999999999999</v>
      </c>
      <c r="M86" s="91">
        <f>IF(G86=1,F86+J86,F86)</f>
        <v>76.66999999999999</v>
      </c>
      <c r="N86" s="47">
        <f>EOMONTH(C86,0)</f>
        <v>45747</v>
      </c>
      <c r="O86" s="92">
        <f>INDEX('R2K TR Index'!$C$5:$C$197,MATCH(N86,'R2K TR Index'!$B$5:$B$197,0))</f>
        <v>10916.9004</v>
      </c>
      <c r="P86" s="93">
        <f>INDEX('R2K TR Index'!$C$5:$C$197,MATCH('R2K TR Index'!$F$4,'R2K TR Index'!$B$5:$B$197,0))/O86</f>
        <v>1.5274455284029156</v>
      </c>
      <c r="Q86" s="91">
        <f>F86*P86</f>
        <v>117.10924866265152</v>
      </c>
      <c r="R86" t="s" s="2">
        <v>399</v>
      </c>
    </row>
    <row r="87">
      <c r="B87" t="s">
        <v>5</v>
      </c>
      <c r="C87" s="66">
        <v>46203</v>
      </c>
      <c r="D87" t="s">
        <v>338</v>
      </c>
      <c r="E87" t="s">
        <v>339</v>
      </c>
      <c r="F87" s="88">
        <v>306.95</v>
      </c>
      <c r="G87" s="29">
        <f>IF(ISNUMBER(SEARCH("Repayment of subscription facility",E87)),1,0)</f>
        <v>0</v>
      </c>
      <c r="H87" t="str" s="89">
        <f>IF(G87=1,SUMIFS(Facility!$C$5:$C$37,Facility!$B$5:$B$37,B87,Facility!$F$5:$F$37,C87),"")</f>
        <v/>
      </c>
      <c r="I87" s="90">
        <f>IF(G87=1,SUMIFS(Facility!$D$5:$D$37,Facility!$B$5:$B$37,B87,Facility!$F$5:$F$37,C87),0)</f>
        <v>0</v>
      </c>
      <c r="J87" s="90">
        <f>IF(G87=1,SUMIFS(Facility!$H$5:$H$37,Facility!$B$5:$B$37,B87,Facility!$F$5:$F$37,C87),0)</f>
        <v>0</v>
      </c>
      <c r="K87" s="47">
        <f>IF(G87=1,H87,C87)</f>
        <v>46203</v>
      </c>
      <c r="L87" s="91">
        <f>IF(G87=1,-I87,F87)</f>
        <v>306.95</v>
      </c>
      <c r="M87" s="91">
        <f>IF(G87=1,F87+J87,F87)</f>
        <v>306.95</v>
      </c>
      <c r="N87" s="47">
        <f>EOMONTH(C87,0)</f>
        <v>46203</v>
      </c>
      <c r="O87" s="92">
        <f>INDEX('R2K TR Index'!$C$5:$C$197,MATCH(N87,'R2K TR Index'!$B$5:$B$197,0))</f>
        <v>16674.9707</v>
      </c>
      <c r="P87" s="93">
        <f>INDEX('R2K TR Index'!$C$5:$C$197,MATCH('R2K TR Index'!$F$4,'R2K TR Index'!$B$5:$B$197,0))/O87</f>
        <v>1</v>
      </c>
      <c r="Q87" s="91">
        <f>F87*P87</f>
        <v>306.95</v>
      </c>
      <c r="R87" t="s" s="2">
        <v>400</v>
      </c>
    </row>
    <row r="88">
      <c r="B88" t="s">
        <v>6</v>
      </c>
      <c r="C88" s="66">
        <v>44646</v>
      </c>
      <c r="D88" t="s">
        <v>310</v>
      </c>
      <c r="E88" t="s">
        <v>369</v>
      </c>
      <c r="F88" s="88">
        <v>-6.628253424657534</v>
      </c>
      <c r="G88" s="29">
        <f>IF(ISNUMBER(SEARCH("Repayment of subscription facility",E88)),1,0)</f>
        <v>1</v>
      </c>
      <c r="H88" s="89">
        <f>IF(G88=1,SUMIFS(Facility!$C$5:$C$37,Facility!$B$5:$B$37,B88,Facility!$F$5:$F$37,C88),"")</f>
        <v>44286</v>
      </c>
      <c r="I88" s="90">
        <f>IF(G88=1,SUMIFS(Facility!$D$5:$D$37,Facility!$B$5:$B$37,B88,Facility!$F$5:$F$37,C88),0)</f>
        <v>6.46875</v>
      </c>
      <c r="J88" s="90">
        <f>IF(G88=1,SUMIFS(Facility!$H$5:$H$37,Facility!$B$5:$B$37,B88,Facility!$F$5:$F$37,C88),0)</f>
        <v>0.1595034246575343</v>
      </c>
      <c r="K88" s="47">
        <f>IF(G88=1,H88,C88)</f>
        <v>44286</v>
      </c>
      <c r="L88" s="91">
        <f>IF(G88=1,-I88,F88)</f>
        <v>-6.46875</v>
      </c>
      <c r="M88" s="91">
        <f>IF(G88=1,F88+J88,F88)</f>
        <v>-6.46875</v>
      </c>
      <c r="N88" s="47">
        <f>EOMONTH(C88,0)</f>
        <v>44651</v>
      </c>
      <c r="O88" s="92">
        <f>INDEX('R2K TR Index'!$C$5:$C$197,MATCH(N88,'R2K TR Index'!$B$5:$B$197,0))</f>
        <v>10747.6104</v>
      </c>
      <c r="P88" s="93">
        <f>INDEX('R2K TR Index'!$C$5:$C$197,MATCH('R2K TR Index'!$F$4,'R2K TR Index'!$B$5:$B$197,0))/O88</f>
        <v>1.551504946625159</v>
      </c>
      <c r="Q88" s="91">
        <f>F88*P88</f>
        <v>-10.283767975841315</v>
      </c>
      <c r="R88" t="s" s="2">
        <v>401</v>
      </c>
    </row>
    <row r="89">
      <c r="B89" t="s">
        <v>6</v>
      </c>
      <c r="C89" s="66">
        <v>44737</v>
      </c>
      <c r="D89" t="s">
        <v>310</v>
      </c>
      <c r="E89" t="s">
        <v>369</v>
      </c>
      <c r="F89" s="88">
        <v>-128.6034863013699</v>
      </c>
      <c r="G89" s="29">
        <f>IF(ISNUMBER(SEARCH("Repayment of subscription facility",E89)),1,0)</f>
        <v>1</v>
      </c>
      <c r="H89" s="89">
        <f>IF(G89=1,SUMIFS(Facility!$C$5:$C$37,Facility!$B$5:$B$37,B89,Facility!$F$5:$F$37,C89),"")</f>
        <v>44377</v>
      </c>
      <c r="I89" s="90">
        <f>IF(G89=1,SUMIFS(Facility!$D$5:$D$37,Facility!$B$5:$B$37,B89,Facility!$F$5:$F$37,C89),0)</f>
        <v>125.50875</v>
      </c>
      <c r="J89" s="90">
        <f>IF(G89=1,SUMIFS(Facility!$H$5:$H$37,Facility!$B$5:$B$37,B89,Facility!$F$5:$F$37,C89),0)</f>
        <v>3.094736301369863</v>
      </c>
      <c r="K89" s="47">
        <f>IF(G89=1,H89,C89)</f>
        <v>44377</v>
      </c>
      <c r="L89" s="91">
        <f>IF(G89=1,-I89,F89)</f>
        <v>-125.50875</v>
      </c>
      <c r="M89" s="91">
        <f>IF(G89=1,F89+J89,F89)</f>
        <v>-125.50875000000005</v>
      </c>
      <c r="N89" s="47">
        <f>EOMONTH(C89,0)</f>
        <v>44742</v>
      </c>
      <c r="O89" s="92">
        <f>INDEX('R2K TR Index'!$C$5:$C$197,MATCH(N89,'R2K TR Index'!$B$5:$B$197,0))</f>
        <v>8899.54</v>
      </c>
      <c r="P89" s="93">
        <f>INDEX('R2K TR Index'!$C$5:$C$197,MATCH('R2K TR Index'!$F$4,'R2K TR Index'!$B$5:$B$197,0))/O89</f>
        <v>1.873689055838841</v>
      </c>
      <c r="Q89" s="91">
        <f>F89*P89</f>
        <v>-240.9629448255971</v>
      </c>
      <c r="R89" t="s" s="2">
        <v>402</v>
      </c>
    </row>
    <row r="90">
      <c r="B90" t="s">
        <v>6</v>
      </c>
      <c r="C90" s="66">
        <v>44829</v>
      </c>
      <c r="D90" t="s">
        <v>310</v>
      </c>
      <c r="E90" t="s">
        <v>369</v>
      </c>
      <c r="F90" s="88">
        <v>-108.2742808219178</v>
      </c>
      <c r="G90" s="29">
        <f>IF(ISNUMBER(SEARCH("Repayment of subscription facility",E90)),1,0)</f>
        <v>1</v>
      </c>
      <c r="H90" s="89">
        <f>IF(G90=1,SUMIFS(Facility!$C$5:$C$37,Facility!$B$5:$B$37,B90,Facility!$F$5:$F$37,C90),"")</f>
        <v>44469</v>
      </c>
      <c r="I90" s="90">
        <f>IF(G90=1,SUMIFS(Facility!$D$5:$D$37,Facility!$B$5:$B$37,B90,Facility!$F$5:$F$37,C90),0)</f>
        <v>105.66875</v>
      </c>
      <c r="J90" s="90">
        <f>IF(G90=1,SUMIFS(Facility!$H$5:$H$37,Facility!$B$5:$B$37,B90,Facility!$F$5:$F$37,C90),0)</f>
        <v>2.605530821917808</v>
      </c>
      <c r="K90" s="47">
        <f>IF(G90=1,H90,C90)</f>
        <v>44469</v>
      </c>
      <c r="L90" s="91">
        <f>IF(G90=1,-I90,F90)</f>
        <v>-105.66875</v>
      </c>
      <c r="M90" s="91">
        <f>IF(G90=1,F90+J90,F90)</f>
        <v>-105.66874999999999</v>
      </c>
      <c r="N90" s="47">
        <f>EOMONTH(C90,0)</f>
        <v>44834</v>
      </c>
      <c r="O90" s="92">
        <f>INDEX('R2K TR Index'!$C$5:$C$197,MATCH(N90,'R2K TR Index'!$B$5:$B$197,0))</f>
        <v>8704.8896</v>
      </c>
      <c r="P90" s="93">
        <f>INDEX('R2K TR Index'!$C$5:$C$197,MATCH('R2K TR Index'!$F$4,'R2K TR Index'!$B$5:$B$197,0))/O90</f>
        <v>1.9155866950914577</v>
      </c>
      <c r="Q90" s="91">
        <f>F90*P90</f>
        <v>-207.4087717630619</v>
      </c>
      <c r="R90" t="s" s="2">
        <v>403</v>
      </c>
    </row>
    <row r="91">
      <c r="B91" t="s">
        <v>6</v>
      </c>
      <c r="C91" s="66">
        <v>44921</v>
      </c>
      <c r="D91" t="s">
        <v>310</v>
      </c>
      <c r="E91" t="s">
        <v>369</v>
      </c>
      <c r="F91" s="88">
        <v>-6.628253424657534</v>
      </c>
      <c r="G91" s="29">
        <f>IF(ISNUMBER(SEARCH("Repayment of subscription facility",E91)),1,0)</f>
        <v>1</v>
      </c>
      <c r="H91" s="89">
        <f>IF(G91=1,SUMIFS(Facility!$C$5:$C$37,Facility!$B$5:$B$37,B91,Facility!$F$5:$F$37,C91),"")</f>
        <v>44561</v>
      </c>
      <c r="I91" s="90">
        <f>IF(G91=1,SUMIFS(Facility!$D$5:$D$37,Facility!$B$5:$B$37,B91,Facility!$F$5:$F$37,C91),0)</f>
        <v>6.46875</v>
      </c>
      <c r="J91" s="90">
        <f>IF(G91=1,SUMIFS(Facility!$H$5:$H$37,Facility!$B$5:$B$37,B91,Facility!$F$5:$F$37,C91),0)</f>
        <v>0.1595034246575343</v>
      </c>
      <c r="K91" s="47">
        <f>IF(G91=1,H91,C91)</f>
        <v>44561</v>
      </c>
      <c r="L91" s="91">
        <f>IF(G91=1,-I91,F91)</f>
        <v>-6.46875</v>
      </c>
      <c r="M91" s="91">
        <f>IF(G91=1,F91+J91,F91)</f>
        <v>-6.46875</v>
      </c>
      <c r="N91" s="47">
        <f>EOMONTH(C91,0)</f>
        <v>44926</v>
      </c>
      <c r="O91" s="92">
        <f>INDEX('R2K TR Index'!$C$5:$C$197,MATCH(N91,'R2K TR Index'!$B$5:$B$197,0))</f>
        <v>9247.0996</v>
      </c>
      <c r="P91" s="93">
        <f>INDEX('R2K TR Index'!$C$5:$C$197,MATCH('R2K TR Index'!$F$4,'R2K TR Index'!$B$5:$B$197,0))/O91</f>
        <v>1.8032649610478946</v>
      </c>
      <c r="Q91" s="91">
        <f>F91*P91</f>
        <v>-11.952497153630642</v>
      </c>
      <c r="R91" t="s" s="2">
        <v>404</v>
      </c>
    </row>
    <row r="92">
      <c r="B92" t="s">
        <v>6</v>
      </c>
      <c r="C92" s="66">
        <v>45011</v>
      </c>
      <c r="D92" t="s">
        <v>310</v>
      </c>
      <c r="E92" t="s">
        <v>369</v>
      </c>
      <c r="F92" s="88">
        <v>-118.4388835616438</v>
      </c>
      <c r="G92" s="29">
        <f>IF(ISNUMBER(SEARCH("Repayment of subscription facility",E92)),1,0)</f>
        <v>1</v>
      </c>
      <c r="H92" s="89">
        <f>IF(G92=1,SUMIFS(Facility!$C$5:$C$37,Facility!$B$5:$B$37,B92,Facility!$F$5:$F$37,C92),"")</f>
        <v>44651</v>
      </c>
      <c r="I92" s="90">
        <f>IF(G92=1,SUMIFS(Facility!$D$5:$D$37,Facility!$B$5:$B$37,B92,Facility!$F$5:$F$37,C92),0)</f>
        <v>115.58875</v>
      </c>
      <c r="J92" s="90">
        <f>IF(G92=1,SUMIFS(Facility!$H$5:$H$37,Facility!$B$5:$B$37,B92,Facility!$F$5:$F$37,C92),0)</f>
        <v>2.850133561643835</v>
      </c>
      <c r="K92" s="47">
        <f>IF(G92=1,H92,C92)</f>
        <v>44651</v>
      </c>
      <c r="L92" s="91">
        <f>IF(G92=1,-I92,F92)</f>
        <v>-115.58875</v>
      </c>
      <c r="M92" s="91">
        <f>IF(G92=1,F92+J92,F92)</f>
        <v>-115.58874999999998</v>
      </c>
      <c r="N92" s="47">
        <f>EOMONTH(C92,0)</f>
        <v>45016</v>
      </c>
      <c r="O92" s="92">
        <f>INDEX('R2K TR Index'!$C$5:$C$197,MATCH(N92,'R2K TR Index'!$B$5:$B$197,0))</f>
        <v>9500.2695</v>
      </c>
      <c r="P92" s="93">
        <f>INDEX('R2K TR Index'!$C$5:$C$197,MATCH('R2K TR Index'!$F$4,'R2K TR Index'!$B$5:$B$197,0))/O92</f>
        <v>1.7552102811399193</v>
      </c>
      <c r="Q92" s="91">
        <f>F92*P92</f>
        <v>-207.88514611413098</v>
      </c>
      <c r="R92" t="s" s="2">
        <v>405</v>
      </c>
    </row>
    <row r="93">
      <c r="B93" t="s">
        <v>6</v>
      </c>
      <c r="C93" s="66">
        <v>45102</v>
      </c>
      <c r="D93" t="s">
        <v>310</v>
      </c>
      <c r="E93" t="s">
        <v>369</v>
      </c>
      <c r="F93" s="88">
        <v>-113.3565821917808</v>
      </c>
      <c r="G93" s="29">
        <f>IF(ISNUMBER(SEARCH("Repayment of subscription facility",E93)),1,0)</f>
        <v>1</v>
      </c>
      <c r="H93" s="89">
        <f>IF(G93=1,SUMIFS(Facility!$C$5:$C$37,Facility!$B$5:$B$37,B93,Facility!$F$5:$F$37,C93),"")</f>
        <v>44742</v>
      </c>
      <c r="I93" s="90">
        <f>IF(G93=1,SUMIFS(Facility!$D$5:$D$37,Facility!$B$5:$B$37,B93,Facility!$F$5:$F$37,C93),0)</f>
        <v>110.62875</v>
      </c>
      <c r="J93" s="90">
        <f>IF(G93=1,SUMIFS(Facility!$H$5:$H$37,Facility!$B$5:$B$37,B93,Facility!$F$5:$F$37,C93),0)</f>
        <v>2.727832191780822</v>
      </c>
      <c r="K93" s="47">
        <f>IF(G93=1,H93,C93)</f>
        <v>44742</v>
      </c>
      <c r="L93" s="91">
        <f>IF(G93=1,-I93,F93)</f>
        <v>-110.62875</v>
      </c>
      <c r="M93" s="91">
        <f>IF(G93=1,F93+J93,F93)</f>
        <v>-110.62874999999998</v>
      </c>
      <c r="N93" s="47">
        <f>EOMONTH(C93,0)</f>
        <v>45107</v>
      </c>
      <c r="O93" s="92">
        <f>INDEX('R2K TR Index'!$C$5:$C$197,MATCH(N93,'R2K TR Index'!$B$5:$B$197,0))</f>
        <v>9994.7803</v>
      </c>
      <c r="P93" s="93">
        <f>INDEX('R2K TR Index'!$C$5:$C$197,MATCH('R2K TR Index'!$F$4,'R2K TR Index'!$B$5:$B$197,0))/O93</f>
        <v>1.6683679079969373</v>
      </c>
      <c r="Q93" s="91">
        <f>F93*P93</f>
        <v>-189.1204838889842</v>
      </c>
      <c r="R93" t="s" s="2">
        <v>406</v>
      </c>
    </row>
    <row r="94">
      <c r="B94" t="s">
        <v>6</v>
      </c>
      <c r="C94" s="66">
        <v>45194</v>
      </c>
      <c r="D94" t="s">
        <v>310</v>
      </c>
      <c r="E94" t="s">
        <v>369</v>
      </c>
      <c r="F94" s="88">
        <v>-107.6617924657534</v>
      </c>
      <c r="G94" s="29">
        <f>IF(ISNUMBER(SEARCH("Repayment of subscription facility",E94)),1,0)</f>
        <v>1</v>
      </c>
      <c r="H94" s="89">
        <f>IF(G94=1,SUMIFS(Facility!$C$5:$C$37,Facility!$B$5:$B$37,B94,Facility!$F$5:$F$37,C94),"")</f>
        <v>44834</v>
      </c>
      <c r="I94" s="90">
        <f>IF(G94=1,SUMIFS(Facility!$D$5:$D$37,Facility!$B$5:$B$37,B94,Facility!$F$5:$F$37,C94),0)</f>
        <v>100.70875</v>
      </c>
      <c r="J94" s="90">
        <f>IF(G94=1,SUMIFS(Facility!$H$5:$H$37,Facility!$B$5:$B$37,B94,Facility!$F$5:$F$37,C94),0)</f>
        <v>6.953042465753425</v>
      </c>
      <c r="K94" s="47">
        <f>IF(G94=1,H94,C94)</f>
        <v>44834</v>
      </c>
      <c r="L94" s="91">
        <f>IF(G94=1,-I94,F94)</f>
        <v>-100.70875</v>
      </c>
      <c r="M94" s="91">
        <f>IF(G94=1,F94+J94,F94)</f>
        <v>-100.70874999999997</v>
      </c>
      <c r="N94" s="47">
        <f>EOMONTH(C94,0)</f>
        <v>45199</v>
      </c>
      <c r="O94" s="92">
        <f>INDEX('R2K TR Index'!$C$5:$C$197,MATCH(N94,'R2K TR Index'!$B$5:$B$197,0))</f>
        <v>9482.2402</v>
      </c>
      <c r="P94" s="93">
        <f>INDEX('R2K TR Index'!$C$5:$C$197,MATCH('R2K TR Index'!$F$4,'R2K TR Index'!$B$5:$B$197,0))/O94</f>
        <v>1.7585475951136527</v>
      </c>
      <c r="Q94" s="91">
        <f>F94*P94</f>
        <v>-189.3283862262758</v>
      </c>
      <c r="R94" t="s" s="2">
        <v>407</v>
      </c>
    </row>
    <row r="95">
      <c r="B95" t="s">
        <v>6</v>
      </c>
      <c r="C95" s="66">
        <v>45286</v>
      </c>
      <c r="D95" t="s">
        <v>310</v>
      </c>
      <c r="E95" t="s">
        <v>369</v>
      </c>
      <c r="F95" s="88">
        <v>-128.8715678082192</v>
      </c>
      <c r="G95" s="29">
        <f>IF(ISNUMBER(SEARCH("Repayment of subscription facility",E95)),1,0)</f>
        <v>1</v>
      </c>
      <c r="H95" s="89">
        <f>IF(G95=1,SUMIFS(Facility!$C$5:$C$37,Facility!$B$5:$B$37,B95,Facility!$F$5:$F$37,C95),"")</f>
        <v>44926</v>
      </c>
      <c r="I95" s="90">
        <f>IF(G95=1,SUMIFS(Facility!$D$5:$D$37,Facility!$B$5:$B$37,B95,Facility!$F$5:$F$37,C95),0)</f>
        <v>120.54875</v>
      </c>
      <c r="J95" s="90">
        <f>IF(G95=1,SUMIFS(Facility!$H$5:$H$37,Facility!$B$5:$B$37,B95,Facility!$F$5:$F$37,C95),0)</f>
        <v>8.322817808219177</v>
      </c>
      <c r="K95" s="47">
        <f>IF(G95=1,H95,C95)</f>
        <v>44926</v>
      </c>
      <c r="L95" s="91">
        <f>IF(G95=1,-I95,F95)</f>
        <v>-120.54875</v>
      </c>
      <c r="M95" s="91">
        <f>IF(G95=1,F95+J95,F95)</f>
        <v>-120.54875000000001</v>
      </c>
      <c r="N95" s="47">
        <f>EOMONTH(C95,0)</f>
        <v>45291</v>
      </c>
      <c r="O95" s="92">
        <f>INDEX('R2K TR Index'!$C$5:$C$197,MATCH(N95,'R2K TR Index'!$B$5:$B$197,0))</f>
        <v>10812.5303</v>
      </c>
      <c r="P95" s="93">
        <f>INDEX('R2K TR Index'!$C$5:$C$197,MATCH('R2K TR Index'!$F$4,'R2K TR Index'!$B$5:$B$197,0))/O95</f>
        <v>1.5421895002689612</v>
      </c>
      <c r="Q95" s="91">
        <f>F95*P95</f>
        <v>-198.74437875703512</v>
      </c>
      <c r="R95" t="s" s="2">
        <v>408</v>
      </c>
    </row>
    <row r="96">
      <c r="B96" t="s">
        <v>6</v>
      </c>
      <c r="C96" s="66">
        <v>45376</v>
      </c>
      <c r="D96" t="s">
        <v>310</v>
      </c>
      <c r="E96" t="s">
        <v>369</v>
      </c>
      <c r="F96" s="88">
        <v>-123.5691239726027</v>
      </c>
      <c r="G96" s="29">
        <f>IF(ISNUMBER(SEARCH("Repayment of subscription facility",E96)),1,0)</f>
        <v>1</v>
      </c>
      <c r="H96" s="89">
        <f>IF(G96=1,SUMIFS(Facility!$C$5:$C$37,Facility!$B$5:$B$37,B96,Facility!$F$5:$F$37,C96),"")</f>
        <v>45016</v>
      </c>
      <c r="I96" s="90">
        <f>IF(G96=1,SUMIFS(Facility!$D$5:$D$37,Facility!$B$5:$B$37,B96,Facility!$F$5:$F$37,C96),0)</f>
        <v>115.58875</v>
      </c>
      <c r="J96" s="90">
        <f>IF(G96=1,SUMIFS(Facility!$H$5:$H$37,Facility!$B$5:$B$37,B96,Facility!$F$5:$F$37,C96),0)</f>
        <v>7.980373972602741</v>
      </c>
      <c r="K96" s="47">
        <f>IF(G96=1,H96,C96)</f>
        <v>45016</v>
      </c>
      <c r="L96" s="91">
        <f>IF(G96=1,-I96,F96)</f>
        <v>-115.58875</v>
      </c>
      <c r="M96" s="91">
        <f>IF(G96=1,F96+J96,F96)</f>
        <v>-115.58874999999996</v>
      </c>
      <c r="N96" s="47">
        <f>EOMONTH(C96,0)</f>
        <v>45382</v>
      </c>
      <c r="O96" s="92">
        <f>INDEX('R2K TR Index'!$C$5:$C$197,MATCH(N96,'R2K TR Index'!$B$5:$B$197,0))</f>
        <v>11372.6299</v>
      </c>
      <c r="P96" s="93">
        <f>INDEX('R2K TR Index'!$C$5:$C$197,MATCH('R2K TR Index'!$F$4,'R2K TR Index'!$B$5:$B$197,0))/O96</f>
        <v>1.4662369958948547</v>
      </c>
      <c r="Q96" s="91">
        <f>F96*P96</f>
        <v>-181.18162111894785</v>
      </c>
      <c r="R96" t="s" s="2">
        <v>409</v>
      </c>
    </row>
    <row r="97">
      <c r="B97" t="s">
        <v>6</v>
      </c>
      <c r="C97" s="66">
        <v>45467</v>
      </c>
      <c r="D97" t="s">
        <v>310</v>
      </c>
      <c r="E97" t="s">
        <v>369</v>
      </c>
      <c r="F97" s="88">
        <v>-6.915359589041095</v>
      </c>
      <c r="G97" s="29">
        <f>IF(ISNUMBER(SEARCH("Repayment of subscription facility",E97)),1,0)</f>
        <v>1</v>
      </c>
      <c r="H97" s="89">
        <f>IF(G97=1,SUMIFS(Facility!$C$5:$C$37,Facility!$B$5:$B$37,B97,Facility!$F$5:$F$37,C97),"")</f>
        <v>45107</v>
      </c>
      <c r="I97" s="90">
        <f>IF(G97=1,SUMIFS(Facility!$D$5:$D$37,Facility!$B$5:$B$37,B97,Facility!$F$5:$F$37,C97),0)</f>
        <v>6.46875</v>
      </c>
      <c r="J97" s="90">
        <f>IF(G97=1,SUMIFS(Facility!$H$5:$H$37,Facility!$B$5:$B$37,B97,Facility!$F$5:$F$37,C97),0)</f>
        <v>0.4466095890410959</v>
      </c>
      <c r="K97" s="47">
        <f>IF(G97=1,H97,C97)</f>
        <v>45107</v>
      </c>
      <c r="L97" s="91">
        <f>IF(G97=1,-I97,F97)</f>
        <v>-6.46875</v>
      </c>
      <c r="M97" s="91">
        <f>IF(G97=1,F97+J97,F97)</f>
        <v>-6.468749999999999</v>
      </c>
      <c r="N97" s="47">
        <f>EOMONTH(C97,0)</f>
        <v>45473</v>
      </c>
      <c r="O97" s="92">
        <f>INDEX('R2K TR Index'!$C$5:$C$197,MATCH(N97,'R2K TR Index'!$B$5:$B$197,0))</f>
        <v>10999.8701</v>
      </c>
      <c r="P97" s="93">
        <f>INDEX('R2K TR Index'!$C$5:$C$197,MATCH('R2K TR Index'!$F$4,'R2K TR Index'!$B$5:$B$197,0))/O97</f>
        <v>1.5159243289609394</v>
      </c>
      <c r="Q97" s="91">
        <f>F97*P97</f>
        <v>-10.483161844540719</v>
      </c>
      <c r="R97" t="s" s="2">
        <v>410</v>
      </c>
    </row>
    <row r="98">
      <c r="B98" t="s">
        <v>6</v>
      </c>
      <c r="C98" s="66">
        <v>45559</v>
      </c>
      <c r="D98" t="s">
        <v>310</v>
      </c>
      <c r="E98" t="s">
        <v>369</v>
      </c>
      <c r="F98" s="88">
        <v>-112.9642363013699</v>
      </c>
      <c r="G98" s="29">
        <f>IF(ISNUMBER(SEARCH("Repayment of subscription facility",E98)),1,0)</f>
        <v>1</v>
      </c>
      <c r="H98" s="89">
        <f>IF(G98=1,SUMIFS(Facility!$C$5:$C$37,Facility!$B$5:$B$37,B98,Facility!$F$5:$F$37,C98),"")</f>
        <v>45199</v>
      </c>
      <c r="I98" s="90">
        <f>IF(G98=1,SUMIFS(Facility!$D$5:$D$37,Facility!$B$5:$B$37,B98,Facility!$F$5:$F$37,C98),0)</f>
        <v>105.66875</v>
      </c>
      <c r="J98" s="90">
        <f>IF(G98=1,SUMIFS(Facility!$H$5:$H$37,Facility!$B$5:$B$37,B98,Facility!$F$5:$F$37,C98),0)</f>
        <v>7.295486301369865</v>
      </c>
      <c r="K98" s="47">
        <f>IF(G98=1,H98,C98)</f>
        <v>45199</v>
      </c>
      <c r="L98" s="91">
        <f>IF(G98=1,-I98,F98)</f>
        <v>-105.66875</v>
      </c>
      <c r="M98" s="91">
        <f>IF(G98=1,F98+J98,F98)</f>
        <v>-105.66875000000003</v>
      </c>
      <c r="N98" s="47">
        <f>EOMONTH(C98,0)</f>
        <v>45565</v>
      </c>
      <c r="O98" s="92">
        <f>INDEX('R2K TR Index'!$C$5:$C$197,MATCH(N98,'R2K TR Index'!$B$5:$B$197,0))</f>
        <v>12019.8701</v>
      </c>
      <c r="P98" s="93">
        <f>INDEX('R2K TR Index'!$C$5:$C$197,MATCH('R2K TR Index'!$F$4,'R2K TR Index'!$B$5:$B$197,0))/O98</f>
        <v>1.3872837693978075</v>
      </c>
      <c r="Q98" s="91">
        <f>F98*P98</f>
        <v>-156.71345154330908</v>
      </c>
      <c r="R98" t="s" s="2">
        <v>411</v>
      </c>
    </row>
    <row r="99">
      <c r="B99" t="s">
        <v>6</v>
      </c>
      <c r="C99" s="66">
        <v>45651</v>
      </c>
      <c r="D99" t="s">
        <v>310</v>
      </c>
      <c r="E99" t="s">
        <v>369</v>
      </c>
      <c r="F99" s="88">
        <v>-6.915359589041095</v>
      </c>
      <c r="G99" s="29">
        <f>IF(ISNUMBER(SEARCH("Repayment of subscription facility",E99)),1,0)</f>
        <v>1</v>
      </c>
      <c r="H99" s="89">
        <f>IF(G99=1,SUMIFS(Facility!$C$5:$C$37,Facility!$B$5:$B$37,B99,Facility!$F$5:$F$37,C99),"")</f>
        <v>45291</v>
      </c>
      <c r="I99" s="90">
        <f>IF(G99=1,SUMIFS(Facility!$D$5:$D$37,Facility!$B$5:$B$37,B99,Facility!$F$5:$F$37,C99),0)</f>
        <v>6.46875</v>
      </c>
      <c r="J99" s="90">
        <f>IF(G99=1,SUMIFS(Facility!$H$5:$H$37,Facility!$B$5:$B$37,B99,Facility!$F$5:$F$37,C99),0)</f>
        <v>0.4466095890410959</v>
      </c>
      <c r="K99" s="47">
        <f>IF(G99=1,H99,C99)</f>
        <v>45291</v>
      </c>
      <c r="L99" s="91">
        <f>IF(G99=1,-I99,F99)</f>
        <v>-6.46875</v>
      </c>
      <c r="M99" s="91">
        <f>IF(G99=1,F99+J99,F99)</f>
        <v>-6.468749999999999</v>
      </c>
      <c r="N99" s="47">
        <f>EOMONTH(C99,0)</f>
        <v>45657</v>
      </c>
      <c r="O99" s="92">
        <f>INDEX('R2K TR Index'!$C$5:$C$197,MATCH(N99,'R2K TR Index'!$B$5:$B$197,0))</f>
        <v>12060.0703</v>
      </c>
      <c r="P99" s="93">
        <f>INDEX('R2K TR Index'!$C$5:$C$197,MATCH('R2K TR Index'!$F$4,'R2K TR Index'!$B$5:$B$197,0))/O99</f>
        <v>1.3826594941158845</v>
      </c>
      <c r="Q99" s="91">
        <f>F99*P99</f>
        <v>-9.56158759101299</v>
      </c>
      <c r="R99" t="s" s="2">
        <v>412</v>
      </c>
    </row>
    <row r="100">
      <c r="B100" t="s">
        <v>6</v>
      </c>
      <c r="C100" s="66">
        <v>45742</v>
      </c>
      <c r="D100" t="s">
        <v>310</v>
      </c>
      <c r="E100" t="s">
        <v>369</v>
      </c>
      <c r="F100" s="88">
        <v>-97.05690479452055</v>
      </c>
      <c r="G100" s="29">
        <f>IF(ISNUMBER(SEARCH("Repayment of subscription facility",E100)),1,0)</f>
        <v>1</v>
      </c>
      <c r="H100" s="89">
        <f>IF(G100=1,SUMIFS(Facility!$C$5:$C$37,Facility!$B$5:$B$37,B100,Facility!$F$5:$F$37,C100),"")</f>
        <v>45382</v>
      </c>
      <c r="I100" s="90">
        <f>IF(G100=1,SUMIFS(Facility!$D$5:$D$37,Facility!$B$5:$B$37,B100,Facility!$F$5:$F$37,C100),0)</f>
        <v>90.78875</v>
      </c>
      <c r="J100" s="90">
        <f>IF(G100=1,SUMIFS(Facility!$H$5:$H$37,Facility!$B$5:$B$37,B100,Facility!$F$5:$F$37,C100),0)</f>
        <v>6.268154794520549</v>
      </c>
      <c r="K100" s="47">
        <f>IF(G100=1,H100,C100)</f>
        <v>45382</v>
      </c>
      <c r="L100" s="91">
        <f>IF(G100=1,-I100,F100)</f>
        <v>-90.78875</v>
      </c>
      <c r="M100" s="91">
        <f>IF(G100=1,F100+J100,F100)</f>
        <v>-90.78875</v>
      </c>
      <c r="N100" s="47">
        <f>EOMONTH(C100,0)</f>
        <v>45747</v>
      </c>
      <c r="O100" s="92">
        <f>INDEX('R2K TR Index'!$C$5:$C$197,MATCH(N100,'R2K TR Index'!$B$5:$B$197,0))</f>
        <v>10916.9004</v>
      </c>
      <c r="P100" s="93">
        <f>INDEX('R2K TR Index'!$C$5:$C$197,MATCH('R2K TR Index'!$F$4,'R2K TR Index'!$B$5:$B$197,0))/O100</f>
        <v>1.5274455284029156</v>
      </c>
      <c r="Q100" s="91">
        <f>F100*P100</f>
        <v>-148.24913522901792</v>
      </c>
      <c r="R100" t="s" s="2">
        <v>413</v>
      </c>
    </row>
    <row r="101">
      <c r="B101" t="s">
        <v>6</v>
      </c>
      <c r="C101" s="66">
        <v>45833</v>
      </c>
      <c r="D101" t="s">
        <v>310</v>
      </c>
      <c r="E101" t="s">
        <v>369</v>
      </c>
      <c r="F101" s="88">
        <v>-6.915359589041095</v>
      </c>
      <c r="G101" s="29">
        <f>IF(ISNUMBER(SEARCH("Repayment of subscription facility",E101)),1,0)</f>
        <v>1</v>
      </c>
      <c r="H101" s="89">
        <f>IF(G101=1,SUMIFS(Facility!$C$5:$C$37,Facility!$B$5:$B$37,B101,Facility!$F$5:$F$37,C101),"")</f>
        <v>45473</v>
      </c>
      <c r="I101" s="90">
        <f>IF(G101=1,SUMIFS(Facility!$D$5:$D$37,Facility!$B$5:$B$37,B101,Facility!$F$5:$F$37,C101),0)</f>
        <v>6.46875</v>
      </c>
      <c r="J101" s="90">
        <f>IF(G101=1,SUMIFS(Facility!$H$5:$H$37,Facility!$B$5:$B$37,B101,Facility!$F$5:$F$37,C101),0)</f>
        <v>0.4466095890410959</v>
      </c>
      <c r="K101" s="47">
        <f>IF(G101=1,H101,C101)</f>
        <v>45473</v>
      </c>
      <c r="L101" s="91">
        <f>IF(G101=1,-I101,F101)</f>
        <v>-6.46875</v>
      </c>
      <c r="M101" s="91">
        <f>IF(G101=1,F101+J101,F101)</f>
        <v>-6.468749999999999</v>
      </c>
      <c r="N101" s="47">
        <f>EOMONTH(C101,0)</f>
        <v>45838</v>
      </c>
      <c r="O101" s="92">
        <f>INDEX('R2K TR Index'!$C$5:$C$197,MATCH(N101,'R2K TR Index'!$B$5:$B$197,0))</f>
        <v>11844.7998</v>
      </c>
      <c r="P101" s="93">
        <f>INDEX('R2K TR Index'!$C$5:$C$197,MATCH('R2K TR Index'!$F$4,'R2K TR Index'!$B$5:$B$197,0))/O101</f>
        <v>1.407788310613743</v>
      </c>
      <c r="Q101" s="91">
        <f>F101*P101</f>
        <v>-9.73536239314271</v>
      </c>
      <c r="R101" t="s" s="2">
        <v>414</v>
      </c>
    </row>
    <row r="102">
      <c r="B102" t="s">
        <v>6</v>
      </c>
      <c r="C102" s="66">
        <v>45838</v>
      </c>
      <c r="D102" t="s">
        <v>328</v>
      </c>
      <c r="E102" t="s">
        <v>329</v>
      </c>
      <c r="F102" s="88">
        <v>160</v>
      </c>
      <c r="G102" s="29">
        <f>IF(ISNUMBER(SEARCH("Repayment of subscription facility",E102)),1,0)</f>
        <v>0</v>
      </c>
      <c r="H102" t="str" s="89">
        <f>IF(G102=1,SUMIFS(Facility!$C$5:$C$37,Facility!$B$5:$B$37,B102,Facility!$F$5:$F$37,C102),"")</f>
        <v/>
      </c>
      <c r="I102" s="90">
        <f>IF(G102=1,SUMIFS(Facility!$D$5:$D$37,Facility!$B$5:$B$37,B102,Facility!$F$5:$F$37,C102),0)</f>
        <v>0</v>
      </c>
      <c r="J102" s="90">
        <f>IF(G102=1,SUMIFS(Facility!$H$5:$H$37,Facility!$B$5:$B$37,B102,Facility!$F$5:$F$37,C102),0)</f>
        <v>0</v>
      </c>
      <c r="K102" s="47">
        <f>IF(G102=1,H102,C102)</f>
        <v>45838</v>
      </c>
      <c r="L102" s="91">
        <f>IF(G102=1,-I102,F102)</f>
        <v>160</v>
      </c>
      <c r="M102" s="91">
        <f>IF(G102=1,F102+J102,F102)</f>
        <v>160</v>
      </c>
      <c r="N102" s="47">
        <f>EOMONTH(C102,0)</f>
        <v>45838</v>
      </c>
      <c r="O102" s="92">
        <f>INDEX('R2K TR Index'!$C$5:$C$197,MATCH(N102,'R2K TR Index'!$B$5:$B$197,0))</f>
        <v>11844.7998</v>
      </c>
      <c r="P102" s="93">
        <f>INDEX('R2K TR Index'!$C$5:$C$197,MATCH('R2K TR Index'!$F$4,'R2K TR Index'!$B$5:$B$197,0))/O102</f>
        <v>1.407788310613743</v>
      </c>
      <c r="Q102" s="91">
        <f>F102*P102</f>
        <v>225.24612969819887</v>
      </c>
      <c r="R102" t="s" s="2">
        <v>415</v>
      </c>
    </row>
    <row r="103">
      <c r="B103" t="s">
        <v>6</v>
      </c>
      <c r="C103" s="66">
        <v>45925</v>
      </c>
      <c r="D103" t="s">
        <v>310</v>
      </c>
      <c r="E103" t="s">
        <v>369</v>
      </c>
      <c r="F103" s="88">
        <v>-6.915359589041095</v>
      </c>
      <c r="G103" s="29">
        <f>IF(ISNUMBER(SEARCH("Repayment of subscription facility",E103)),1,0)</f>
        <v>1</v>
      </c>
      <c r="H103" s="89">
        <f>IF(G103=1,SUMIFS(Facility!$C$5:$C$37,Facility!$B$5:$B$37,B103,Facility!$F$5:$F$37,C103),"")</f>
        <v>45565</v>
      </c>
      <c r="I103" s="90">
        <f>IF(G103=1,SUMIFS(Facility!$D$5:$D$37,Facility!$B$5:$B$37,B103,Facility!$F$5:$F$37,C103),0)</f>
        <v>6.46875</v>
      </c>
      <c r="J103" s="90">
        <f>IF(G103=1,SUMIFS(Facility!$H$5:$H$37,Facility!$B$5:$B$37,B103,Facility!$F$5:$F$37,C103),0)</f>
        <v>0.4466095890410959</v>
      </c>
      <c r="K103" s="47">
        <f>IF(G103=1,H103,C103)</f>
        <v>45565</v>
      </c>
      <c r="L103" s="91">
        <f>IF(G103=1,-I103,F103)</f>
        <v>-6.46875</v>
      </c>
      <c r="M103" s="91">
        <f>IF(G103=1,F103+J103,F103)</f>
        <v>-6.468749999999999</v>
      </c>
      <c r="N103" s="47">
        <f>EOMONTH(C103,0)</f>
        <v>45930</v>
      </c>
      <c r="O103" s="92">
        <f>INDEX('R2K TR Index'!$C$5:$C$197,MATCH(N103,'R2K TR Index'!$B$5:$B$197,0))</f>
        <v>13312.9297</v>
      </c>
      <c r="P103" s="93">
        <f>INDEX('R2K TR Index'!$C$5:$C$197,MATCH('R2K TR Index'!$F$4,'R2K TR Index'!$B$5:$B$197,0))/O103</f>
        <v>1.252539529296846</v>
      </c>
      <c r="Q103" s="91">
        <f>F103*P103</f>
        <v>-8.661761244575963</v>
      </c>
      <c r="R103" t="s" s="2">
        <v>416</v>
      </c>
    </row>
    <row r="104">
      <c r="B104" t="s">
        <v>6</v>
      </c>
      <c r="C104" s="66">
        <v>46017</v>
      </c>
      <c r="D104" t="s">
        <v>310</v>
      </c>
      <c r="E104" t="s">
        <v>369</v>
      </c>
      <c r="F104" s="88">
        <v>-6.915359589041095</v>
      </c>
      <c r="G104" s="29">
        <f>IF(ISNUMBER(SEARCH("Repayment of subscription facility",E104)),1,0)</f>
        <v>1</v>
      </c>
      <c r="H104" s="89">
        <f>IF(G104=1,SUMIFS(Facility!$C$5:$C$37,Facility!$B$5:$B$37,B104,Facility!$F$5:$F$37,C104),"")</f>
        <v>45657</v>
      </c>
      <c r="I104" s="90">
        <f>IF(G104=1,SUMIFS(Facility!$D$5:$D$37,Facility!$B$5:$B$37,B104,Facility!$F$5:$F$37,C104),0)</f>
        <v>6.46875</v>
      </c>
      <c r="J104" s="90">
        <f>IF(G104=1,SUMIFS(Facility!$H$5:$H$37,Facility!$B$5:$B$37,B104,Facility!$F$5:$F$37,C104),0)</f>
        <v>0.4466095890410959</v>
      </c>
      <c r="K104" s="47">
        <f>IF(G104=1,H104,C104)</f>
        <v>45657</v>
      </c>
      <c r="L104" s="91">
        <f>IF(G104=1,-I104,F104)</f>
        <v>-6.46875</v>
      </c>
      <c r="M104" s="91">
        <f>IF(G104=1,F104+J104,F104)</f>
        <v>-6.468749999999999</v>
      </c>
      <c r="N104" s="47">
        <f>EOMONTH(C104,0)</f>
        <v>46022</v>
      </c>
      <c r="O104" s="92">
        <f>INDEX('R2K TR Index'!$C$5:$C$197,MATCH(N104,'R2K TR Index'!$B$5:$B$197,0))</f>
        <v>13604.5898</v>
      </c>
      <c r="P104" s="93">
        <f>INDEX('R2K TR Index'!$C$5:$C$197,MATCH('R2K TR Index'!$F$4,'R2K TR Index'!$B$5:$B$197,0))/O104</f>
        <v>1.2256871353813257</v>
      </c>
      <c r="Q104" s="91">
        <f>F104*P104</f>
        <v>-8.47606728482356</v>
      </c>
      <c r="R104" t="s" s="2">
        <v>417</v>
      </c>
    </row>
    <row r="105">
      <c r="B105" t="s">
        <v>6</v>
      </c>
      <c r="C105" s="66">
        <v>46107</v>
      </c>
      <c r="D105" t="s">
        <v>310</v>
      </c>
      <c r="E105" t="s">
        <v>369</v>
      </c>
      <c r="F105" s="88">
        <v>-6.915359589041095</v>
      </c>
      <c r="G105" s="29">
        <f>IF(ISNUMBER(SEARCH("Repayment of subscription facility",E105)),1,0)</f>
        <v>1</v>
      </c>
      <c r="H105" s="89">
        <f>IF(G105=1,SUMIFS(Facility!$C$5:$C$37,Facility!$B$5:$B$37,B105,Facility!$F$5:$F$37,C105),"")</f>
        <v>45747</v>
      </c>
      <c r="I105" s="90">
        <f>IF(G105=1,SUMIFS(Facility!$D$5:$D$37,Facility!$B$5:$B$37,B105,Facility!$F$5:$F$37,C105),0)</f>
        <v>6.46875</v>
      </c>
      <c r="J105" s="90">
        <f>IF(G105=1,SUMIFS(Facility!$H$5:$H$37,Facility!$B$5:$B$37,B105,Facility!$F$5:$F$37,C105),0)</f>
        <v>0.4466095890410959</v>
      </c>
      <c r="K105" s="47">
        <f>IF(G105=1,H105,C105)</f>
        <v>45747</v>
      </c>
      <c r="L105" s="91">
        <f>IF(G105=1,-I105,F105)</f>
        <v>-6.46875</v>
      </c>
      <c r="M105" s="91">
        <f>IF(G105=1,F105+J105,F105)</f>
        <v>-6.468749999999999</v>
      </c>
      <c r="N105" s="47">
        <f>EOMONTH(C105,0)</f>
        <v>46112</v>
      </c>
      <c r="O105" s="92">
        <f>INDEX('R2K TR Index'!$C$5:$C$197,MATCH(N105,'R2K TR Index'!$B$5:$B$197,0))</f>
        <v>13725.25</v>
      </c>
      <c r="P105" s="93">
        <f>INDEX('R2K TR Index'!$C$5:$C$197,MATCH('R2K TR Index'!$F$4,'R2K TR Index'!$B$5:$B$197,0))/O105</f>
        <v>1.2149119833882809</v>
      </c>
      <c r="Q105" s="91">
        <f>F105*P105</f>
        <v>-8.401553234165084</v>
      </c>
      <c r="R105" t="s" s="2">
        <v>418</v>
      </c>
    </row>
    <row r="106">
      <c r="B106" t="s">
        <v>6</v>
      </c>
      <c r="C106" s="66">
        <v>46198</v>
      </c>
      <c r="D106" t="s">
        <v>310</v>
      </c>
      <c r="E106" t="s">
        <v>369</v>
      </c>
      <c r="F106" s="88">
        <v>-6.915359589041095</v>
      </c>
      <c r="G106" s="29">
        <f>IF(ISNUMBER(SEARCH("Repayment of subscription facility",E106)),1,0)</f>
        <v>1</v>
      </c>
      <c r="H106" s="89">
        <f>IF(G106=1,SUMIFS(Facility!$C$5:$C$37,Facility!$B$5:$B$37,B106,Facility!$F$5:$F$37,C106),"")</f>
        <v>45838</v>
      </c>
      <c r="I106" s="90">
        <f>IF(G106=1,SUMIFS(Facility!$D$5:$D$37,Facility!$B$5:$B$37,B106,Facility!$F$5:$F$37,C106),0)</f>
        <v>6.46875</v>
      </c>
      <c r="J106" s="90">
        <f>IF(G106=1,SUMIFS(Facility!$H$5:$H$37,Facility!$B$5:$B$37,B106,Facility!$F$5:$F$37,C106),0)</f>
        <v>0.4466095890410959</v>
      </c>
      <c r="K106" s="47">
        <f>IF(G106=1,H106,C106)</f>
        <v>45838</v>
      </c>
      <c r="L106" s="91">
        <f>IF(G106=1,-I106,F106)</f>
        <v>-6.46875</v>
      </c>
      <c r="M106" s="91">
        <f>IF(G106=1,F106+J106,F106)</f>
        <v>-6.468749999999999</v>
      </c>
      <c r="N106" s="47">
        <f>EOMONTH(C106,0)</f>
        <v>46203</v>
      </c>
      <c r="O106" s="92">
        <f>INDEX('R2K TR Index'!$C$5:$C$197,MATCH(N106,'R2K TR Index'!$B$5:$B$197,0))</f>
        <v>16674.9707</v>
      </c>
      <c r="P106" s="93">
        <f>INDEX('R2K TR Index'!$C$5:$C$197,MATCH('R2K TR Index'!$F$4,'R2K TR Index'!$B$5:$B$197,0))/O106</f>
        <v>1</v>
      </c>
      <c r="Q106" s="91">
        <f>F106*P106</f>
        <v>-6.915359589041095</v>
      </c>
      <c r="R106" t="s" s="2">
        <v>419</v>
      </c>
    </row>
    <row r="107">
      <c r="B107" t="s">
        <v>6</v>
      </c>
      <c r="C107" s="66">
        <v>46203</v>
      </c>
      <c r="D107" t="s">
        <v>338</v>
      </c>
      <c r="E107" t="s">
        <v>339</v>
      </c>
      <c r="F107" s="88">
        <v>1415.363469589041</v>
      </c>
      <c r="G107" s="29">
        <f>IF(ISNUMBER(SEARCH("Repayment of subscription facility",E107)),1,0)</f>
        <v>0</v>
      </c>
      <c r="H107" t="str" s="89">
        <f>IF(G107=1,SUMIFS(Facility!$C$5:$C$37,Facility!$B$5:$B$37,B107,Facility!$F$5:$F$37,C107),"")</f>
        <v/>
      </c>
      <c r="I107" s="90">
        <f>IF(G107=1,SUMIFS(Facility!$D$5:$D$37,Facility!$B$5:$B$37,B107,Facility!$F$5:$F$37,C107),0)</f>
        <v>0</v>
      </c>
      <c r="J107" s="90">
        <f>IF(G107=1,SUMIFS(Facility!$H$5:$H$37,Facility!$B$5:$B$37,B107,Facility!$F$5:$F$37,C107),0)</f>
        <v>0</v>
      </c>
      <c r="K107" s="47">
        <f>IF(G107=1,H107,C107)</f>
        <v>46203</v>
      </c>
      <c r="L107" s="91">
        <f>IF(G107=1,-I107,F107)</f>
        <v>1415.363469589041</v>
      </c>
      <c r="M107" s="91">
        <f>IF(G107=1,F107+J107,F107)</f>
        <v>1415.363469589041</v>
      </c>
      <c r="N107" s="47">
        <f>EOMONTH(C107,0)</f>
        <v>46203</v>
      </c>
      <c r="O107" s="92">
        <f>INDEX('R2K TR Index'!$C$5:$C$197,MATCH(N107,'R2K TR Index'!$B$5:$B$197,0))</f>
        <v>16674.9707</v>
      </c>
      <c r="P107" s="93">
        <f>INDEX('R2K TR Index'!$C$5:$C$197,MATCH('R2K TR Index'!$F$4,'R2K TR Index'!$B$5:$B$197,0))/O107</f>
        <v>1</v>
      </c>
      <c r="Q107" s="91">
        <f>F107*P107</f>
        <v>1415.363469589041</v>
      </c>
      <c r="R107" t="s" s="2">
        <v>420</v>
      </c>
    </row>
  </sheetData>
  <pageMargins left="0.7" right="0.7" top="0.75" bottom="0.75" header="0.3" footer="0.3"/>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7"/>
  <sheetViews>
    <sheetView showGridLines="0" workbookViewId="0">
      <pane ySplit="4" topLeftCell="A5" activePane="bottomLeft" state="frozen"/>
      <selection pane="bottomLeft" activeCell="A1" sqref="A1"/>
    </sheetView>
  </sheetViews>
  <cols>
    <col min="1" max="1" width="2.21875" customWidth="1"/>
    <col min="2" max="2" width="11.359375" customWidth="1"/>
    <col min="3" max="3" width="13.21875" customWidth="1"/>
    <col min="4" max="4" width="14.21875" customWidth="1"/>
    <col min="5" max="5" width="45.64453125" customWidth="1"/>
    <col min="6" max="6" width="16.07421875" customWidth="1"/>
    <col min="7" max="8" width="13.21875" customWidth="1"/>
    <col min="9" max="9" width="11.359375" customWidth="1"/>
    <col min="10" max="10" width="15.21875" customWidth="1"/>
    <col min="11" max="11" width="28.50390625" customWidth="1"/>
  </cols>
  <sheetData>
    <row r="2">
      <c r="B2" t="s" s="1">
        <v>421</v>
      </c>
    </row>
    <row r="3">
      <c r="B3" t="s" s="2">
        <v>422</v>
      </c>
    </row>
    <row r="4" ht="42" customHeight="1">
      <c r="B4" t="s" s="56">
        <v>179</v>
      </c>
      <c r="C4" t="s" s="56">
        <v>423</v>
      </c>
      <c r="D4" t="s" s="56">
        <v>301</v>
      </c>
      <c r="E4" t="s" s="56">
        <v>424</v>
      </c>
      <c r="F4" t="s" s="56">
        <v>425</v>
      </c>
      <c r="G4" t="s" s="56">
        <v>426</v>
      </c>
      <c r="H4" t="s" s="56">
        <v>427</v>
      </c>
      <c r="I4" t="s" s="56">
        <v>428</v>
      </c>
      <c r="J4" t="s" s="56">
        <v>429</v>
      </c>
      <c r="K4" t="s" s="56">
        <v>185</v>
      </c>
    </row>
    <row r="5">
      <c r="B5" t="s">
        <v>5</v>
      </c>
      <c r="C5" s="66">
        <v>43008</v>
      </c>
      <c r="D5" s="88">
        <v>60</v>
      </c>
      <c r="E5" t="s">
        <v>187</v>
      </c>
      <c r="F5" s="44">
        <v>43098</v>
      </c>
      <c r="G5" s="70">
        <v>90</v>
      </c>
      <c r="H5" s="94">
        <v>0.3698630136986301</v>
      </c>
      <c r="I5" s="95">
        <v>0.025</v>
      </c>
      <c r="J5" s="91">
        <f>SUMIFS($D$5:$D$37,$B$5:$B$37,B5,$C$5:$C$37,"&lt;="&amp;C5)-SUMIFS($D$5:$D$37,$B$5:$B$37,B5,$F$5:$F$37,"&lt;="&amp;C5)</f>
        <v>60</v>
      </c>
      <c r="K5" t="s" s="2">
        <v>430</v>
      </c>
    </row>
    <row r="6">
      <c r="B6" t="s">
        <v>5</v>
      </c>
      <c r="C6" s="66">
        <v>43190</v>
      </c>
      <c r="D6" s="88">
        <v>75</v>
      </c>
      <c r="E6" t="s">
        <v>187</v>
      </c>
      <c r="F6" s="44">
        <v>43280</v>
      </c>
      <c r="G6" s="70">
        <v>90</v>
      </c>
      <c r="H6" s="94">
        <v>0.4623287671232877</v>
      </c>
      <c r="I6" s="95">
        <v>0.025</v>
      </c>
      <c r="J6" s="91">
        <f>SUMIFS($D$5:$D$37,$B$5:$B$37,B6,$C$5:$C$37,"&lt;="&amp;C6)-SUMIFS($D$5:$D$37,$B$5:$B$37,B6,$F$5:$F$37,"&lt;="&amp;C6)</f>
        <v>75</v>
      </c>
      <c r="K6" t="s" s="2">
        <v>431</v>
      </c>
    </row>
    <row r="7">
      <c r="B7" t="s">
        <v>5</v>
      </c>
      <c r="C7" s="66">
        <v>43281</v>
      </c>
      <c r="D7" s="88">
        <v>70</v>
      </c>
      <c r="E7" t="s">
        <v>187</v>
      </c>
      <c r="F7" s="44">
        <v>43371</v>
      </c>
      <c r="G7" s="70">
        <v>90</v>
      </c>
      <c r="H7" s="94">
        <v>0.4315068493150685</v>
      </c>
      <c r="I7" s="95">
        <v>0.025</v>
      </c>
      <c r="J7" s="91">
        <f>SUMIFS($D$5:$D$37,$B$5:$B$37,B7,$C$5:$C$37,"&lt;="&amp;C7)-SUMIFS($D$5:$D$37,$B$5:$B$37,B7,$F$5:$F$37,"&lt;="&amp;C7)</f>
        <v>70</v>
      </c>
      <c r="K7" t="s" s="2">
        <v>432</v>
      </c>
    </row>
    <row r="8">
      <c r="B8" t="s">
        <v>5</v>
      </c>
      <c r="C8" s="66">
        <v>43373</v>
      </c>
      <c r="D8" s="88">
        <v>65</v>
      </c>
      <c r="E8" t="s">
        <v>187</v>
      </c>
      <c r="F8" s="44">
        <v>43463</v>
      </c>
      <c r="G8" s="70">
        <v>90</v>
      </c>
      <c r="H8" s="94">
        <v>0.4006849315068493</v>
      </c>
      <c r="I8" s="95">
        <v>0.025</v>
      </c>
      <c r="J8" s="91">
        <f>SUMIFS($D$5:$D$37,$B$5:$B$37,B8,$C$5:$C$37,"&lt;="&amp;C8)-SUMIFS($D$5:$D$37,$B$5:$B$37,B8,$F$5:$F$37,"&lt;="&amp;C8)</f>
        <v>65</v>
      </c>
      <c r="K8" t="s" s="2">
        <v>433</v>
      </c>
    </row>
    <row r="9">
      <c r="B9" t="s">
        <v>5</v>
      </c>
      <c r="C9" s="66">
        <v>43465</v>
      </c>
      <c r="D9" s="88">
        <v>45</v>
      </c>
      <c r="E9" t="s">
        <v>187</v>
      </c>
      <c r="F9" s="44">
        <v>43555</v>
      </c>
      <c r="G9" s="70">
        <v>90</v>
      </c>
      <c r="H9" s="94">
        <v>0.2773972602739726</v>
      </c>
      <c r="I9" s="95">
        <v>0.025</v>
      </c>
      <c r="J9" s="91">
        <f>SUMIFS($D$5:$D$37,$B$5:$B$37,B9,$C$5:$C$37,"&lt;="&amp;C9)-SUMIFS($D$5:$D$37,$B$5:$B$37,B9,$F$5:$F$37,"&lt;="&amp;C9)</f>
        <v>45</v>
      </c>
      <c r="K9" t="s" s="2">
        <v>434</v>
      </c>
    </row>
    <row r="10">
      <c r="B10" t="s">
        <v>5</v>
      </c>
      <c r="C10" s="66">
        <v>43555</v>
      </c>
      <c r="D10" s="88">
        <v>55</v>
      </c>
      <c r="E10" t="s">
        <v>187</v>
      </c>
      <c r="F10" s="44">
        <v>43645</v>
      </c>
      <c r="G10" s="70">
        <v>90</v>
      </c>
      <c r="H10" s="94">
        <v>0.339041095890411</v>
      </c>
      <c r="I10" s="95">
        <v>0.025</v>
      </c>
      <c r="J10" s="91">
        <f>SUMIFS($D$5:$D$37,$B$5:$B$37,B10,$C$5:$C$37,"&lt;="&amp;C10)-SUMIFS($D$5:$D$37,$B$5:$B$37,B10,$F$5:$F$37,"&lt;="&amp;C10)</f>
        <v>55</v>
      </c>
      <c r="K10" t="s" s="2">
        <v>435</v>
      </c>
    </row>
    <row r="11">
      <c r="B11" t="s">
        <v>5</v>
      </c>
      <c r="C11" s="66">
        <v>43646</v>
      </c>
      <c r="D11" s="88">
        <v>60</v>
      </c>
      <c r="E11" t="s">
        <v>187</v>
      </c>
      <c r="F11" s="44">
        <v>43736</v>
      </c>
      <c r="G11" s="70">
        <v>90</v>
      </c>
      <c r="H11" s="94">
        <v>0.3698630136986301</v>
      </c>
      <c r="I11" s="95">
        <v>0.025</v>
      </c>
      <c r="J11" s="91">
        <f>SUMIFS($D$5:$D$37,$B$5:$B$37,B11,$C$5:$C$37,"&lt;="&amp;C11)-SUMIFS($D$5:$D$37,$B$5:$B$37,B11,$F$5:$F$37,"&lt;="&amp;C11)</f>
        <v>60</v>
      </c>
      <c r="K11" t="s" s="2">
        <v>436</v>
      </c>
    </row>
    <row r="12">
      <c r="B12" t="s">
        <v>5</v>
      </c>
      <c r="C12" s="66">
        <v>43738</v>
      </c>
      <c r="D12" s="88">
        <v>40</v>
      </c>
      <c r="E12" t="s">
        <v>187</v>
      </c>
      <c r="F12" s="44">
        <v>43828</v>
      </c>
      <c r="G12" s="70">
        <v>90</v>
      </c>
      <c r="H12" s="94">
        <v>0.2465753424657534</v>
      </c>
      <c r="I12" s="95">
        <v>0.025</v>
      </c>
      <c r="J12" s="91">
        <f>SUMIFS($D$5:$D$37,$B$5:$B$37,B12,$C$5:$C$37,"&lt;="&amp;C12)-SUMIFS($D$5:$D$37,$B$5:$B$37,B12,$F$5:$F$37,"&lt;="&amp;C12)</f>
        <v>40</v>
      </c>
      <c r="K12" t="s" s="2">
        <v>437</v>
      </c>
    </row>
    <row r="13">
      <c r="B13" t="s">
        <v>5</v>
      </c>
      <c r="C13" s="66">
        <v>43830</v>
      </c>
      <c r="D13" s="88">
        <v>50</v>
      </c>
      <c r="E13" t="s">
        <v>187</v>
      </c>
      <c r="F13" s="44">
        <v>43920</v>
      </c>
      <c r="G13" s="70">
        <v>90</v>
      </c>
      <c r="H13" s="94">
        <v>0.3082191780821918</v>
      </c>
      <c r="I13" s="95">
        <v>0.025</v>
      </c>
      <c r="J13" s="91">
        <f>SUMIFS($D$5:$D$37,$B$5:$B$37,B13,$C$5:$C$37,"&lt;="&amp;C13)-SUMIFS($D$5:$D$37,$B$5:$B$37,B13,$F$5:$F$37,"&lt;="&amp;C13)</f>
        <v>50</v>
      </c>
      <c r="K13" t="s" s="2">
        <v>438</v>
      </c>
    </row>
    <row r="14">
      <c r="B14" t="s">
        <v>5</v>
      </c>
      <c r="C14" s="66">
        <v>43921</v>
      </c>
      <c r="D14" s="88">
        <v>70</v>
      </c>
      <c r="E14" t="s">
        <v>187</v>
      </c>
      <c r="F14" s="44">
        <v>44011</v>
      </c>
      <c r="G14" s="70">
        <v>90</v>
      </c>
      <c r="H14" s="94">
        <v>0.4315068493150685</v>
      </c>
      <c r="I14" s="95">
        <v>0.025</v>
      </c>
      <c r="J14" s="91">
        <f>SUMIFS($D$5:$D$37,$B$5:$B$37,B14,$C$5:$C$37,"&lt;="&amp;C14)-SUMIFS($D$5:$D$37,$B$5:$B$37,B14,$F$5:$F$37,"&lt;="&amp;C14)</f>
        <v>70</v>
      </c>
      <c r="K14" t="s" s="2">
        <v>439</v>
      </c>
    </row>
    <row r="15">
      <c r="B15" t="s">
        <v>5</v>
      </c>
      <c r="C15" s="66">
        <v>44104</v>
      </c>
      <c r="D15" s="88">
        <v>65</v>
      </c>
      <c r="E15" t="s">
        <v>187</v>
      </c>
      <c r="F15" s="44">
        <v>44194</v>
      </c>
      <c r="G15" s="70">
        <v>90</v>
      </c>
      <c r="H15" s="94">
        <v>0.4006849315068493</v>
      </c>
      <c r="I15" s="95">
        <v>0.025</v>
      </c>
      <c r="J15" s="91">
        <f>SUMIFS($D$5:$D$37,$B$5:$B$37,B15,$C$5:$C$37,"&lt;="&amp;C15)-SUMIFS($D$5:$D$37,$B$5:$B$37,B15,$F$5:$F$37,"&lt;="&amp;C15)</f>
        <v>65</v>
      </c>
      <c r="K15" t="s" s="2">
        <v>440</v>
      </c>
    </row>
    <row r="16">
      <c r="B16" t="s">
        <v>6</v>
      </c>
      <c r="C16" s="66">
        <v>44286</v>
      </c>
      <c r="D16" s="88">
        <v>6.46875</v>
      </c>
      <c r="E16" t="s">
        <v>366</v>
      </c>
      <c r="F16" s="44">
        <v>44646</v>
      </c>
      <c r="G16" s="70">
        <v>360</v>
      </c>
      <c r="H16" s="94">
        <v>0.1595034246575343</v>
      </c>
      <c r="I16" s="95">
        <v>0.025</v>
      </c>
      <c r="J16" s="91">
        <f>SUMIFS($D$5:$D$37,$B$5:$B$37,B16,$C$5:$C$37,"&lt;="&amp;C16)-SUMIFS($D$5:$D$37,$B$5:$B$37,B16,$F$5:$F$37,"&lt;="&amp;C16)</f>
        <v>6.46875</v>
      </c>
      <c r="K16" t="s" s="2">
        <v>441</v>
      </c>
    </row>
    <row r="17">
      <c r="B17" t="s">
        <v>6</v>
      </c>
      <c r="C17" s="66">
        <v>44377</v>
      </c>
      <c r="D17" s="88">
        <v>125.50875</v>
      </c>
      <c r="E17" t="s">
        <v>442</v>
      </c>
      <c r="F17" s="44">
        <v>44737</v>
      </c>
      <c r="G17" s="70">
        <v>360</v>
      </c>
      <c r="H17" s="94">
        <v>3.094736301369863</v>
      </c>
      <c r="I17" s="95">
        <v>0.025</v>
      </c>
      <c r="J17" s="91">
        <f>SUMIFS($D$5:$D$37,$B$5:$B$37,B17,$C$5:$C$37,"&lt;="&amp;C17)-SUMIFS($D$5:$D$37,$B$5:$B$37,B17,$F$5:$F$37,"&lt;="&amp;C17)</f>
        <v>131.97750000000002</v>
      </c>
      <c r="K17" t="s" s="2">
        <v>443</v>
      </c>
    </row>
    <row r="18">
      <c r="B18" t="s">
        <v>6</v>
      </c>
      <c r="C18" s="66">
        <v>44469</v>
      </c>
      <c r="D18" s="88">
        <v>105.66875</v>
      </c>
      <c r="E18" t="s">
        <v>442</v>
      </c>
      <c r="F18" s="44">
        <v>44829</v>
      </c>
      <c r="G18" s="70">
        <v>360</v>
      </c>
      <c r="H18" s="94">
        <v>2.605530821917808</v>
      </c>
      <c r="I18" s="95">
        <v>0.025</v>
      </c>
      <c r="J18" s="91">
        <f>SUMIFS($D$5:$D$37,$B$5:$B$37,B18,$C$5:$C$37,"&lt;="&amp;C18)-SUMIFS($D$5:$D$37,$B$5:$B$37,B18,$F$5:$F$37,"&lt;="&amp;C18)</f>
        <v>237.64625</v>
      </c>
      <c r="K18" t="s" s="2">
        <v>444</v>
      </c>
    </row>
    <row r="19">
      <c r="B19" t="s">
        <v>6</v>
      </c>
      <c r="C19" s="66">
        <v>44561</v>
      </c>
      <c r="D19" s="88">
        <v>6.46875</v>
      </c>
      <c r="E19" t="s">
        <v>366</v>
      </c>
      <c r="F19" s="44">
        <v>44921</v>
      </c>
      <c r="G19" s="70">
        <v>360</v>
      </c>
      <c r="H19" s="94">
        <v>0.1595034246575343</v>
      </c>
      <c r="I19" s="95">
        <v>0.025</v>
      </c>
      <c r="J19" s="91">
        <f>SUMIFS($D$5:$D$37,$B$5:$B$37,B19,$C$5:$C$37,"&lt;="&amp;C19)-SUMIFS($D$5:$D$37,$B$5:$B$37,B19,$F$5:$F$37,"&lt;="&amp;C19)</f>
        <v>244.115</v>
      </c>
      <c r="K19" t="s" s="2">
        <v>445</v>
      </c>
    </row>
    <row r="20">
      <c r="B20" t="s">
        <v>6</v>
      </c>
      <c r="C20" s="66">
        <v>44651</v>
      </c>
      <c r="D20" s="88">
        <v>115.58875</v>
      </c>
      <c r="E20" t="s">
        <v>442</v>
      </c>
      <c r="F20" s="44">
        <v>45011</v>
      </c>
      <c r="G20" s="70">
        <v>360</v>
      </c>
      <c r="H20" s="94">
        <v>2.850133561643835</v>
      </c>
      <c r="I20" s="95">
        <v>0.025</v>
      </c>
      <c r="J20" s="91">
        <f>SUMIFS($D$5:$D$37,$B$5:$B$37,B20,$C$5:$C$37,"&lt;="&amp;C20)-SUMIFS($D$5:$D$37,$B$5:$B$37,B20,$F$5:$F$37,"&lt;="&amp;C20)</f>
        <v>353.235</v>
      </c>
      <c r="K20" t="s" s="2">
        <v>446</v>
      </c>
    </row>
    <row r="21">
      <c r="B21" t="s">
        <v>6</v>
      </c>
      <c r="C21" s="66">
        <v>44742</v>
      </c>
      <c r="D21" s="88">
        <v>110.62875</v>
      </c>
      <c r="E21" t="s">
        <v>442</v>
      </c>
      <c r="F21" s="44">
        <v>45102</v>
      </c>
      <c r="G21" s="70">
        <v>360</v>
      </c>
      <c r="H21" s="94">
        <v>2.727832191780822</v>
      </c>
      <c r="I21" s="95">
        <v>0.025</v>
      </c>
      <c r="J21" s="91">
        <f>SUMIFS($D$5:$D$37,$B$5:$B$37,B21,$C$5:$C$37,"&lt;="&amp;C21)-SUMIFS($D$5:$D$37,$B$5:$B$37,B21,$F$5:$F$37,"&lt;="&amp;C21)</f>
        <v>338.35499999999996</v>
      </c>
      <c r="K21" t="s" s="2">
        <v>447</v>
      </c>
    </row>
    <row r="22">
      <c r="B22" t="s">
        <v>6</v>
      </c>
      <c r="C22" s="66">
        <v>44834</v>
      </c>
      <c r="D22" s="88">
        <v>100.70875</v>
      </c>
      <c r="E22" t="s">
        <v>442</v>
      </c>
      <c r="F22" s="44">
        <v>45194</v>
      </c>
      <c r="G22" s="70">
        <v>360</v>
      </c>
      <c r="H22" s="94">
        <v>6.953042465753425</v>
      </c>
      <c r="I22" s="95">
        <v>0.07</v>
      </c>
      <c r="J22" s="91">
        <f>SUMIFS($D$5:$D$37,$B$5:$B$37,B22,$C$5:$C$37,"&lt;="&amp;C22)-SUMIFS($D$5:$D$37,$B$5:$B$37,B22,$F$5:$F$37,"&lt;="&amp;C22)</f>
        <v>333.395</v>
      </c>
      <c r="K22" t="s" s="2">
        <v>448</v>
      </c>
    </row>
    <row r="23">
      <c r="B23" t="s">
        <v>6</v>
      </c>
      <c r="C23" s="66">
        <v>44926</v>
      </c>
      <c r="D23" s="88">
        <v>120.54875</v>
      </c>
      <c r="E23" t="s">
        <v>442</v>
      </c>
      <c r="F23" s="44">
        <v>45286</v>
      </c>
      <c r="G23" s="70">
        <v>360</v>
      </c>
      <c r="H23" s="94">
        <v>8.322817808219177</v>
      </c>
      <c r="I23" s="95">
        <v>0.07</v>
      </c>
      <c r="J23" s="91">
        <f>SUMIFS($D$5:$D$37,$B$5:$B$37,B23,$C$5:$C$37,"&lt;="&amp;C23)-SUMIFS($D$5:$D$37,$B$5:$B$37,B23,$F$5:$F$37,"&lt;="&amp;C23)</f>
        <v>447.475</v>
      </c>
      <c r="K23" t="s" s="2">
        <v>449</v>
      </c>
    </row>
    <row r="24">
      <c r="B24" t="s">
        <v>6</v>
      </c>
      <c r="C24" s="66">
        <v>45016</v>
      </c>
      <c r="D24" s="88">
        <v>115.58875</v>
      </c>
      <c r="E24" t="s">
        <v>442</v>
      </c>
      <c r="F24" s="44">
        <v>45376</v>
      </c>
      <c r="G24" s="70">
        <v>360</v>
      </c>
      <c r="H24" s="94">
        <v>7.980373972602741</v>
      </c>
      <c r="I24" s="95">
        <v>0.07</v>
      </c>
      <c r="J24" s="91">
        <f>SUMIFS($D$5:$D$37,$B$5:$B$37,B24,$C$5:$C$37,"&lt;="&amp;C24)-SUMIFS($D$5:$D$37,$B$5:$B$37,B24,$F$5:$F$37,"&lt;="&amp;C24)</f>
        <v>447.475</v>
      </c>
      <c r="K24" t="s" s="2">
        <v>450</v>
      </c>
    </row>
    <row r="25">
      <c r="B25" t="s">
        <v>6</v>
      </c>
      <c r="C25" s="66">
        <v>45107</v>
      </c>
      <c r="D25" s="88">
        <v>6.46875</v>
      </c>
      <c r="E25" t="s">
        <v>366</v>
      </c>
      <c r="F25" s="44">
        <v>45467</v>
      </c>
      <c r="G25" s="70">
        <v>360</v>
      </c>
      <c r="H25" s="94">
        <v>0.4466095890410959</v>
      </c>
      <c r="I25" s="95">
        <v>0.07</v>
      </c>
      <c r="J25" s="91">
        <f>SUMIFS($D$5:$D$37,$B$5:$B$37,B25,$C$5:$C$37,"&lt;="&amp;C25)-SUMIFS($D$5:$D$37,$B$5:$B$37,B25,$F$5:$F$37,"&lt;="&amp;C25)</f>
        <v>343.31500000000005</v>
      </c>
      <c r="K25" t="s" s="2">
        <v>451</v>
      </c>
    </row>
    <row r="26">
      <c r="B26" t="s">
        <v>6</v>
      </c>
      <c r="C26" s="66">
        <v>45199</v>
      </c>
      <c r="D26" s="88">
        <v>105.66875</v>
      </c>
      <c r="E26" t="s">
        <v>442</v>
      </c>
      <c r="F26" s="44">
        <v>45559</v>
      </c>
      <c r="G26" s="70">
        <v>360</v>
      </c>
      <c r="H26" s="94">
        <v>7.295486301369865</v>
      </c>
      <c r="I26" s="95">
        <v>0.07</v>
      </c>
      <c r="J26" s="91">
        <f>SUMIFS($D$5:$D$37,$B$5:$B$37,B26,$C$5:$C$37,"&lt;="&amp;C26)-SUMIFS($D$5:$D$37,$B$5:$B$37,B26,$F$5:$F$37,"&lt;="&amp;C26)</f>
        <v>348.2750000000001</v>
      </c>
      <c r="K26" t="s" s="2">
        <v>452</v>
      </c>
    </row>
    <row r="27">
      <c r="B27" t="s">
        <v>6</v>
      </c>
      <c r="C27" s="66">
        <v>45291</v>
      </c>
      <c r="D27" s="88">
        <v>6.46875</v>
      </c>
      <c r="E27" t="s">
        <v>366</v>
      </c>
      <c r="F27" s="44">
        <v>45651</v>
      </c>
      <c r="G27" s="70">
        <v>360</v>
      </c>
      <c r="H27" s="94">
        <v>0.4466095890410959</v>
      </c>
      <c r="I27" s="95">
        <v>0.07</v>
      </c>
      <c r="J27" s="91">
        <f>SUMIFS($D$5:$D$37,$B$5:$B$37,B27,$C$5:$C$37,"&lt;="&amp;C27)-SUMIFS($D$5:$D$37,$B$5:$B$37,B27,$F$5:$F$37,"&lt;="&amp;C27)</f>
        <v>234.19500000000005</v>
      </c>
      <c r="K27" t="s" s="2">
        <v>453</v>
      </c>
    </row>
    <row r="28">
      <c r="B28" t="s">
        <v>6</v>
      </c>
      <c r="C28" s="66">
        <v>45382</v>
      </c>
      <c r="D28" s="88">
        <v>90.78875</v>
      </c>
      <c r="E28" t="s">
        <v>442</v>
      </c>
      <c r="F28" s="44">
        <v>45742</v>
      </c>
      <c r="G28" s="70">
        <v>360</v>
      </c>
      <c r="H28" s="94">
        <v>6.268154794520549</v>
      </c>
      <c r="I28" s="95">
        <v>0.07</v>
      </c>
      <c r="J28" s="91">
        <f>SUMIFS($D$5:$D$37,$B$5:$B$37,B28,$C$5:$C$37,"&lt;="&amp;C28)-SUMIFS($D$5:$D$37,$B$5:$B$37,B28,$F$5:$F$37,"&lt;="&amp;C28)</f>
        <v>209.39499999999998</v>
      </c>
      <c r="K28" t="s" s="2">
        <v>454</v>
      </c>
    </row>
    <row r="29">
      <c r="B29" t="s">
        <v>6</v>
      </c>
      <c r="C29" s="66">
        <v>45473</v>
      </c>
      <c r="D29" s="88">
        <v>6.46875</v>
      </c>
      <c r="E29" t="s">
        <v>366</v>
      </c>
      <c r="F29" s="44">
        <v>45833</v>
      </c>
      <c r="G29" s="70">
        <v>360</v>
      </c>
      <c r="H29" s="94">
        <v>0.4466095890410959</v>
      </c>
      <c r="I29" s="95">
        <v>0.07</v>
      </c>
      <c r="J29" s="91">
        <f>SUMIFS($D$5:$D$37,$B$5:$B$37,B29,$C$5:$C$37,"&lt;="&amp;C29)-SUMIFS($D$5:$D$37,$B$5:$B$37,B29,$F$5:$F$37,"&lt;="&amp;C29)</f>
        <v>209.39499999999998</v>
      </c>
      <c r="K29" t="s" s="2">
        <v>455</v>
      </c>
    </row>
    <row r="30">
      <c r="B30" t="s">
        <v>6</v>
      </c>
      <c r="C30" s="66">
        <v>45565</v>
      </c>
      <c r="D30" s="88">
        <v>6.46875</v>
      </c>
      <c r="E30" t="s">
        <v>366</v>
      </c>
      <c r="F30" s="44">
        <v>45925</v>
      </c>
      <c r="G30" s="70">
        <v>360</v>
      </c>
      <c r="H30" s="94">
        <v>0.4466095890410959</v>
      </c>
      <c r="I30" s="95">
        <v>0.07</v>
      </c>
      <c r="J30" s="91">
        <f>SUMIFS($D$5:$D$37,$B$5:$B$37,B30,$C$5:$C$37,"&lt;="&amp;C30)-SUMIFS($D$5:$D$37,$B$5:$B$37,B30,$F$5:$F$37,"&lt;="&amp;C30)</f>
        <v>110.19499999999994</v>
      </c>
      <c r="K30" t="s" s="2">
        <v>456</v>
      </c>
    </row>
    <row r="31">
      <c r="B31" t="s">
        <v>6</v>
      </c>
      <c r="C31" s="66">
        <v>45657</v>
      </c>
      <c r="D31" s="88">
        <v>6.46875</v>
      </c>
      <c r="E31" t="s">
        <v>366</v>
      </c>
      <c r="F31" s="44">
        <v>46017</v>
      </c>
      <c r="G31" s="70">
        <v>360</v>
      </c>
      <c r="H31" s="94">
        <v>0.4466095890410959</v>
      </c>
      <c r="I31" s="95">
        <v>0.07</v>
      </c>
      <c r="J31" s="91">
        <f>SUMIFS($D$5:$D$37,$B$5:$B$37,B31,$C$5:$C$37,"&lt;="&amp;C31)-SUMIFS($D$5:$D$37,$B$5:$B$37,B31,$F$5:$F$37,"&lt;="&amp;C31)</f>
        <v>110.19499999999994</v>
      </c>
      <c r="K31" t="s" s="2">
        <v>457</v>
      </c>
    </row>
    <row r="32">
      <c r="B32" t="s">
        <v>6</v>
      </c>
      <c r="C32" s="66">
        <v>45747</v>
      </c>
      <c r="D32" s="88">
        <v>6.46875</v>
      </c>
      <c r="E32" t="s">
        <v>366</v>
      </c>
      <c r="F32" s="44">
        <v>46107</v>
      </c>
      <c r="G32" s="70">
        <v>360</v>
      </c>
      <c r="H32" s="94">
        <v>0.4466095890410959</v>
      </c>
      <c r="I32" s="95">
        <v>0.07</v>
      </c>
      <c r="J32" s="91">
        <f>SUMIFS($D$5:$D$37,$B$5:$B$37,B32,$C$5:$C$37,"&lt;="&amp;C32)-SUMIFS($D$5:$D$37,$B$5:$B$37,B32,$F$5:$F$37,"&lt;="&amp;C32)</f>
        <v>25.875</v>
      </c>
      <c r="K32" t="s" s="2">
        <v>458</v>
      </c>
    </row>
    <row r="33">
      <c r="B33" t="s">
        <v>6</v>
      </c>
      <c r="C33" s="66">
        <v>45838</v>
      </c>
      <c r="D33" s="88">
        <v>6.46875</v>
      </c>
      <c r="E33" t="s">
        <v>366</v>
      </c>
      <c r="F33" s="44">
        <v>46198</v>
      </c>
      <c r="G33" s="70">
        <v>360</v>
      </c>
      <c r="H33" s="94">
        <v>0.4466095890410959</v>
      </c>
      <c r="I33" s="95">
        <v>0.07</v>
      </c>
      <c r="J33" s="91">
        <f>SUMIFS($D$5:$D$37,$B$5:$B$37,B33,$C$5:$C$37,"&lt;="&amp;C33)-SUMIFS($D$5:$D$37,$B$5:$B$37,B33,$F$5:$F$37,"&lt;="&amp;C33)</f>
        <v>25.875</v>
      </c>
      <c r="K33" t="s" s="2">
        <v>459</v>
      </c>
    </row>
    <row r="34">
      <c r="B34" t="s">
        <v>6</v>
      </c>
      <c r="C34" s="66">
        <v>45930</v>
      </c>
      <c r="D34" s="88">
        <v>6.46875</v>
      </c>
      <c r="E34" t="s">
        <v>366</v>
      </c>
      <c r="F34" t="s" s="96">
        <v>460</v>
      </c>
      <c r="G34" s="70">
        <v>273</v>
      </c>
      <c r="H34" s="97"/>
      <c r="I34" s="95">
        <v>0.07</v>
      </c>
      <c r="J34" s="91">
        <f>SUMIFS($D$5:$D$37,$B$5:$B$37,B34,$C$5:$C$37,"&lt;="&amp;C34)-SUMIFS($D$5:$D$37,$B$5:$B$37,B34,$F$5:$F$37,"&lt;="&amp;C34)</f>
        <v>25.875</v>
      </c>
      <c r="K34" t="s" s="2">
        <v>461</v>
      </c>
    </row>
    <row r="35">
      <c r="B35" t="s">
        <v>6</v>
      </c>
      <c r="C35" s="66">
        <v>46022</v>
      </c>
      <c r="D35" s="88">
        <v>6.46875</v>
      </c>
      <c r="E35" t="s">
        <v>366</v>
      </c>
      <c r="F35" t="s" s="96">
        <v>460</v>
      </c>
      <c r="G35" s="70">
        <v>181</v>
      </c>
      <c r="H35" s="97"/>
      <c r="I35" s="95">
        <v>0.07</v>
      </c>
      <c r="J35" s="91">
        <f>SUMIFS($D$5:$D$37,$B$5:$B$37,B35,$C$5:$C$37,"&lt;="&amp;C35)-SUMIFS($D$5:$D$37,$B$5:$B$37,B35,$F$5:$F$37,"&lt;="&amp;C35)</f>
        <v>25.875</v>
      </c>
      <c r="K35" t="s" s="2">
        <v>462</v>
      </c>
    </row>
    <row r="36">
      <c r="B36" t="s">
        <v>6</v>
      </c>
      <c r="C36" s="66">
        <v>46112</v>
      </c>
      <c r="D36" s="88">
        <v>6.46875</v>
      </c>
      <c r="E36" t="s">
        <v>366</v>
      </c>
      <c r="F36" t="s" s="96">
        <v>460</v>
      </c>
      <c r="G36" s="70">
        <v>91</v>
      </c>
      <c r="H36" s="97"/>
      <c r="I36" s="95">
        <v>0.07</v>
      </c>
      <c r="J36" s="91">
        <f>SUMIFS($D$5:$D$37,$B$5:$B$37,B36,$C$5:$C$37,"&lt;="&amp;C36)-SUMIFS($D$5:$D$37,$B$5:$B$37,B36,$F$5:$F$37,"&lt;="&amp;C36)</f>
        <v>25.875</v>
      </c>
      <c r="K36" t="s" s="2">
        <v>463</v>
      </c>
    </row>
    <row r="37">
      <c r="B37" t="s">
        <v>6</v>
      </c>
      <c r="C37" s="66">
        <v>46203</v>
      </c>
      <c r="D37" s="88">
        <v>4.831250000000001</v>
      </c>
      <c r="E37" t="s">
        <v>366</v>
      </c>
      <c r="F37" t="s" s="96">
        <v>460</v>
      </c>
      <c r="G37" s="70">
        <v>0</v>
      </c>
      <c r="H37" s="97"/>
      <c r="I37" s="95">
        <v>0.07</v>
      </c>
      <c r="J37" s="91">
        <f>SUMIFS($D$5:$D$37,$B$5:$B$37,B37,$C$5:$C$37,"&lt;="&amp;C37)-SUMIFS($D$5:$D$37,$B$5:$B$37,B37,$F$5:$F$37,"&lt;="&amp;C37)</f>
        <v>24.237499999999955</v>
      </c>
      <c r="K37" t="s" s="2">
        <v>464</v>
      </c>
    </row>
  </sheetData>
  <pageMargins left="0.7" right="0.7" top="0.75" bottom="0.75" header="0.3" footer="0.3"/>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97"/>
  <sheetViews>
    <sheetView showGridLines="0" workbookViewId="0">
      <pane ySplit="4" topLeftCell="A5" activePane="bottomLeft" state="frozen"/>
      <selection pane="bottomLeft" activeCell="A1" sqref="A1"/>
    </sheetView>
  </sheetViews>
  <cols>
    <col min="1" max="1" width="2.21875" customWidth="1"/>
    <col min="2" max="2" width="15.21875" customWidth="1"/>
    <col min="3" max="3" width="17.07421875" customWidth="1"/>
    <col min="4" max="4" width="3.7890625" customWidth="1"/>
    <col min="5" max="5" width="17.07421875" customWidth="1"/>
    <col min="6" max="6" width="15.21875" customWidth="1"/>
  </cols>
  <sheetData>
    <row r="2">
      <c r="B2" t="s" s="1">
        <v>465</v>
      </c>
    </row>
    <row r="3">
      <c r="B3" t="s" s="2">
        <v>466</v>
      </c>
    </row>
    <row r="4" ht="42" customHeight="1">
      <c r="B4" t="s" s="56">
        <v>306</v>
      </c>
      <c r="C4" t="s" s="56">
        <v>467</v>
      </c>
      <c r="E4" t="s" s="7">
        <v>468</v>
      </c>
      <c r="F4" s="66">
        <v>46203</v>
      </c>
    </row>
    <row r="5">
      <c r="B5" s="66">
        <v>40359</v>
      </c>
      <c r="C5" s="98">
        <v>2705.3701</v>
      </c>
    </row>
    <row r="6">
      <c r="B6" s="66">
        <v>40390</v>
      </c>
      <c r="C6" s="98">
        <v>2891.28</v>
      </c>
    </row>
    <row r="7">
      <c r="B7" s="66">
        <v>40421</v>
      </c>
      <c r="C7" s="98">
        <v>2677.21</v>
      </c>
    </row>
    <row r="8">
      <c r="B8" s="66">
        <v>40451</v>
      </c>
      <c r="C8" s="98">
        <v>3010.78</v>
      </c>
    </row>
    <row r="9">
      <c r="B9" s="66">
        <v>40482</v>
      </c>
      <c r="C9" s="98">
        <v>3133.99</v>
      </c>
    </row>
    <row r="10">
      <c r="B10" s="66">
        <v>40512</v>
      </c>
      <c r="C10" s="98">
        <v>3242.6599</v>
      </c>
    </row>
    <row r="11">
      <c r="B11" s="66">
        <v>40543</v>
      </c>
      <c r="C11" s="98">
        <v>3500.1499</v>
      </c>
    </row>
    <row r="12">
      <c r="B12" s="66">
        <v>40574</v>
      </c>
      <c r="C12" s="98">
        <v>3491.1299</v>
      </c>
    </row>
    <row r="13">
      <c r="B13" s="66">
        <v>40602</v>
      </c>
      <c r="C13" s="98">
        <v>3682.5901</v>
      </c>
    </row>
    <row r="14">
      <c r="B14" s="66">
        <v>40633</v>
      </c>
      <c r="C14" s="98">
        <v>3778.03</v>
      </c>
    </row>
    <row r="15">
      <c r="B15" s="66">
        <v>40663</v>
      </c>
      <c r="C15" s="98">
        <v>3877.79</v>
      </c>
    </row>
    <row r="16">
      <c r="B16" s="66">
        <v>40694</v>
      </c>
      <c r="C16" s="98">
        <v>3805.0801</v>
      </c>
    </row>
    <row r="17">
      <c r="B17" s="66">
        <v>40724</v>
      </c>
      <c r="C17" s="98">
        <v>3717.3601</v>
      </c>
    </row>
    <row r="18">
      <c r="B18" s="66">
        <v>40755</v>
      </c>
      <c r="C18" s="98">
        <v>3582.99</v>
      </c>
    </row>
    <row r="19">
      <c r="B19" s="66">
        <v>40786</v>
      </c>
      <c r="C19" s="98">
        <v>3271.1001</v>
      </c>
    </row>
    <row r="20">
      <c r="B20" s="66">
        <v>40816</v>
      </c>
      <c r="C20" s="98">
        <v>2904.55</v>
      </c>
    </row>
    <row r="21">
      <c r="B21" s="66">
        <v>40847</v>
      </c>
      <c r="C21" s="98">
        <v>3344.1699</v>
      </c>
    </row>
    <row r="22">
      <c r="B22" s="66">
        <v>40877</v>
      </c>
      <c r="C22" s="98">
        <v>3331.98</v>
      </c>
    </row>
    <row r="23">
      <c r="B23" s="66">
        <v>40908</v>
      </c>
      <c r="C23" s="98">
        <v>3353.99</v>
      </c>
    </row>
    <row r="24">
      <c r="B24" s="66">
        <v>40939</v>
      </c>
      <c r="C24" s="98">
        <v>3590.96</v>
      </c>
    </row>
    <row r="25">
      <c r="B25" s="66">
        <v>40968</v>
      </c>
      <c r="C25" s="98">
        <v>3676.8999</v>
      </c>
    </row>
    <row r="26">
      <c r="B26" s="66">
        <v>40999</v>
      </c>
      <c r="C26" s="98">
        <v>3771.1101</v>
      </c>
    </row>
    <row r="27">
      <c r="B27" s="66">
        <v>41029</v>
      </c>
      <c r="C27" s="98">
        <v>3712.8601</v>
      </c>
    </row>
    <row r="28">
      <c r="B28" s="66">
        <v>41060</v>
      </c>
      <c r="C28" s="98">
        <v>3467.1001</v>
      </c>
    </row>
    <row r="29">
      <c r="B29" s="66">
        <v>41090</v>
      </c>
      <c r="C29" s="98">
        <v>3640.1101</v>
      </c>
    </row>
    <row r="30">
      <c r="B30" s="66">
        <v>41121</v>
      </c>
      <c r="C30" s="98">
        <v>3589.8101</v>
      </c>
    </row>
    <row r="31">
      <c r="B31" s="66">
        <v>41152</v>
      </c>
      <c r="C31" s="98">
        <v>3709.52</v>
      </c>
    </row>
    <row r="32">
      <c r="B32" s="66">
        <v>41182</v>
      </c>
      <c r="C32" s="98">
        <v>3831.3301</v>
      </c>
    </row>
    <row r="33">
      <c r="B33" s="66">
        <v>41213</v>
      </c>
      <c r="C33" s="98">
        <v>3748.21</v>
      </c>
    </row>
    <row r="34">
      <c r="B34" s="66">
        <v>41243</v>
      </c>
      <c r="C34" s="98">
        <v>3768.1299</v>
      </c>
    </row>
    <row r="35">
      <c r="B35" s="66">
        <v>41274</v>
      </c>
      <c r="C35" s="98">
        <v>3902.3701</v>
      </c>
    </row>
    <row r="36">
      <c r="B36" s="66">
        <v>41305</v>
      </c>
      <c r="C36" s="98">
        <v>4146.6299</v>
      </c>
    </row>
    <row r="37">
      <c r="B37" s="66">
        <v>41333</v>
      </c>
      <c r="C37" s="98">
        <v>4192.3701</v>
      </c>
    </row>
    <row r="38">
      <c r="B38" s="66">
        <v>41364</v>
      </c>
      <c r="C38" s="98">
        <v>4385.9502</v>
      </c>
    </row>
    <row r="39">
      <c r="B39" s="66">
        <v>41394</v>
      </c>
      <c r="C39" s="98">
        <v>4369.8301</v>
      </c>
    </row>
    <row r="40">
      <c r="B40" s="66">
        <v>41425</v>
      </c>
      <c r="C40" s="98">
        <v>4544.48</v>
      </c>
    </row>
    <row r="41">
      <c r="B41" s="66">
        <v>41455</v>
      </c>
      <c r="C41" s="98">
        <v>4521.2402</v>
      </c>
    </row>
    <row r="42">
      <c r="B42" s="66">
        <v>41486</v>
      </c>
      <c r="C42" s="98">
        <v>4837.6499</v>
      </c>
    </row>
    <row r="43">
      <c r="B43" s="66">
        <v>41517</v>
      </c>
      <c r="C43" s="98">
        <v>4683.9902</v>
      </c>
    </row>
    <row r="44">
      <c r="B44" s="66">
        <v>41547</v>
      </c>
      <c r="C44" s="98">
        <v>4982.8501</v>
      </c>
    </row>
    <row r="45">
      <c r="B45" s="66">
        <v>41578</v>
      </c>
      <c r="C45" s="98">
        <v>5108.1499</v>
      </c>
    </row>
    <row r="46">
      <c r="B46" s="66">
        <v>41608</v>
      </c>
      <c r="C46" s="98">
        <v>5312.7998</v>
      </c>
    </row>
    <row r="47">
      <c r="B47" s="66">
        <v>41639</v>
      </c>
      <c r="C47" s="98">
        <v>5417.3599</v>
      </c>
    </row>
    <row r="48">
      <c r="B48" s="66">
        <v>41670</v>
      </c>
      <c r="C48" s="98">
        <v>5267.3999</v>
      </c>
    </row>
    <row r="49">
      <c r="B49" s="66">
        <v>41698</v>
      </c>
      <c r="C49" s="98">
        <v>5515.5601</v>
      </c>
    </row>
    <row r="50">
      <c r="B50" s="66">
        <v>41729</v>
      </c>
      <c r="C50" s="98">
        <v>5477.96</v>
      </c>
    </row>
    <row r="51">
      <c r="B51" s="66">
        <v>41759</v>
      </c>
      <c r="C51" s="98">
        <v>5265.52</v>
      </c>
    </row>
    <row r="52">
      <c r="B52" s="66">
        <v>41790</v>
      </c>
      <c r="C52" s="98">
        <v>5307.7202</v>
      </c>
    </row>
    <row r="53">
      <c r="B53" s="66">
        <v>41820</v>
      </c>
      <c r="C53" s="98">
        <v>5590.1201</v>
      </c>
    </row>
    <row r="54">
      <c r="B54" s="66">
        <v>41851</v>
      </c>
      <c r="C54" s="98">
        <v>5251.7598</v>
      </c>
    </row>
    <row r="55">
      <c r="B55" s="66">
        <v>41882</v>
      </c>
      <c r="C55" s="98">
        <v>5512.1499</v>
      </c>
    </row>
    <row r="56">
      <c r="B56" s="66">
        <v>41912</v>
      </c>
      <c r="C56" s="98">
        <v>5178.71</v>
      </c>
    </row>
    <row r="57">
      <c r="B57" s="66">
        <v>41943</v>
      </c>
      <c r="C57" s="98">
        <v>5520.0898</v>
      </c>
    </row>
    <row r="58">
      <c r="B58" s="66">
        <v>41973</v>
      </c>
      <c r="C58" s="98">
        <v>5525.04</v>
      </c>
    </row>
    <row r="59">
      <c r="B59" s="66">
        <v>42004</v>
      </c>
      <c r="C59" s="98">
        <v>5682.5</v>
      </c>
    </row>
    <row r="60">
      <c r="B60" s="66">
        <v>42035</v>
      </c>
      <c r="C60" s="98">
        <v>5499.7202</v>
      </c>
    </row>
    <row r="61">
      <c r="B61" s="66">
        <v>42063</v>
      </c>
      <c r="C61" s="98">
        <v>5826.2202</v>
      </c>
    </row>
    <row r="62">
      <c r="B62" s="66">
        <v>42094</v>
      </c>
      <c r="C62" s="98">
        <v>5927.7202</v>
      </c>
    </row>
    <row r="63">
      <c r="B63" s="66">
        <v>42124</v>
      </c>
      <c r="C63" s="98">
        <v>5776.54</v>
      </c>
    </row>
    <row r="64">
      <c r="B64" s="66">
        <v>42155</v>
      </c>
      <c r="C64" s="98">
        <v>5908.4199</v>
      </c>
    </row>
    <row r="65">
      <c r="B65" s="66">
        <v>42185</v>
      </c>
      <c r="C65" s="98">
        <v>5952.6699</v>
      </c>
    </row>
    <row r="66">
      <c r="B66" s="66">
        <v>42216</v>
      </c>
      <c r="C66" s="98">
        <v>5883.4902</v>
      </c>
    </row>
    <row r="67">
      <c r="B67" s="66">
        <v>42247</v>
      </c>
      <c r="C67" s="98">
        <v>5513.7598</v>
      </c>
    </row>
    <row r="68">
      <c r="B68" s="66">
        <v>42277</v>
      </c>
      <c r="C68" s="98">
        <v>5243.2402</v>
      </c>
    </row>
    <row r="69">
      <c r="B69" s="66">
        <v>42308</v>
      </c>
      <c r="C69" s="98">
        <v>5538.6499</v>
      </c>
    </row>
    <row r="70">
      <c r="B70" s="66">
        <v>42338</v>
      </c>
      <c r="C70" s="98">
        <v>5718.8101</v>
      </c>
    </row>
    <row r="71">
      <c r="B71" s="66">
        <v>42369</v>
      </c>
      <c r="C71" s="98">
        <v>5431.6699</v>
      </c>
    </row>
    <row r="72">
      <c r="B72" s="66">
        <v>42400</v>
      </c>
      <c r="C72" s="98">
        <v>4954.04</v>
      </c>
    </row>
    <row r="73">
      <c r="B73" s="66">
        <v>42429</v>
      </c>
      <c r="C73" s="98">
        <v>4953.8198</v>
      </c>
    </row>
    <row r="74">
      <c r="B74" s="66">
        <v>42460</v>
      </c>
      <c r="C74" s="98">
        <v>5349.1899</v>
      </c>
    </row>
    <row r="75">
      <c r="B75" s="66">
        <v>42490</v>
      </c>
      <c r="C75" s="98">
        <v>5433.1401</v>
      </c>
    </row>
    <row r="76">
      <c r="B76" s="66">
        <v>42521</v>
      </c>
      <c r="C76" s="98">
        <v>5555.5298</v>
      </c>
    </row>
    <row r="77">
      <c r="B77" s="66">
        <v>42551</v>
      </c>
      <c r="C77" s="98">
        <v>5552.02</v>
      </c>
    </row>
    <row r="78">
      <c r="B78" s="66">
        <v>42582</v>
      </c>
      <c r="C78" s="98">
        <v>5883.52</v>
      </c>
    </row>
    <row r="79">
      <c r="B79" s="66">
        <v>42613</v>
      </c>
      <c r="C79" s="98">
        <v>5987.5601</v>
      </c>
    </row>
    <row r="80">
      <c r="B80" s="66">
        <v>42643</v>
      </c>
      <c r="C80" s="98">
        <v>6054.25</v>
      </c>
    </row>
    <row r="81">
      <c r="B81" s="66">
        <v>42674</v>
      </c>
      <c r="C81" s="98">
        <v>5766.4302</v>
      </c>
    </row>
    <row r="82">
      <c r="B82" s="66">
        <v>42704</v>
      </c>
      <c r="C82" s="98">
        <v>6409.46</v>
      </c>
    </row>
    <row r="83">
      <c r="B83" s="66">
        <v>42735</v>
      </c>
      <c r="C83" s="98">
        <v>6589.0498</v>
      </c>
    </row>
    <row r="84">
      <c r="B84" s="66">
        <v>42766</v>
      </c>
      <c r="C84" s="98">
        <v>6615.04</v>
      </c>
    </row>
    <row r="85">
      <c r="B85" s="66">
        <v>42794</v>
      </c>
      <c r="C85" s="98">
        <v>6742.7002</v>
      </c>
    </row>
    <row r="86">
      <c r="B86" s="66">
        <v>42825</v>
      </c>
      <c r="C86" s="98">
        <v>6751.5298</v>
      </c>
    </row>
    <row r="87">
      <c r="B87" s="66">
        <v>42855</v>
      </c>
      <c r="C87" s="98">
        <v>6825.5698</v>
      </c>
    </row>
    <row r="88">
      <c r="B88" s="66">
        <v>42886</v>
      </c>
      <c r="C88" s="98">
        <v>6686.71</v>
      </c>
    </row>
    <row r="89">
      <c r="B89" s="66">
        <v>42916</v>
      </c>
      <c r="C89" s="98">
        <v>6917.8599</v>
      </c>
    </row>
    <row r="90">
      <c r="B90" s="66">
        <v>42947</v>
      </c>
      <c r="C90" s="98">
        <v>6969.25</v>
      </c>
    </row>
    <row r="91">
      <c r="B91" s="66">
        <v>42978</v>
      </c>
      <c r="C91" s="98">
        <v>6880.5898</v>
      </c>
    </row>
    <row r="92">
      <c r="B92" s="66">
        <v>43008</v>
      </c>
      <c r="C92" s="98">
        <v>7310</v>
      </c>
    </row>
    <row r="93">
      <c r="B93" s="66">
        <v>43039</v>
      </c>
      <c r="C93" s="98">
        <v>7371.1401</v>
      </c>
    </row>
    <row r="94">
      <c r="B94" s="66">
        <v>43069</v>
      </c>
      <c r="C94" s="98">
        <v>7584.7798</v>
      </c>
    </row>
    <row r="95">
      <c r="B95" s="66">
        <v>43100</v>
      </c>
      <c r="C95" s="98">
        <v>7554.1699</v>
      </c>
    </row>
    <row r="96">
      <c r="B96" s="66">
        <v>43131</v>
      </c>
      <c r="C96" s="98">
        <v>7751.5898</v>
      </c>
    </row>
    <row r="97">
      <c r="B97" s="66">
        <v>43159</v>
      </c>
      <c r="C97" s="98">
        <v>7451.4302</v>
      </c>
    </row>
    <row r="98">
      <c r="B98" s="66">
        <v>43190</v>
      </c>
      <c r="C98" s="98">
        <v>7547.8101</v>
      </c>
    </row>
    <row r="99">
      <c r="B99" s="66">
        <v>43220</v>
      </c>
      <c r="C99" s="98">
        <v>7613.0601</v>
      </c>
    </row>
    <row r="100">
      <c r="B100" s="66">
        <v>43251</v>
      </c>
      <c r="C100" s="98">
        <v>8075.1802</v>
      </c>
    </row>
    <row r="101">
      <c r="B101" s="66">
        <v>43281</v>
      </c>
      <c r="C101" s="98">
        <v>8133.04</v>
      </c>
    </row>
    <row r="102">
      <c r="B102" s="66">
        <v>43312</v>
      </c>
      <c r="C102" s="98">
        <v>8274.79</v>
      </c>
    </row>
    <row r="103">
      <c r="B103" s="66">
        <v>43343</v>
      </c>
      <c r="C103" s="98">
        <v>8631.5098</v>
      </c>
    </row>
    <row r="104">
      <c r="B104" s="66">
        <v>43373</v>
      </c>
      <c r="C104" s="98">
        <v>8423.9102</v>
      </c>
    </row>
    <row r="105">
      <c r="B105" s="66">
        <v>43404</v>
      </c>
      <c r="C105" s="98">
        <v>7508.9302</v>
      </c>
    </row>
    <row r="106">
      <c r="B106" s="66">
        <v>43434</v>
      </c>
      <c r="C106" s="98">
        <v>7628.29</v>
      </c>
    </row>
    <row r="107">
      <c r="B107" s="66">
        <v>43465</v>
      </c>
      <c r="C107" s="98">
        <v>6722.1499</v>
      </c>
    </row>
    <row r="108">
      <c r="B108" s="66">
        <v>43496</v>
      </c>
      <c r="C108" s="98">
        <v>7478.3901</v>
      </c>
    </row>
    <row r="109">
      <c r="B109" s="66">
        <v>43524</v>
      </c>
      <c r="C109" s="98">
        <v>7867.1699</v>
      </c>
    </row>
    <row r="110">
      <c r="B110" s="66">
        <v>43555</v>
      </c>
      <c r="C110" s="98">
        <v>7702.52</v>
      </c>
    </row>
    <row r="111">
      <c r="B111" s="66">
        <v>43585</v>
      </c>
      <c r="C111" s="98">
        <v>7964.1699</v>
      </c>
    </row>
    <row r="112">
      <c r="B112" s="66">
        <v>43616</v>
      </c>
      <c r="C112" s="98">
        <v>7344.7798</v>
      </c>
    </row>
    <row r="113">
      <c r="B113" s="66">
        <v>43646</v>
      </c>
      <c r="C113" s="98">
        <v>7863.8901</v>
      </c>
    </row>
    <row r="114">
      <c r="B114" s="66">
        <v>43677</v>
      </c>
      <c r="C114" s="98">
        <v>7909.1602</v>
      </c>
    </row>
    <row r="115">
      <c r="B115" s="66">
        <v>43708</v>
      </c>
      <c r="C115" s="98">
        <v>7518.6602</v>
      </c>
    </row>
    <row r="116">
      <c r="B116" s="66">
        <v>43738</v>
      </c>
      <c r="C116" s="98">
        <v>7675.0898</v>
      </c>
    </row>
    <row r="117">
      <c r="B117" s="66">
        <v>43769</v>
      </c>
      <c r="C117" s="98">
        <v>7877.23</v>
      </c>
    </row>
    <row r="118">
      <c r="B118" s="66">
        <v>43799</v>
      </c>
      <c r="C118" s="98">
        <v>8201.4902</v>
      </c>
    </row>
    <row r="119">
      <c r="B119" s="66">
        <v>43830</v>
      </c>
      <c r="C119" s="98">
        <v>8437.9805</v>
      </c>
    </row>
    <row r="120">
      <c r="B120" s="66">
        <v>43861</v>
      </c>
      <c r="C120" s="98">
        <v>8167.3599</v>
      </c>
    </row>
    <row r="121">
      <c r="B121" s="66">
        <v>43890</v>
      </c>
      <c r="C121" s="98">
        <v>7479.8101</v>
      </c>
    </row>
    <row r="122">
      <c r="B122" s="66">
        <v>43921</v>
      </c>
      <c r="C122" s="98">
        <v>5854.71</v>
      </c>
    </row>
    <row r="123">
      <c r="B123" s="66">
        <v>43951</v>
      </c>
      <c r="C123" s="98">
        <v>6658.8799</v>
      </c>
    </row>
    <row r="124">
      <c r="B124" s="66">
        <v>43982</v>
      </c>
      <c r="C124" s="98">
        <v>7092.21</v>
      </c>
    </row>
    <row r="125">
      <c r="B125" s="66">
        <v>44012</v>
      </c>
      <c r="C125" s="98">
        <v>7342.8999</v>
      </c>
    </row>
    <row r="126">
      <c r="B126" s="66">
        <v>44043</v>
      </c>
      <c r="C126" s="98">
        <v>7546.1401</v>
      </c>
    </row>
    <row r="127">
      <c r="B127" s="66">
        <v>44074</v>
      </c>
      <c r="C127" s="98">
        <v>7971.3101</v>
      </c>
    </row>
    <row r="128">
      <c r="B128" s="66">
        <v>44104</v>
      </c>
      <c r="C128" s="98">
        <v>7705.04</v>
      </c>
    </row>
    <row r="129">
      <c r="B129" s="66">
        <v>44135</v>
      </c>
      <c r="C129" s="98">
        <v>7866.4199</v>
      </c>
    </row>
    <row r="130">
      <c r="B130" s="66">
        <v>44165</v>
      </c>
      <c r="C130" s="98">
        <v>9316.3896</v>
      </c>
    </row>
    <row r="131">
      <c r="B131" s="66">
        <v>44196</v>
      </c>
      <c r="C131" s="98">
        <v>10122.2695</v>
      </c>
    </row>
    <row r="132">
      <c r="B132" s="66">
        <v>44227</v>
      </c>
      <c r="C132" s="98">
        <v>10631.6396</v>
      </c>
    </row>
    <row r="133">
      <c r="B133" s="66">
        <v>44255</v>
      </c>
      <c r="C133" s="98">
        <v>11294.2598</v>
      </c>
    </row>
    <row r="134">
      <c r="B134" s="66">
        <v>44286</v>
      </c>
      <c r="C134" s="98">
        <v>11407.7002</v>
      </c>
    </row>
    <row r="135">
      <c r="B135" s="66">
        <v>44316</v>
      </c>
      <c r="C135" s="98">
        <v>11647.2402</v>
      </c>
    </row>
    <row r="136">
      <c r="B136" s="66">
        <v>44347</v>
      </c>
      <c r="C136" s="98">
        <v>11671.2598</v>
      </c>
    </row>
    <row r="137">
      <c r="B137" s="66">
        <v>44377</v>
      </c>
      <c r="C137" s="98">
        <v>11897.3799</v>
      </c>
    </row>
    <row r="138">
      <c r="B138" s="66">
        <v>44408</v>
      </c>
      <c r="C138" s="98">
        <v>11467.7803</v>
      </c>
    </row>
    <row r="139">
      <c r="B139" s="66">
        <v>44439</v>
      </c>
      <c r="C139" s="98">
        <v>11724.2998</v>
      </c>
    </row>
    <row r="140">
      <c r="B140" s="66">
        <v>44469</v>
      </c>
      <c r="C140" s="98">
        <v>11378.6104</v>
      </c>
    </row>
    <row r="141">
      <c r="B141" s="66">
        <v>44500</v>
      </c>
      <c r="C141" s="98">
        <v>11862.6504</v>
      </c>
    </row>
    <row r="142">
      <c r="B142" s="66">
        <v>44530</v>
      </c>
      <c r="C142" s="98">
        <v>11368.3301</v>
      </c>
    </row>
    <row r="143">
      <c r="B143" s="66">
        <v>44561</v>
      </c>
      <c r="C143" s="98">
        <v>11622.2803</v>
      </c>
    </row>
    <row r="144">
      <c r="B144" s="66">
        <v>44592</v>
      </c>
      <c r="C144" s="98">
        <v>10503.3604</v>
      </c>
    </row>
    <row r="145">
      <c r="B145" s="66">
        <v>44620</v>
      </c>
      <c r="C145" s="98">
        <v>10615.4902</v>
      </c>
    </row>
    <row r="146">
      <c r="B146" s="66">
        <v>44651</v>
      </c>
      <c r="C146" s="98">
        <v>10747.6104</v>
      </c>
    </row>
    <row r="147">
      <c r="B147" s="66">
        <v>44681</v>
      </c>
      <c r="C147" s="98">
        <v>9682.4199</v>
      </c>
    </row>
    <row r="148">
      <c r="B148" s="66">
        <v>44712</v>
      </c>
      <c r="C148" s="98">
        <v>9697.0498</v>
      </c>
    </row>
    <row r="149">
      <c r="B149" s="66">
        <v>44742</v>
      </c>
      <c r="C149" s="98">
        <v>8899.54</v>
      </c>
    </row>
    <row r="150">
      <c r="B150" s="66">
        <v>44773</v>
      </c>
      <c r="C150" s="98">
        <v>9828.6699</v>
      </c>
    </row>
    <row r="151">
      <c r="B151" s="66">
        <v>44804</v>
      </c>
      <c r="C151" s="98">
        <v>9627.5498</v>
      </c>
    </row>
    <row r="152">
      <c r="B152" s="66">
        <v>44834</v>
      </c>
      <c r="C152" s="98">
        <v>8704.8896</v>
      </c>
    </row>
    <row r="153">
      <c r="B153" s="66">
        <v>44865</v>
      </c>
      <c r="C153" s="98">
        <v>9663.2002</v>
      </c>
    </row>
    <row r="154">
      <c r="B154" s="66">
        <v>44895</v>
      </c>
      <c r="C154" s="98">
        <v>9888.9102</v>
      </c>
    </row>
    <row r="155">
      <c r="B155" s="66">
        <v>44926</v>
      </c>
      <c r="C155" s="98">
        <v>9247.0996</v>
      </c>
    </row>
    <row r="156">
      <c r="B156" s="66">
        <v>44957</v>
      </c>
      <c r="C156" s="98">
        <v>10148.3799</v>
      </c>
    </row>
    <row r="157">
      <c r="B157" s="66">
        <v>44985</v>
      </c>
      <c r="C157" s="98">
        <v>9976.96</v>
      </c>
    </row>
    <row r="158">
      <c r="B158" s="66">
        <v>45016</v>
      </c>
      <c r="C158" s="98">
        <v>9500.2695</v>
      </c>
    </row>
    <row r="159">
      <c r="B159" s="66">
        <v>45046</v>
      </c>
      <c r="C159" s="98">
        <v>9329.4697</v>
      </c>
    </row>
    <row r="160">
      <c r="B160" s="66">
        <v>45077</v>
      </c>
      <c r="C160" s="98">
        <v>9243.29</v>
      </c>
    </row>
    <row r="161">
      <c r="B161" s="66">
        <v>45107</v>
      </c>
      <c r="C161" s="98">
        <v>9994.7803</v>
      </c>
    </row>
    <row r="162">
      <c r="B162" s="66">
        <v>45138</v>
      </c>
      <c r="C162" s="98">
        <v>10606</v>
      </c>
    </row>
    <row r="163">
      <c r="B163" s="66">
        <v>45169</v>
      </c>
      <c r="C163" s="98">
        <v>10075.4004</v>
      </c>
    </row>
    <row r="164">
      <c r="B164" s="66">
        <v>45199</v>
      </c>
      <c r="C164" s="98">
        <v>9482.2402</v>
      </c>
    </row>
    <row r="165">
      <c r="B165" s="66">
        <v>45230</v>
      </c>
      <c r="C165" s="98">
        <v>8835.5596</v>
      </c>
    </row>
    <row r="166">
      <c r="B166" s="66">
        <v>45260</v>
      </c>
      <c r="C166" s="98">
        <v>9635.2598</v>
      </c>
    </row>
    <row r="167">
      <c r="B167" s="66">
        <v>45291</v>
      </c>
      <c r="C167" s="98">
        <v>10812.5303</v>
      </c>
    </row>
    <row r="168">
      <c r="B168" s="66">
        <v>45322</v>
      </c>
      <c r="C168" s="98">
        <v>10392</v>
      </c>
    </row>
    <row r="169">
      <c r="B169" s="66">
        <v>45351</v>
      </c>
      <c r="C169" s="98">
        <v>10979.5801</v>
      </c>
    </row>
    <row r="170">
      <c r="B170" s="66">
        <v>45382</v>
      </c>
      <c r="C170" s="98">
        <v>11372.6299</v>
      </c>
    </row>
    <row r="171">
      <c r="B171" s="66">
        <v>45412</v>
      </c>
      <c r="C171" s="98">
        <v>10572.2002</v>
      </c>
    </row>
    <row r="172">
      <c r="B172" s="66">
        <v>45443</v>
      </c>
      <c r="C172" s="98">
        <v>11102.5801</v>
      </c>
    </row>
    <row r="173">
      <c r="B173" s="66">
        <v>45473</v>
      </c>
      <c r="C173" s="98">
        <v>10999.8701</v>
      </c>
    </row>
    <row r="174">
      <c r="B174" s="66">
        <v>45504</v>
      </c>
      <c r="C174" s="98">
        <v>12117.4502</v>
      </c>
    </row>
    <row r="175">
      <c r="B175" s="66">
        <v>45535</v>
      </c>
      <c r="C175" s="98">
        <v>11936.4404</v>
      </c>
    </row>
    <row r="176">
      <c r="B176" s="66">
        <v>45565</v>
      </c>
      <c r="C176" s="98">
        <v>12019.8701</v>
      </c>
    </row>
    <row r="177">
      <c r="B177" s="66">
        <v>45596</v>
      </c>
      <c r="C177" s="98">
        <v>11846.2598</v>
      </c>
    </row>
    <row r="178">
      <c r="B178" s="66">
        <v>45626</v>
      </c>
      <c r="C178" s="98">
        <v>13145.7197</v>
      </c>
    </row>
    <row r="179">
      <c r="B179" s="66">
        <v>45657</v>
      </c>
      <c r="C179" s="98">
        <v>12060.0703</v>
      </c>
    </row>
    <row r="180">
      <c r="B180" s="66">
        <v>45688</v>
      </c>
      <c r="C180" s="98">
        <v>12376.2803</v>
      </c>
    </row>
    <row r="181">
      <c r="B181" s="66">
        <v>45716</v>
      </c>
      <c r="C181" s="98">
        <v>11714.2803</v>
      </c>
    </row>
    <row r="182">
      <c r="B182" s="66">
        <v>45747</v>
      </c>
      <c r="C182" s="98">
        <v>10916.9004</v>
      </c>
    </row>
    <row r="183">
      <c r="B183" s="66">
        <v>45777</v>
      </c>
      <c r="C183" s="98">
        <v>10664.7002</v>
      </c>
    </row>
    <row r="184">
      <c r="B184" s="66">
        <v>45808</v>
      </c>
      <c r="C184" s="98">
        <v>11234.2002</v>
      </c>
    </row>
    <row r="185">
      <c r="B185" s="66">
        <v>45838</v>
      </c>
      <c r="C185" s="98">
        <v>11844.7998</v>
      </c>
    </row>
    <row r="186">
      <c r="B186" s="66">
        <v>45869</v>
      </c>
      <c r="C186" s="98">
        <v>12050.2695</v>
      </c>
    </row>
    <row r="187">
      <c r="B187" s="66">
        <v>45900</v>
      </c>
      <c r="C187" s="98">
        <v>12911.2197</v>
      </c>
    </row>
    <row r="188">
      <c r="B188" s="66">
        <v>45930</v>
      </c>
      <c r="C188" s="98">
        <v>13312.9297</v>
      </c>
    </row>
    <row r="189">
      <c r="B189" s="66">
        <v>45961</v>
      </c>
      <c r="C189" s="98">
        <v>13553.7803</v>
      </c>
    </row>
    <row r="190">
      <c r="B190" s="66">
        <v>45991</v>
      </c>
      <c r="C190" s="98">
        <v>13683.9902</v>
      </c>
    </row>
    <row r="191">
      <c r="B191" s="66">
        <v>46022</v>
      </c>
      <c r="C191" s="98">
        <v>13604.5898</v>
      </c>
    </row>
    <row r="192">
      <c r="B192" s="66">
        <v>46053</v>
      </c>
      <c r="C192" s="98">
        <v>14332.6104</v>
      </c>
    </row>
    <row r="193">
      <c r="B193" s="66">
        <v>46081</v>
      </c>
      <c r="C193" s="98">
        <v>14447.9102</v>
      </c>
    </row>
    <row r="194">
      <c r="B194" s="66">
        <v>46112</v>
      </c>
      <c r="C194" s="98">
        <v>13725.25</v>
      </c>
    </row>
    <row r="195">
      <c r="B195" s="66">
        <v>46142</v>
      </c>
      <c r="C195" s="98">
        <v>15401.1797</v>
      </c>
    </row>
    <row r="196">
      <c r="B196" s="66">
        <v>46173</v>
      </c>
      <c r="C196" s="98">
        <v>16074.2598</v>
      </c>
    </row>
    <row r="197">
      <c r="B197" s="66">
        <v>46203</v>
      </c>
      <c r="C197" s="98">
        <v>16674.9707</v>
      </c>
    </row>
  </sheetData>
  <pageMargins left="0.7" right="0.7" top="0.75" bottom="0.75" header="0.3" footer="0.3"/>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45"/>
  <sheetViews>
    <sheetView showGridLines="0" workbookViewId="0">
      <pane ySplit="5" topLeftCell="A6" activePane="bottomLeft" state="frozen"/>
      <selection pane="bottomLeft" activeCell="A1" sqref="A1"/>
    </sheetView>
  </sheetViews>
  <cols>
    <col min="1" max="1" width="2" customWidth="1"/>
    <col min="2" max="2" width="8" customWidth="1"/>
    <col min="3" max="3" width="30" customWidth="1"/>
    <col min="4" max="4" width="22" customWidth="1"/>
    <col min="5" max="5" width="11" customWidth="1"/>
    <col min="6" max="6" width="17" customWidth="1"/>
    <col min="7" max="13" width="11" customWidth="1"/>
    <col min="14" max="15" width="10" customWidth="1"/>
    <col min="16" max="16" width="13" customWidth="1"/>
    <col min="17" max="20" width="10" customWidth="1"/>
  </cols>
  <sheetData>
    <row r="2">
      <c r="B2" t="s" s="1">
        <v>540</v>
      </c>
    </row>
    <row r="3">
      <c r="B3" t="s" s="2">
        <v>541</v>
      </c>
    </row>
    <row r="5" ht="28" customHeight="1">
      <c r="B5" t="s" s="128">
        <v>179</v>
      </c>
      <c r="C5" t="s" s="128">
        <v>139</v>
      </c>
      <c r="D5" t="s" s="128">
        <v>542</v>
      </c>
      <c r="E5" t="s" s="128">
        <v>543</v>
      </c>
      <c r="F5" t="s" s="128">
        <v>35</v>
      </c>
      <c r="G5" t="s" s="125">
        <v>140</v>
      </c>
      <c r="H5" t="s" s="125">
        <v>141</v>
      </c>
      <c r="I5" t="s" s="125">
        <v>9</v>
      </c>
      <c r="J5" t="s" s="125">
        <v>544</v>
      </c>
      <c r="K5" t="s" s="125">
        <v>545</v>
      </c>
      <c r="L5" t="s" s="125">
        <v>145</v>
      </c>
      <c r="M5" t="s" s="125">
        <v>476</v>
      </c>
      <c r="N5" t="s" s="125">
        <v>11</v>
      </c>
      <c r="O5" t="s" s="125">
        <v>12</v>
      </c>
      <c r="P5" t="s" s="125">
        <v>546</v>
      </c>
      <c r="Q5" t="s" s="125">
        <v>547</v>
      </c>
      <c r="R5" t="s" s="125">
        <v>548</v>
      </c>
      <c r="S5" t="s" s="125">
        <v>549</v>
      </c>
      <c r="T5" t="s" s="125">
        <v>550</v>
      </c>
      <c r="U5" t="s" s="129">
        <v>97</v>
      </c>
    </row>
    <row r="6">
      <c r="B6" t="s">
        <v>3</v>
      </c>
      <c r="C6" t="s">
        <v>186</v>
      </c>
      <c r="D6" t="s">
        <v>551</v>
      </c>
      <c r="E6" t="s">
        <v>552</v>
      </c>
      <c r="F6" t="s">
        <v>143</v>
      </c>
      <c r="G6" s="66">
        <v>40451</v>
      </c>
      <c r="H6" s="66">
        <v>42004</v>
      </c>
      <c r="I6" s="121">
        <v>30</v>
      </c>
      <c r="J6" s="121">
        <v>78</v>
      </c>
      <c r="K6" s="121">
        <v>0</v>
      </c>
      <c r="L6" s="103">
        <f>J6+K6</f>
        <v>78</v>
      </c>
      <c r="M6" s="103">
        <f>L6-I6</f>
        <v>48</v>
      </c>
      <c r="N6" s="115">
        <f>L6/I6</f>
        <v>2.6</v>
      </c>
      <c r="O6" s="112">
        <f>XIRR('Deal Cash Flows'!$F$6:$F$7,'Deal Cash Flows'!$D$6:$D$7)</f>
        <v>0.251787930727005</v>
      </c>
      <c r="P6" t="str" s="33">
        <f>INDEX('Deal Dispersion and Loss'!$B$15:$B$19,MATCH(N6,'Deal Dispersion and Loss'!$C$15:$C$19,1))</f>
        <v>2.0x to 3.0x</v>
      </c>
      <c r="Q6" s="130">
        <v>2.6</v>
      </c>
      <c r="R6" s="122">
        <v>0.251787934133162</v>
      </c>
      <c r="S6" s="131">
        <f>ROUND(N6-Q6,6)</f>
        <v>0</v>
      </c>
      <c r="T6" s="132">
        <f>ROUND(O6-R6,6)</f>
        <v>0</v>
      </c>
      <c r="U6" t="s" s="2">
        <v>553</v>
      </c>
    </row>
    <row r="7">
      <c r="B7" t="s">
        <v>3</v>
      </c>
      <c r="C7" t="s">
        <v>191</v>
      </c>
      <c r="D7" t="s">
        <v>554</v>
      </c>
      <c r="E7" t="s">
        <v>555</v>
      </c>
      <c r="F7" t="s">
        <v>143</v>
      </c>
      <c r="G7" s="66">
        <v>40543</v>
      </c>
      <c r="H7" s="66">
        <v>42185</v>
      </c>
      <c r="I7" s="121">
        <v>28</v>
      </c>
      <c r="J7" s="121">
        <v>80</v>
      </c>
      <c r="K7" s="121">
        <v>0</v>
      </c>
      <c r="L7" s="103">
        <f>J7+K7</f>
        <v>80</v>
      </c>
      <c r="M7" s="103">
        <f>L7-I7</f>
        <v>52</v>
      </c>
      <c r="N7" s="115">
        <f>L7/I7</f>
        <v>2.857142857142857</v>
      </c>
      <c r="O7" s="112">
        <f>XIRR('Deal Cash Flows'!$F$8:$F$9,'Deal Cash Flows'!$D$8:$D$9)</f>
        <v>0.26284213662147526</v>
      </c>
      <c r="P7" t="str" s="33">
        <f>INDEX('Deal Dispersion and Loss'!$B$15:$B$19,MATCH(N7,'Deal Dispersion and Loss'!$C$15:$C$19,1))</f>
        <v>2.0x to 3.0x</v>
      </c>
      <c r="Q7" s="130">
        <v>2.857142857142857</v>
      </c>
      <c r="R7" s="122">
        <v>0.2628421368903847</v>
      </c>
      <c r="S7" s="131">
        <f>ROUND(N7-Q7,6)</f>
        <v>0</v>
      </c>
      <c r="T7" s="132">
        <f>ROUND(O7-R7,6)</f>
        <v>0</v>
      </c>
      <c r="U7" t="s" s="2">
        <v>556</v>
      </c>
    </row>
    <row r="8">
      <c r="B8" t="s">
        <v>3</v>
      </c>
      <c r="C8" t="s">
        <v>194</v>
      </c>
      <c r="D8" t="s">
        <v>551</v>
      </c>
      <c r="E8" t="s">
        <v>552</v>
      </c>
      <c r="F8" t="s">
        <v>143</v>
      </c>
      <c r="G8" s="66">
        <v>40724</v>
      </c>
      <c r="H8" s="66">
        <v>42369</v>
      </c>
      <c r="I8" s="121">
        <v>32</v>
      </c>
      <c r="J8" s="121">
        <v>70</v>
      </c>
      <c r="K8" s="121">
        <v>0</v>
      </c>
      <c r="L8" s="103">
        <f>J8+K8</f>
        <v>70</v>
      </c>
      <c r="M8" s="103">
        <f>L8-I8</f>
        <v>38</v>
      </c>
      <c r="N8" s="115">
        <f>L8/I8</f>
        <v>2.1875</v>
      </c>
      <c r="O8" s="112">
        <f>XIRR('Deal Cash Flows'!$F$10:$F$11,'Deal Cash Flows'!$D$10:$D$11)</f>
        <v>0.18967738747596738</v>
      </c>
      <c r="P8" t="str" s="33">
        <f>INDEX('Deal Dispersion and Loss'!$B$15:$B$19,MATCH(N8,'Deal Dispersion and Loss'!$C$15:$C$19,1))</f>
        <v>2.0x to 3.0x</v>
      </c>
      <c r="Q8" s="130">
        <v>2.1875</v>
      </c>
      <c r="R8" s="122">
        <v>0.1896773827328616</v>
      </c>
      <c r="S8" s="131">
        <f>ROUND(N8-Q8,6)</f>
        <v>0</v>
      </c>
      <c r="T8" s="132">
        <f>ROUND(O8-R8,6)</f>
        <v>0</v>
      </c>
      <c r="U8" t="s" s="2">
        <v>557</v>
      </c>
    </row>
    <row r="9">
      <c r="B9" t="s">
        <v>3</v>
      </c>
      <c r="C9" t="s">
        <v>197</v>
      </c>
      <c r="D9" t="s">
        <v>554</v>
      </c>
      <c r="E9" t="s">
        <v>555</v>
      </c>
      <c r="F9" t="s">
        <v>143</v>
      </c>
      <c r="G9" s="66">
        <v>40816</v>
      </c>
      <c r="H9" s="66">
        <v>42460</v>
      </c>
      <c r="I9" s="121">
        <v>25</v>
      </c>
      <c r="J9" s="121">
        <v>62</v>
      </c>
      <c r="K9" s="121">
        <v>0</v>
      </c>
      <c r="L9" s="103">
        <f>J9+K9</f>
        <v>62</v>
      </c>
      <c r="M9" s="103">
        <f>L9-I9</f>
        <v>37</v>
      </c>
      <c r="N9" s="115">
        <f>L9/I9</f>
        <v>2.48</v>
      </c>
      <c r="O9" s="112">
        <f>XIRR('Deal Cash Flows'!$F$12:$F$13,'Deal Cash Flows'!$D$12:$D$13)</f>
        <v>0.2234210550785065</v>
      </c>
      <c r="P9" t="str" s="33">
        <f>INDEX('Deal Dispersion and Loss'!$B$15:$B$19,MATCH(N9,'Deal Dispersion and Loss'!$C$15:$C$19,1))</f>
        <v>2.0x to 3.0x</v>
      </c>
      <c r="Q9" s="130">
        <v>2.48</v>
      </c>
      <c r="R9" s="122">
        <v>0.223421056769067</v>
      </c>
      <c r="S9" s="131">
        <f>ROUND(N9-Q9,6)</f>
        <v>0</v>
      </c>
      <c r="T9" s="132">
        <f>ROUND(O9-R9,6)</f>
        <v>0</v>
      </c>
      <c r="U9" t="s" s="2">
        <v>558</v>
      </c>
    </row>
    <row r="10">
      <c r="B10" t="s">
        <v>3</v>
      </c>
      <c r="C10" t="s">
        <v>200</v>
      </c>
      <c r="D10" t="s">
        <v>551</v>
      </c>
      <c r="E10" t="s">
        <v>552</v>
      </c>
      <c r="F10" t="s">
        <v>143</v>
      </c>
      <c r="G10" s="66">
        <v>40999</v>
      </c>
      <c r="H10" s="66">
        <v>42643</v>
      </c>
      <c r="I10" s="121">
        <v>35</v>
      </c>
      <c r="J10" s="121">
        <v>98</v>
      </c>
      <c r="K10" s="121">
        <v>0</v>
      </c>
      <c r="L10" s="103">
        <f>J10+K10</f>
        <v>98</v>
      </c>
      <c r="M10" s="103">
        <f>L10-I10</f>
        <v>63</v>
      </c>
      <c r="N10" s="115">
        <f>L10/I10</f>
        <v>2.8</v>
      </c>
      <c r="O10" s="112">
        <f>XIRR('Deal Cash Flows'!$F$14:$F$15,'Deal Cash Flows'!$D$14:$D$15)</f>
        <v>0.2568336069583893</v>
      </c>
      <c r="P10" t="str" s="33">
        <f>INDEX('Deal Dispersion and Loss'!$B$15:$B$19,MATCH(N10,'Deal Dispersion and Loss'!$C$15:$C$19,1))</f>
        <v>2.0x to 3.0x</v>
      </c>
      <c r="Q10" s="130">
        <v>2.8</v>
      </c>
      <c r="R10" s="122">
        <v>0.256833612194045</v>
      </c>
      <c r="S10" s="131">
        <f>ROUND(N10-Q10,6)</f>
        <v>0</v>
      </c>
      <c r="T10" s="132">
        <f>ROUND(O10-R10,6)</f>
        <v>0</v>
      </c>
      <c r="U10" t="s" s="2">
        <v>559</v>
      </c>
    </row>
    <row r="11">
      <c r="B11" t="s">
        <v>3</v>
      </c>
      <c r="C11" t="s">
        <v>203</v>
      </c>
      <c r="D11" t="s">
        <v>560</v>
      </c>
      <c r="E11" t="s">
        <v>555</v>
      </c>
      <c r="F11" t="s">
        <v>143</v>
      </c>
      <c r="G11" s="66">
        <v>41182</v>
      </c>
      <c r="H11" s="66">
        <v>42916</v>
      </c>
      <c r="I11" s="121">
        <v>30</v>
      </c>
      <c r="J11" s="121">
        <v>72</v>
      </c>
      <c r="K11" s="121">
        <v>0</v>
      </c>
      <c r="L11" s="103">
        <f>J11+K11</f>
        <v>72</v>
      </c>
      <c r="M11" s="103">
        <f>L11-I11</f>
        <v>42</v>
      </c>
      <c r="N11" s="115">
        <f>L11/I11</f>
        <v>2.4</v>
      </c>
      <c r="O11" s="112">
        <f>XIRR('Deal Cash Flows'!$F$16:$F$17,'Deal Cash Flows'!$D$16:$D$17)</f>
        <v>0.2023556053638458</v>
      </c>
      <c r="P11" t="str" s="33">
        <f>INDEX('Deal Dispersion and Loss'!$B$15:$B$19,MATCH(N11,'Deal Dispersion and Loss'!$C$15:$C$19,1))</f>
        <v>2.0x to 3.0x</v>
      </c>
      <c r="Q11" s="130">
        <v>2.4</v>
      </c>
      <c r="R11" s="122">
        <v>0.2023556028836561</v>
      </c>
      <c r="S11" s="131">
        <f>ROUND(N11-Q11,6)</f>
        <v>0</v>
      </c>
      <c r="T11" s="132">
        <f>ROUND(O11-R11,6)</f>
        <v>0</v>
      </c>
      <c r="U11" t="s" s="2">
        <v>561</v>
      </c>
    </row>
    <row r="12">
      <c r="B12" t="s">
        <v>3</v>
      </c>
      <c r="C12" t="s">
        <v>206</v>
      </c>
      <c r="D12" t="s">
        <v>551</v>
      </c>
      <c r="E12" t="s">
        <v>552</v>
      </c>
      <c r="F12" t="s">
        <v>143</v>
      </c>
      <c r="G12" s="66">
        <v>41364</v>
      </c>
      <c r="H12" s="66">
        <v>43100</v>
      </c>
      <c r="I12" s="121">
        <v>28</v>
      </c>
      <c r="J12" s="121">
        <v>52</v>
      </c>
      <c r="K12" s="121">
        <v>0</v>
      </c>
      <c r="L12" s="103">
        <f>J12+K12</f>
        <v>52</v>
      </c>
      <c r="M12" s="103">
        <f>L12-I12</f>
        <v>24</v>
      </c>
      <c r="N12" s="115">
        <f>L12/I12</f>
        <v>1.8571428571428572</v>
      </c>
      <c r="O12" s="112">
        <f>XIRR('Deal Cash Flows'!$F$18:$F$19,'Deal Cash Flows'!$D$18:$D$19)</f>
        <v>0.13900507092475894</v>
      </c>
      <c r="P12" t="str" s="33">
        <f>INDEX('Deal Dispersion and Loss'!$B$15:$B$19,MATCH(N12,'Deal Dispersion and Loss'!$C$15:$C$19,1))</f>
        <v>1.0x to 2.0x</v>
      </c>
      <c r="Q12" s="130">
        <v>1.857142857142857</v>
      </c>
      <c r="R12" s="122">
        <v>0.1390050670108615</v>
      </c>
      <c r="S12" s="131">
        <f>ROUND(N12-Q12,6)</f>
        <v>0</v>
      </c>
      <c r="T12" s="132">
        <f>ROUND(O12-R12,6)</f>
        <v>0</v>
      </c>
      <c r="U12" t="s" s="2">
        <v>562</v>
      </c>
    </row>
    <row r="13">
      <c r="B13" t="s" s="133">
        <v>3</v>
      </c>
      <c r="C13" t="s" s="133">
        <v>209</v>
      </c>
      <c r="D13" t="s" s="133">
        <v>554</v>
      </c>
      <c r="E13" t="s" s="133">
        <v>555</v>
      </c>
      <c r="F13" t="s" s="133">
        <v>143</v>
      </c>
      <c r="G13" s="134">
        <v>41455</v>
      </c>
      <c r="H13" s="134">
        <v>42735</v>
      </c>
      <c r="I13" s="135">
        <v>22</v>
      </c>
      <c r="J13" s="135">
        <v>8</v>
      </c>
      <c r="K13" s="135">
        <v>0</v>
      </c>
      <c r="L13" s="136">
        <f>J13+K13</f>
        <v>8</v>
      </c>
      <c r="M13" s="136">
        <f>L13-I13</f>
        <v>-14</v>
      </c>
      <c r="N13" s="137">
        <f>L13/I13</f>
        <v>0.36363636363636365</v>
      </c>
      <c r="O13" s="138">
        <f>XIRR('Deal Cash Flows'!$F$20:$F$21,'Deal Cash Flows'!$D$20:$D$21)</f>
        <v>-0.25058646276593216</v>
      </c>
      <c r="P13" t="str" s="139">
        <f>INDEX('Deal Dispersion and Loss'!$B$15:$B$19,MATCH(N13,'Deal Dispersion and Loss'!$C$15:$C$19,1))</f>
        <v>Below 1.0x</v>
      </c>
      <c r="Q13" s="140">
        <v>0.3636363636363636</v>
      </c>
      <c r="R13" s="141">
        <v>-0.2505864581059393</v>
      </c>
      <c r="S13" s="142">
        <f>ROUND(N13-Q13,6)</f>
        <v>0</v>
      </c>
      <c r="T13" s="143">
        <f>ROUND(O13-R13,6)</f>
        <v>0</v>
      </c>
      <c r="U13" t="s" s="2">
        <v>563</v>
      </c>
    </row>
    <row r="14">
      <c r="B14" t="s">
        <v>4</v>
      </c>
      <c r="C14" t="s">
        <v>212</v>
      </c>
      <c r="D14" t="s">
        <v>564</v>
      </c>
      <c r="E14" t="s">
        <v>552</v>
      </c>
      <c r="F14" t="s">
        <v>143</v>
      </c>
      <c r="G14" s="66">
        <v>41639</v>
      </c>
      <c r="H14" s="66">
        <v>43100</v>
      </c>
      <c r="I14" s="121">
        <v>40</v>
      </c>
      <c r="J14" s="121">
        <v>120</v>
      </c>
      <c r="K14" s="121">
        <v>0</v>
      </c>
      <c r="L14" s="103">
        <f>J14+K14</f>
        <v>120</v>
      </c>
      <c r="M14" s="103">
        <f>L14-I14</f>
        <v>80</v>
      </c>
      <c r="N14" s="115">
        <f>L14/I14</f>
        <v>3</v>
      </c>
      <c r="O14" s="112">
        <f>XIRR('Deal Cash Flows'!$F$22:$F$23,'Deal Cash Flows'!$D$22:$D$23)</f>
        <v>0.3158266246318817</v>
      </c>
      <c r="P14" t="str" s="33">
        <f>INDEX('Deal Dispersion and Loss'!$B$15:$B$19,MATCH(N14,'Deal Dispersion and Loss'!$C$15:$C$19,1))</f>
        <v>3.0x to 5.0x</v>
      </c>
      <c r="Q14" s="130">
        <v>3</v>
      </c>
      <c r="R14" s="122">
        <v>0.3158266277387775</v>
      </c>
      <c r="S14" s="131">
        <f>ROUND(N14-Q14,6)</f>
        <v>0</v>
      </c>
      <c r="T14" s="132">
        <f>ROUND(O14-R14,6)</f>
        <v>0</v>
      </c>
      <c r="U14" t="s" s="2">
        <v>565</v>
      </c>
    </row>
    <row r="15">
      <c r="B15" t="s">
        <v>4</v>
      </c>
      <c r="C15" t="s">
        <v>215</v>
      </c>
      <c r="D15" t="s">
        <v>554</v>
      </c>
      <c r="E15" t="s">
        <v>555</v>
      </c>
      <c r="F15" t="s">
        <v>143</v>
      </c>
      <c r="G15" s="66">
        <v>41729</v>
      </c>
      <c r="H15" s="66">
        <v>43281</v>
      </c>
      <c r="I15" s="121">
        <v>45</v>
      </c>
      <c r="J15" s="121">
        <v>110</v>
      </c>
      <c r="K15" s="121">
        <v>0</v>
      </c>
      <c r="L15" s="103">
        <f>J15+K15</f>
        <v>110</v>
      </c>
      <c r="M15" s="103">
        <f>L15-I15</f>
        <v>65</v>
      </c>
      <c r="N15" s="115">
        <f>L15/I15</f>
        <v>2.4444444444444446</v>
      </c>
      <c r="O15" s="112">
        <f>XIRR('Deal Cash Flows'!$F$24:$F$25,'Deal Cash Flows'!$D$24:$D$25)</f>
        <v>0.23393525481224062</v>
      </c>
      <c r="P15" t="str" s="33">
        <f>INDEX('Deal Dispersion and Loss'!$B$15:$B$19,MATCH(N15,'Deal Dispersion and Loss'!$C$15:$C$19,1))</f>
        <v>2.0x to 3.0x</v>
      </c>
      <c r="Q15" s="130">
        <v>2.444444444444445</v>
      </c>
      <c r="R15" s="122">
        <v>0.2339352551800716</v>
      </c>
      <c r="S15" s="131">
        <f>ROUND(N15-Q15,6)</f>
        <v>0</v>
      </c>
      <c r="T15" s="132">
        <f>ROUND(O15-R15,6)</f>
        <v>0</v>
      </c>
      <c r="U15" t="s" s="2">
        <v>566</v>
      </c>
    </row>
    <row r="16">
      <c r="B16" t="s">
        <v>4</v>
      </c>
      <c r="C16" t="s">
        <v>218</v>
      </c>
      <c r="D16" t="s">
        <v>551</v>
      </c>
      <c r="E16" t="s">
        <v>552</v>
      </c>
      <c r="F16" t="s">
        <v>143</v>
      </c>
      <c r="G16" s="66">
        <v>41820</v>
      </c>
      <c r="H16" s="66">
        <v>43373</v>
      </c>
      <c r="I16" s="121">
        <v>38</v>
      </c>
      <c r="J16" s="121">
        <v>95</v>
      </c>
      <c r="K16" s="121">
        <v>0</v>
      </c>
      <c r="L16" s="103">
        <f>J16+K16</f>
        <v>95</v>
      </c>
      <c r="M16" s="103">
        <f>L16-I16</f>
        <v>57</v>
      </c>
      <c r="N16" s="115">
        <f>L16/I16</f>
        <v>2.5</v>
      </c>
      <c r="O16" s="112">
        <f>XIRR('Deal Cash Flows'!$F$26:$F$27,'Deal Cash Flows'!$D$26:$D$27)</f>
        <v>0.24030197262763975</v>
      </c>
      <c r="P16" t="str" s="33">
        <f>INDEX('Deal Dispersion and Loss'!$B$15:$B$19,MATCH(N16,'Deal Dispersion and Loss'!$C$15:$C$19,1))</f>
        <v>2.0x to 3.0x</v>
      </c>
      <c r="Q16" s="130">
        <v>2.5</v>
      </c>
      <c r="R16" s="122">
        <v>0.2403019680500794</v>
      </c>
      <c r="S16" s="131">
        <f>ROUND(N16-Q16,6)</f>
        <v>0</v>
      </c>
      <c r="T16" s="132">
        <f>ROUND(O16-R16,6)</f>
        <v>0</v>
      </c>
      <c r="U16" t="s" s="2">
        <v>567</v>
      </c>
    </row>
    <row r="17">
      <c r="B17" t="s">
        <v>4</v>
      </c>
      <c r="C17" t="s">
        <v>221</v>
      </c>
      <c r="D17" t="s">
        <v>551</v>
      </c>
      <c r="E17" t="s">
        <v>555</v>
      </c>
      <c r="F17" t="s">
        <v>143</v>
      </c>
      <c r="G17" s="66">
        <v>42004</v>
      </c>
      <c r="H17" s="66">
        <v>43555</v>
      </c>
      <c r="I17" s="121">
        <v>42</v>
      </c>
      <c r="J17" s="121">
        <v>168</v>
      </c>
      <c r="K17" s="121">
        <v>0</v>
      </c>
      <c r="L17" s="103">
        <f>J17+K17</f>
        <v>168</v>
      </c>
      <c r="M17" s="103">
        <f>L17-I17</f>
        <v>126</v>
      </c>
      <c r="N17" s="115">
        <f>L17/I17</f>
        <v>4</v>
      </c>
      <c r="O17" s="112">
        <f>XIRR('Deal Cash Flows'!$F$28:$F$29,'Deal Cash Flows'!$D$28:$D$29)</f>
        <v>0.3857472002506257</v>
      </c>
      <c r="P17" t="str" s="33">
        <f>INDEX('Deal Dispersion and Loss'!$B$15:$B$19,MATCH(N17,'Deal Dispersion and Loss'!$C$15:$C$19,1))</f>
        <v>3.0x to 5.0x</v>
      </c>
      <c r="Q17" s="130">
        <v>4</v>
      </c>
      <c r="R17" s="122">
        <v>0.385747195317108</v>
      </c>
      <c r="S17" s="131">
        <f>ROUND(N17-Q17,6)</f>
        <v>0</v>
      </c>
      <c r="T17" s="132">
        <f>ROUND(O17-R17,6)</f>
        <v>0</v>
      </c>
      <c r="U17" t="s" s="2">
        <v>568</v>
      </c>
    </row>
    <row r="18">
      <c r="B18" t="s">
        <v>4</v>
      </c>
      <c r="C18" t="s">
        <v>224</v>
      </c>
      <c r="D18" t="s">
        <v>554</v>
      </c>
      <c r="E18" t="s">
        <v>555</v>
      </c>
      <c r="F18" t="s">
        <v>143</v>
      </c>
      <c r="G18" s="66">
        <v>42094</v>
      </c>
      <c r="H18" s="66">
        <v>43646</v>
      </c>
      <c r="I18" s="121">
        <v>35</v>
      </c>
      <c r="J18" s="121">
        <v>12</v>
      </c>
      <c r="K18" s="121">
        <v>0</v>
      </c>
      <c r="L18" s="103">
        <f>J18+K18</f>
        <v>12</v>
      </c>
      <c r="M18" s="103">
        <f>L18-I18</f>
        <v>-23</v>
      </c>
      <c r="N18" s="115">
        <f>L18/I18</f>
        <v>0.34285714285714286</v>
      </c>
      <c r="O18" s="112">
        <f>XIRR('Deal Cash Flows'!$F$30:$F$31,'Deal Cash Flows'!$D$30:$D$31)</f>
        <v>-0.22255847826600078</v>
      </c>
      <c r="P18" t="str" s="33">
        <f>INDEX('Deal Dispersion and Loss'!$B$15:$B$19,MATCH(N18,'Deal Dispersion and Loss'!$C$15:$C$19,1))</f>
        <v>Below 1.0x</v>
      </c>
      <c r="Q18" s="130">
        <v>0.3428571428571429</v>
      </c>
      <c r="R18" s="122">
        <v>-0.2225584795579648</v>
      </c>
      <c r="S18" s="131">
        <f>ROUND(N18-Q18,6)</f>
        <v>0</v>
      </c>
      <c r="T18" s="132">
        <f>ROUND(O18-R18,6)</f>
        <v>0</v>
      </c>
      <c r="U18" t="s" s="2">
        <v>569</v>
      </c>
    </row>
    <row r="19">
      <c r="B19" t="s">
        <v>4</v>
      </c>
      <c r="C19" t="s">
        <v>227</v>
      </c>
      <c r="D19" t="s">
        <v>560</v>
      </c>
      <c r="E19" t="s">
        <v>555</v>
      </c>
      <c r="F19" t="s">
        <v>143</v>
      </c>
      <c r="G19" s="66">
        <v>42185</v>
      </c>
      <c r="H19" s="66">
        <v>43830</v>
      </c>
      <c r="I19" s="121">
        <v>40</v>
      </c>
      <c r="J19" s="121">
        <v>105</v>
      </c>
      <c r="K19" s="121">
        <v>0</v>
      </c>
      <c r="L19" s="103">
        <f>J19+K19</f>
        <v>105</v>
      </c>
      <c r="M19" s="103">
        <f>L19-I19</f>
        <v>65</v>
      </c>
      <c r="N19" s="115">
        <f>L19/I19</f>
        <v>2.625</v>
      </c>
      <c r="O19" s="112">
        <f>XIRR('Deal Cash Flows'!$F$32:$F$33,'Deal Cash Flows'!$D$32:$D$33)</f>
        <v>0.23879172205924984</v>
      </c>
      <c r="P19" t="str" s="33">
        <f>INDEX('Deal Dispersion and Loss'!$B$15:$B$19,MATCH(N19,'Deal Dispersion and Loss'!$C$15:$C$19,1))</f>
        <v>2.0x to 3.0x</v>
      </c>
      <c r="Q19" s="130">
        <v>2.625</v>
      </c>
      <c r="R19" s="122">
        <v>0.2387917266951177</v>
      </c>
      <c r="S19" s="131">
        <f>ROUND(N19-Q19,6)</f>
        <v>0</v>
      </c>
      <c r="T19" s="132">
        <f>ROUND(O19-R19,6)</f>
        <v>0</v>
      </c>
      <c r="U19" t="s" s="2">
        <v>570</v>
      </c>
    </row>
    <row r="20">
      <c r="B20" t="s">
        <v>4</v>
      </c>
      <c r="C20" t="s">
        <v>230</v>
      </c>
      <c r="D20" t="s">
        <v>551</v>
      </c>
      <c r="E20" t="s">
        <v>552</v>
      </c>
      <c r="F20" t="s">
        <v>143</v>
      </c>
      <c r="G20" s="66">
        <v>42277</v>
      </c>
      <c r="H20" s="66">
        <v>44012</v>
      </c>
      <c r="I20" s="121">
        <v>36</v>
      </c>
      <c r="J20" s="121">
        <v>20</v>
      </c>
      <c r="K20" s="121">
        <v>0</v>
      </c>
      <c r="L20" s="103">
        <f>J20+K20</f>
        <v>20</v>
      </c>
      <c r="M20" s="103">
        <f>L20-I20</f>
        <v>-16</v>
      </c>
      <c r="N20" s="115">
        <f>L20/I20</f>
        <v>0.5555555555555556</v>
      </c>
      <c r="O20" s="112">
        <f>XIRR('Deal Cash Flows'!$F$34:$F$35,'Deal Cash Flows'!$D$34:$D$35)</f>
        <v>-0.11631569974124431</v>
      </c>
      <c r="P20" t="str" s="33">
        <f>INDEX('Deal Dispersion and Loss'!$B$15:$B$19,MATCH(N20,'Deal Dispersion and Loss'!$C$15:$C$19,1))</f>
        <v>Below 1.0x</v>
      </c>
      <c r="Q20" s="130">
        <v>0.5555555555555556</v>
      </c>
      <c r="R20" s="122">
        <v>-0.1163157009400806</v>
      </c>
      <c r="S20" s="131">
        <f>ROUND(N20-Q20,6)</f>
        <v>0</v>
      </c>
      <c r="T20" s="132">
        <f>ROUND(O20-R20,6)</f>
        <v>0</v>
      </c>
      <c r="U20" t="s" s="2">
        <v>571</v>
      </c>
    </row>
    <row r="21">
      <c r="B21" t="s">
        <v>4</v>
      </c>
      <c r="C21" t="s">
        <v>233</v>
      </c>
      <c r="D21" t="s">
        <v>551</v>
      </c>
      <c r="E21" t="s">
        <v>552</v>
      </c>
      <c r="F21" t="s">
        <v>143</v>
      </c>
      <c r="G21" s="66">
        <v>42460</v>
      </c>
      <c r="H21" s="66">
        <v>44286</v>
      </c>
      <c r="I21" s="121">
        <v>45</v>
      </c>
      <c r="J21" s="121">
        <v>170</v>
      </c>
      <c r="K21" s="121">
        <v>0</v>
      </c>
      <c r="L21" s="103">
        <f>J21+K21</f>
        <v>170</v>
      </c>
      <c r="M21" s="103">
        <f>L21-I21</f>
        <v>125</v>
      </c>
      <c r="N21" s="115">
        <f>L21/I21</f>
        <v>3.7777777777777777</v>
      </c>
      <c r="O21" s="112">
        <f>XIRR('Deal Cash Flows'!$F$36:$F$37,'Deal Cash Flows'!$D$36:$D$37)</f>
        <v>0.30431970953941345</v>
      </c>
      <c r="P21" t="str" s="33">
        <f>INDEX('Deal Dispersion and Loss'!$B$15:$B$19,MATCH(N21,'Deal Dispersion and Loss'!$C$15:$C$19,1))</f>
        <v>3.0x to 5.0x</v>
      </c>
      <c r="Q21" s="130">
        <v>3.777777777777778</v>
      </c>
      <c r="R21" s="122">
        <v>0.3043197108573598</v>
      </c>
      <c r="S21" s="131">
        <f>ROUND(N21-Q21,6)</f>
        <v>0</v>
      </c>
      <c r="T21" s="132">
        <f>ROUND(O21-R21,6)</f>
        <v>0</v>
      </c>
      <c r="U21" t="s" s="2">
        <v>572</v>
      </c>
    </row>
    <row r="22">
      <c r="B22" t="s">
        <v>4</v>
      </c>
      <c r="C22" t="s">
        <v>236</v>
      </c>
      <c r="D22" t="s">
        <v>554</v>
      </c>
      <c r="E22" t="s">
        <v>573</v>
      </c>
      <c r="F22" t="s">
        <v>143</v>
      </c>
      <c r="G22" s="66">
        <v>42551</v>
      </c>
      <c r="H22" s="66">
        <v>44561</v>
      </c>
      <c r="I22" s="121">
        <v>42</v>
      </c>
      <c r="J22" s="121">
        <v>105</v>
      </c>
      <c r="K22" s="121">
        <v>0</v>
      </c>
      <c r="L22" s="103">
        <f>J22+K22</f>
        <v>105</v>
      </c>
      <c r="M22" s="103">
        <f>L22-I22</f>
        <v>63</v>
      </c>
      <c r="N22" s="115">
        <f>L22/I22</f>
        <v>2.5</v>
      </c>
      <c r="O22" s="112">
        <f>XIRR('Deal Cash Flows'!$F$38:$F$39,'Deal Cash Flows'!$D$38:$D$39)</f>
        <v>0.18103491663932803</v>
      </c>
      <c r="P22" t="str" s="33">
        <f>INDEX('Deal Dispersion and Loss'!$B$15:$B$19,MATCH(N22,'Deal Dispersion and Loss'!$C$15:$C$19,1))</f>
        <v>2.0x to 3.0x</v>
      </c>
      <c r="Q22" s="130">
        <v>2.5</v>
      </c>
      <c r="R22" s="122">
        <v>0.1810349177691485</v>
      </c>
      <c r="S22" s="131">
        <f>ROUND(N22-Q22,6)</f>
        <v>0</v>
      </c>
      <c r="T22" s="132">
        <f>ROUND(O22-R22,6)</f>
        <v>0</v>
      </c>
      <c r="U22" t="s" s="2">
        <v>574</v>
      </c>
    </row>
    <row r="23">
      <c r="B23" t="s" s="133">
        <v>4</v>
      </c>
      <c r="C23" t="s" s="133">
        <v>239</v>
      </c>
      <c r="D23" t="s" s="133">
        <v>575</v>
      </c>
      <c r="E23" t="s" s="133">
        <v>576</v>
      </c>
      <c r="F23" t="s" s="133">
        <v>144</v>
      </c>
      <c r="G23" s="134">
        <v>42825</v>
      </c>
      <c r="H23" s="134"/>
      <c r="I23" s="135">
        <v>32</v>
      </c>
      <c r="J23" s="135">
        <v>0</v>
      </c>
      <c r="K23" s="135">
        <v>40</v>
      </c>
      <c r="L23" s="136">
        <f>J23+K23</f>
        <v>40</v>
      </c>
      <c r="M23" s="136">
        <f>L23-I23</f>
        <v>8</v>
      </c>
      <c r="N23" s="137">
        <f>L23/I23</f>
        <v>1.25</v>
      </c>
      <c r="O23" s="138">
        <f>XIRR('Deal Cash Flows'!$F$40:$F$41,'Deal Cash Flows'!$D$40:$D$41)</f>
        <v>0.024404153227806095</v>
      </c>
      <c r="P23" t="str" s="139">
        <f>INDEX('Deal Dispersion and Loss'!$B$15:$B$19,MATCH(N23,'Deal Dispersion and Loss'!$C$15:$C$19,1))</f>
        <v>1.0x to 2.0x</v>
      </c>
      <c r="Q23" s="140">
        <v>1.25</v>
      </c>
      <c r="R23" s="141">
        <v>0.02440415332275314</v>
      </c>
      <c r="S23" s="142">
        <f>ROUND(N23-Q23,6)</f>
        <v>0</v>
      </c>
      <c r="T23" s="143">
        <f>ROUND(O23-R23,6)</f>
        <v>0</v>
      </c>
      <c r="U23" t="s" s="2">
        <v>577</v>
      </c>
    </row>
    <row r="24">
      <c r="B24" t="s">
        <v>5</v>
      </c>
      <c r="C24" t="s">
        <v>148</v>
      </c>
      <c r="D24" t="s">
        <v>560</v>
      </c>
      <c r="E24" t="s">
        <v>555</v>
      </c>
      <c r="F24" t="s">
        <v>143</v>
      </c>
      <c r="G24" s="66">
        <v>43008</v>
      </c>
      <c r="H24" s="66">
        <v>44469</v>
      </c>
      <c r="I24" s="121">
        <v>60</v>
      </c>
      <c r="J24" s="121">
        <v>565</v>
      </c>
      <c r="K24" s="121">
        <v>0</v>
      </c>
      <c r="L24" s="103">
        <f>J24+K24</f>
        <v>565</v>
      </c>
      <c r="M24" s="103">
        <f>L24-I24</f>
        <v>505</v>
      </c>
      <c r="N24" s="115">
        <f>L24/I24</f>
        <v>9.416666666666666</v>
      </c>
      <c r="O24" s="112">
        <f>XIRR('Deal Cash Flows'!$F$42:$F$43,'Deal Cash Flows'!$D$42:$D$43)</f>
        <v>0.751086699962616</v>
      </c>
      <c r="P24" t="str" s="33">
        <f>INDEX('Deal Dispersion and Loss'!$B$15:$B$19,MATCH(N24,'Deal Dispersion and Loss'!$C$15:$C$19,1))</f>
        <v>Above 5.0x</v>
      </c>
      <c r="Q24" s="130">
        <v>9.416666666666666</v>
      </c>
      <c r="R24" s="122">
        <v>0.7510867033497888</v>
      </c>
      <c r="S24" s="131">
        <f>ROUND(N24-Q24,6)</f>
        <v>0</v>
      </c>
      <c r="T24" s="132">
        <f>ROUND(O24-R24,6)</f>
        <v>0</v>
      </c>
      <c r="U24" t="s" s="2">
        <v>578</v>
      </c>
    </row>
    <row r="25">
      <c r="B25" t="s">
        <v>5</v>
      </c>
      <c r="C25" t="s">
        <v>149</v>
      </c>
      <c r="D25" t="s">
        <v>551</v>
      </c>
      <c r="E25" t="s">
        <v>552</v>
      </c>
      <c r="F25" t="s">
        <v>143</v>
      </c>
      <c r="G25" s="66">
        <v>43190</v>
      </c>
      <c r="H25" s="66">
        <v>44742</v>
      </c>
      <c r="I25" s="121">
        <v>75</v>
      </c>
      <c r="J25" s="121">
        <v>240</v>
      </c>
      <c r="K25" s="121">
        <v>0</v>
      </c>
      <c r="L25" s="103">
        <f>J25+K25</f>
        <v>240</v>
      </c>
      <c r="M25" s="103">
        <f>L25-I25</f>
        <v>165</v>
      </c>
      <c r="N25" s="115">
        <f>L25/I25</f>
        <v>3.2</v>
      </c>
      <c r="O25" s="112">
        <f>XIRR('Deal Cash Flows'!$F$44:$F$45,'Deal Cash Flows'!$D$44:$D$45)</f>
        <v>0.3146234691143037</v>
      </c>
      <c r="P25" t="str" s="33">
        <f>INDEX('Deal Dispersion and Loss'!$B$15:$B$19,MATCH(N25,'Deal Dispersion and Loss'!$C$15:$C$19,1))</f>
        <v>3.0x to 5.0x</v>
      </c>
      <c r="Q25" s="130">
        <v>3.2</v>
      </c>
      <c r="R25" s="122">
        <v>0.314623466151479</v>
      </c>
      <c r="S25" s="131">
        <f>ROUND(N25-Q25,6)</f>
        <v>0</v>
      </c>
      <c r="T25" s="132">
        <f>ROUND(O25-R25,6)</f>
        <v>0</v>
      </c>
      <c r="U25" t="s" s="2">
        <v>579</v>
      </c>
    </row>
    <row r="26">
      <c r="B26" t="s">
        <v>5</v>
      </c>
      <c r="C26" t="s">
        <v>150</v>
      </c>
      <c r="D26" t="s">
        <v>564</v>
      </c>
      <c r="E26" t="s">
        <v>576</v>
      </c>
      <c r="F26" t="s">
        <v>143</v>
      </c>
      <c r="G26" s="66">
        <v>43281</v>
      </c>
      <c r="H26" s="66">
        <v>45016</v>
      </c>
      <c r="I26" s="121">
        <v>70</v>
      </c>
      <c r="J26" s="121">
        <v>210</v>
      </c>
      <c r="K26" s="121">
        <v>0</v>
      </c>
      <c r="L26" s="103">
        <f>J26+K26</f>
        <v>210</v>
      </c>
      <c r="M26" s="103">
        <f>L26-I26</f>
        <v>140</v>
      </c>
      <c r="N26" s="115">
        <f>L26/I26</f>
        <v>3</v>
      </c>
      <c r="O26" s="112">
        <f>XIRR('Deal Cash Flows'!$F$46:$F$47,'Deal Cash Flows'!$D$46:$D$47)</f>
        <v>0.26001064181327826</v>
      </c>
      <c r="P26" t="str" s="33">
        <f>INDEX('Deal Dispersion and Loss'!$B$15:$B$19,MATCH(N26,'Deal Dispersion and Loss'!$C$15:$C$19,1))</f>
        <v>3.0x to 5.0x</v>
      </c>
      <c r="Q26" s="130">
        <v>3</v>
      </c>
      <c r="R26" s="122">
        <v>0.2600106388693552</v>
      </c>
      <c r="S26" s="131">
        <f>ROUND(N26-Q26,6)</f>
        <v>0</v>
      </c>
      <c r="T26" s="132">
        <f>ROUND(O26-R26,6)</f>
        <v>0</v>
      </c>
      <c r="U26" t="s" s="2">
        <v>580</v>
      </c>
    </row>
    <row r="27">
      <c r="B27" t="s">
        <v>5</v>
      </c>
      <c r="C27" t="s">
        <v>151</v>
      </c>
      <c r="D27" t="s">
        <v>554</v>
      </c>
      <c r="E27" t="s">
        <v>573</v>
      </c>
      <c r="F27" t="s">
        <v>143</v>
      </c>
      <c r="G27" s="66">
        <v>43373</v>
      </c>
      <c r="H27" s="66">
        <v>45107</v>
      </c>
      <c r="I27" s="121">
        <v>65</v>
      </c>
      <c r="J27" s="121">
        <v>175</v>
      </c>
      <c r="K27" s="121">
        <v>0</v>
      </c>
      <c r="L27" s="103">
        <f>J27+K27</f>
        <v>175</v>
      </c>
      <c r="M27" s="103">
        <f>L27-I27</f>
        <v>110</v>
      </c>
      <c r="N27" s="115">
        <f>L27/I27</f>
        <v>2.6923076923076925</v>
      </c>
      <c r="O27" s="112">
        <f>XIRR('Deal Cash Flows'!$F$48:$F$49,'Deal Cash Flows'!$D$48:$D$49)</f>
        <v>0.23179804682731628</v>
      </c>
      <c r="P27" t="str" s="33">
        <f>INDEX('Deal Dispersion and Loss'!$B$15:$B$19,MATCH(N27,'Deal Dispersion and Loss'!$C$15:$C$19,1))</f>
        <v>2.0x to 3.0x</v>
      </c>
      <c r="Q27" s="130">
        <v>2.692307692307693</v>
      </c>
      <c r="R27" s="122">
        <v>0.2317980473247655</v>
      </c>
      <c r="S27" s="131">
        <f>ROUND(N27-Q27,6)</f>
        <v>0</v>
      </c>
      <c r="T27" s="132">
        <f>ROUND(O27-R27,6)</f>
        <v>0</v>
      </c>
      <c r="U27" t="s" s="2">
        <v>581</v>
      </c>
    </row>
    <row r="28">
      <c r="B28" t="s">
        <v>5</v>
      </c>
      <c r="C28" t="s">
        <v>152</v>
      </c>
      <c r="D28" t="s">
        <v>551</v>
      </c>
      <c r="E28" t="s">
        <v>573</v>
      </c>
      <c r="F28" t="s">
        <v>144</v>
      </c>
      <c r="G28" s="66">
        <v>43465</v>
      </c>
      <c r="H28" s="66"/>
      <c r="I28" s="121">
        <v>45</v>
      </c>
      <c r="J28" s="121">
        <v>0</v>
      </c>
      <c r="K28" s="121">
        <v>13</v>
      </c>
      <c r="L28" s="103">
        <f>J28+K28</f>
        <v>13</v>
      </c>
      <c r="M28" s="103">
        <f>L28-I28</f>
        <v>-32</v>
      </c>
      <c r="N28" s="115">
        <f>L28/I28</f>
        <v>0.28888888888888886</v>
      </c>
      <c r="O28" s="112">
        <f>XIRR('Deal Cash Flows'!$F$50:$F$51,'Deal Cash Flows'!$D$50:$D$51)</f>
        <v>-0.15255684293806557</v>
      </c>
      <c r="P28" t="str" s="33">
        <f>INDEX('Deal Dispersion and Loss'!$B$15:$B$19,MATCH(N28,'Deal Dispersion and Loss'!$C$15:$C$19,1))</f>
        <v>Below 1.0x</v>
      </c>
      <c r="Q28" s="130">
        <v>0.2888888888888889</v>
      </c>
      <c r="R28" s="122">
        <v>-0.1525568460034579</v>
      </c>
      <c r="S28" s="131">
        <f>ROUND(N28-Q28,6)</f>
        <v>0</v>
      </c>
      <c r="T28" s="132">
        <f>ROUND(O28-R28,6)</f>
        <v>0</v>
      </c>
      <c r="U28" t="s" s="2">
        <v>582</v>
      </c>
    </row>
    <row r="29">
      <c r="B29" t="s">
        <v>5</v>
      </c>
      <c r="C29" t="s">
        <v>154</v>
      </c>
      <c r="D29" t="s">
        <v>551</v>
      </c>
      <c r="E29" t="s">
        <v>552</v>
      </c>
      <c r="F29" t="s">
        <v>143</v>
      </c>
      <c r="G29" s="66">
        <v>43555</v>
      </c>
      <c r="H29" s="66">
        <v>45382</v>
      </c>
      <c r="I29" s="121">
        <v>55</v>
      </c>
      <c r="J29" s="121">
        <v>140</v>
      </c>
      <c r="K29" s="121">
        <v>0</v>
      </c>
      <c r="L29" s="103">
        <f>J29+K29</f>
        <v>140</v>
      </c>
      <c r="M29" s="103">
        <f>L29-I29</f>
        <v>85</v>
      </c>
      <c r="N29" s="115">
        <f>L29/I29</f>
        <v>2.5454545454545454</v>
      </c>
      <c r="O29" s="112">
        <f>XIRR('Deal Cash Flows'!$F$52:$F$53,'Deal Cash Flows'!$D$52:$D$53)</f>
        <v>0.20521417260169986</v>
      </c>
      <c r="P29" t="str" s="33">
        <f>INDEX('Deal Dispersion and Loss'!$B$15:$B$19,MATCH(N29,'Deal Dispersion and Loss'!$C$15:$C$19,1))</f>
        <v>2.0x to 3.0x</v>
      </c>
      <c r="Q29" s="130">
        <v>2.545454545454545</v>
      </c>
      <c r="R29" s="122">
        <v>0.2052141771708736</v>
      </c>
      <c r="S29" s="131">
        <f>ROUND(N29-Q29,6)</f>
        <v>0</v>
      </c>
      <c r="T29" s="132">
        <f>ROUND(O29-R29,6)</f>
        <v>0</v>
      </c>
      <c r="U29" t="s" s="2">
        <v>583</v>
      </c>
    </row>
    <row r="30">
      <c r="B30" t="s">
        <v>5</v>
      </c>
      <c r="C30" t="s">
        <v>155</v>
      </c>
      <c r="D30" t="s">
        <v>560</v>
      </c>
      <c r="E30" t="s">
        <v>555</v>
      </c>
      <c r="F30" t="s">
        <v>143</v>
      </c>
      <c r="G30" s="66">
        <v>43646</v>
      </c>
      <c r="H30" s="66">
        <v>45473</v>
      </c>
      <c r="I30" s="121">
        <v>60</v>
      </c>
      <c r="J30" s="121">
        <v>150</v>
      </c>
      <c r="K30" s="121">
        <v>0</v>
      </c>
      <c r="L30" s="103">
        <f>J30+K30</f>
        <v>150</v>
      </c>
      <c r="M30" s="103">
        <f>L30-I30</f>
        <v>90</v>
      </c>
      <c r="N30" s="115">
        <f>L30/I30</f>
        <v>2.5</v>
      </c>
      <c r="O30" s="112">
        <f>XIRR('Deal Cash Flows'!$F$54:$F$55,'Deal Cash Flows'!$D$54:$D$55)</f>
        <v>0.20088350176811218</v>
      </c>
      <c r="P30" t="str" s="33">
        <f>INDEX('Deal Dispersion and Loss'!$B$15:$B$19,MATCH(N30,'Deal Dispersion and Loss'!$C$15:$C$19,1))</f>
        <v>2.0x to 3.0x</v>
      </c>
      <c r="Q30" s="130">
        <v>2.5</v>
      </c>
      <c r="R30" s="122">
        <v>0.2008834993782737</v>
      </c>
      <c r="S30" s="131">
        <f>ROUND(N30-Q30,6)</f>
        <v>0</v>
      </c>
      <c r="T30" s="132">
        <f>ROUND(O30-R30,6)</f>
        <v>0</v>
      </c>
      <c r="U30" t="s" s="2">
        <v>584</v>
      </c>
    </row>
    <row r="31">
      <c r="B31" t="s">
        <v>5</v>
      </c>
      <c r="C31" t="s">
        <v>156</v>
      </c>
      <c r="D31" t="s">
        <v>554</v>
      </c>
      <c r="E31" t="s">
        <v>555</v>
      </c>
      <c r="F31" t="s">
        <v>144</v>
      </c>
      <c r="G31" s="66">
        <v>43738</v>
      </c>
      <c r="H31" s="66"/>
      <c r="I31" s="121">
        <v>40</v>
      </c>
      <c r="J31" s="121">
        <v>0</v>
      </c>
      <c r="K31" s="121">
        <v>7</v>
      </c>
      <c r="L31" s="103">
        <f>J31+K31</f>
        <v>7</v>
      </c>
      <c r="M31" s="103">
        <f>L31-I31</f>
        <v>-33</v>
      </c>
      <c r="N31" s="115">
        <f>L31/I31</f>
        <v>0.175</v>
      </c>
      <c r="O31" s="112">
        <f>XIRR('Deal Cash Flows'!$F$56:$F$57,'Deal Cash Flows'!$D$56:$D$57)</f>
        <v>-0.22747177556157117</v>
      </c>
      <c r="P31" t="str" s="33">
        <f>INDEX('Deal Dispersion and Loss'!$B$15:$B$19,MATCH(N31,'Deal Dispersion and Loss'!$C$15:$C$19,1))</f>
        <v>Below 1.0x</v>
      </c>
      <c r="Q31" s="130">
        <v>0.175</v>
      </c>
      <c r="R31" s="122">
        <v>-0.2274717743331933</v>
      </c>
      <c r="S31" s="131">
        <f>ROUND(N31-Q31,6)</f>
        <v>0</v>
      </c>
      <c r="T31" s="132">
        <f>ROUND(O31-R31,6)</f>
        <v>0</v>
      </c>
      <c r="U31" t="s" s="2">
        <v>585</v>
      </c>
    </row>
    <row r="32">
      <c r="B32" t="s">
        <v>5</v>
      </c>
      <c r="C32" t="s">
        <v>157</v>
      </c>
      <c r="D32" t="s">
        <v>551</v>
      </c>
      <c r="E32" t="s">
        <v>573</v>
      </c>
      <c r="F32" t="s">
        <v>143</v>
      </c>
      <c r="G32" s="66">
        <v>43830</v>
      </c>
      <c r="H32" s="66">
        <v>45747</v>
      </c>
      <c r="I32" s="121">
        <v>50</v>
      </c>
      <c r="J32" s="121">
        <v>100</v>
      </c>
      <c r="K32" s="121">
        <v>0</v>
      </c>
      <c r="L32" s="103">
        <f>J32+K32</f>
        <v>100</v>
      </c>
      <c r="M32" s="103">
        <f>L32-I32</f>
        <v>50</v>
      </c>
      <c r="N32" s="115">
        <f>L32/I32</f>
        <v>2</v>
      </c>
      <c r="O32" s="112">
        <f>XIRR('Deal Cash Flows'!$F$58:$F$59,'Deal Cash Flows'!$D$58:$D$59)</f>
        <v>0.14108136296272278</v>
      </c>
      <c r="P32" t="str" s="33">
        <f>INDEX('Deal Dispersion and Loss'!$B$15:$B$19,MATCH(N32,'Deal Dispersion and Loss'!$C$15:$C$19,1))</f>
        <v>2.0x to 3.0x</v>
      </c>
      <c r="Q32" s="130">
        <v>2</v>
      </c>
      <c r="R32" s="122">
        <v>0.1410813668715604</v>
      </c>
      <c r="S32" s="131">
        <f>ROUND(N32-Q32,6)</f>
        <v>0</v>
      </c>
      <c r="T32" s="132">
        <f>ROUND(O32-R32,6)</f>
        <v>0</v>
      </c>
      <c r="U32" t="s" s="2">
        <v>586</v>
      </c>
    </row>
    <row r="33">
      <c r="B33" t="s">
        <v>5</v>
      </c>
      <c r="C33" t="s">
        <v>158</v>
      </c>
      <c r="D33" t="s">
        <v>587</v>
      </c>
      <c r="E33" t="s">
        <v>576</v>
      </c>
      <c r="F33" t="s">
        <v>144</v>
      </c>
      <c r="G33" s="66">
        <v>43921</v>
      </c>
      <c r="H33" s="66"/>
      <c r="I33" s="121">
        <v>70</v>
      </c>
      <c r="J33" s="121">
        <v>0</v>
      </c>
      <c r="K33" s="121">
        <v>210</v>
      </c>
      <c r="L33" s="103">
        <f>J33+K33</f>
        <v>210</v>
      </c>
      <c r="M33" s="103">
        <f>L33-I33</f>
        <v>140</v>
      </c>
      <c r="N33" s="115">
        <f>L33/I33</f>
        <v>3</v>
      </c>
      <c r="O33" s="112">
        <f>XIRR('Deal Cash Flows'!$F$60:$F$61,'Deal Cash Flows'!$D$60:$D$61)</f>
        <v>0.1921044528484345</v>
      </c>
      <c r="P33" t="str" s="33">
        <f>INDEX('Deal Dispersion and Loss'!$B$15:$B$19,MATCH(N33,'Deal Dispersion and Loss'!$C$15:$C$19,1))</f>
        <v>3.0x to 5.0x</v>
      </c>
      <c r="Q33" s="130">
        <v>3</v>
      </c>
      <c r="R33" s="122">
        <v>0.1921044553891053</v>
      </c>
      <c r="S33" s="131">
        <f>ROUND(N33-Q33,6)</f>
        <v>0</v>
      </c>
      <c r="T33" s="132">
        <f>ROUND(O33-R33,6)</f>
        <v>0</v>
      </c>
      <c r="U33" t="s" s="2">
        <v>588</v>
      </c>
    </row>
    <row r="34">
      <c r="B34" t="s" s="133">
        <v>5</v>
      </c>
      <c r="C34" t="s" s="133">
        <v>160</v>
      </c>
      <c r="D34" t="s" s="133">
        <v>589</v>
      </c>
      <c r="E34" t="s" s="133">
        <v>552</v>
      </c>
      <c r="F34" t="s" s="133">
        <v>144</v>
      </c>
      <c r="G34" s="134">
        <v>44104</v>
      </c>
      <c r="H34" s="134"/>
      <c r="I34" s="135">
        <v>65</v>
      </c>
      <c r="J34" s="135">
        <v>0</v>
      </c>
      <c r="K34" s="135">
        <v>160</v>
      </c>
      <c r="L34" s="136">
        <f>J34+K34</f>
        <v>160</v>
      </c>
      <c r="M34" s="136">
        <f>L34-I34</f>
        <v>95</v>
      </c>
      <c r="N34" s="137">
        <f>L34/I34</f>
        <v>2.4615384615384617</v>
      </c>
      <c r="O34" s="138">
        <f>XIRR('Deal Cash Flows'!$F$62:$F$63,'Deal Cash Flows'!$D$62:$D$63)</f>
        <v>0.16957433819770817</v>
      </c>
      <c r="P34" t="str" s="139">
        <f>INDEX('Deal Dispersion and Loss'!$B$15:$B$19,MATCH(N34,'Deal Dispersion and Loss'!$C$15:$C$19,1))</f>
        <v>2.0x to 3.0x</v>
      </c>
      <c r="Q34" s="140">
        <v>2.461538461538462</v>
      </c>
      <c r="R34" s="141">
        <v>0.1695743403108189</v>
      </c>
      <c r="S34" s="142">
        <f>ROUND(N34-Q34,6)</f>
        <v>0</v>
      </c>
      <c r="T34" s="143">
        <f>ROUND(O34-R34,6)</f>
        <v>0</v>
      </c>
      <c r="U34" t="s" s="2">
        <v>590</v>
      </c>
    </row>
    <row r="35">
      <c r="B35" t="s">
        <v>6</v>
      </c>
      <c r="C35" t="s">
        <v>265</v>
      </c>
      <c r="D35" t="s">
        <v>591</v>
      </c>
      <c r="E35" t="s">
        <v>576</v>
      </c>
      <c r="F35" t="s">
        <v>144</v>
      </c>
      <c r="G35" s="66">
        <v>44377</v>
      </c>
      <c r="H35" s="66"/>
      <c r="I35" s="121">
        <v>120</v>
      </c>
      <c r="J35" s="121">
        <v>0</v>
      </c>
      <c r="K35" s="121">
        <v>290</v>
      </c>
      <c r="L35" s="103">
        <f>J35+K35</f>
        <v>290</v>
      </c>
      <c r="M35" s="103">
        <f>L35-I35</f>
        <v>170</v>
      </c>
      <c r="N35" s="115">
        <f>L35/I35</f>
        <v>2.4166666666666665</v>
      </c>
      <c r="O35" s="112">
        <f>XIRR('Deal Cash Flows'!$F$64:$F$65,'Deal Cash Flows'!$D$64:$D$65)</f>
        <v>0.19289268851280214</v>
      </c>
      <c r="P35" t="str" s="33">
        <f>INDEX('Deal Dispersion and Loss'!$B$15:$B$19,MATCH(N35,'Deal Dispersion and Loss'!$C$15:$C$19,1))</f>
        <v>2.0x to 3.0x</v>
      </c>
      <c r="Q35" s="130">
        <v>2.416666666666667</v>
      </c>
      <c r="R35" s="122">
        <v>0.1928926893433224</v>
      </c>
      <c r="S35" s="131">
        <f>ROUND(N35-Q35,6)</f>
        <v>0</v>
      </c>
      <c r="T35" s="132">
        <f>ROUND(O35-R35,6)</f>
        <v>0</v>
      </c>
      <c r="U35" t="s" s="2">
        <v>592</v>
      </c>
    </row>
    <row r="36">
      <c r="B36" t="s">
        <v>6</v>
      </c>
      <c r="C36" t="s">
        <v>268</v>
      </c>
      <c r="D36" t="s">
        <v>564</v>
      </c>
      <c r="E36" t="s">
        <v>573</v>
      </c>
      <c r="F36" t="s">
        <v>593</v>
      </c>
      <c r="G36" s="66">
        <v>44469</v>
      </c>
      <c r="H36" s="66">
        <v>45838</v>
      </c>
      <c r="I36" s="121">
        <v>100</v>
      </c>
      <c r="J36" s="121">
        <v>160</v>
      </c>
      <c r="K36" s="121">
        <v>70</v>
      </c>
      <c r="L36" s="103">
        <f>J36+K36</f>
        <v>230</v>
      </c>
      <c r="M36" s="103">
        <f>L36-I36</f>
        <v>130</v>
      </c>
      <c r="N36" s="115">
        <f>L36/I36</f>
        <v>2.3</v>
      </c>
      <c r="O36" s="112">
        <f>XIRR('Deal Cash Flows'!$F$66:$F$68,'Deal Cash Flows'!$D$66:$D$68)</f>
        <v>0.22934734225273135</v>
      </c>
      <c r="P36" t="str" s="33">
        <f>INDEX('Deal Dispersion and Loss'!$B$15:$B$19,MATCH(N36,'Deal Dispersion and Loss'!$C$15:$C$19,1))</f>
        <v>2.0x to 3.0x</v>
      </c>
      <c r="Q36" s="130">
        <v>2.3</v>
      </c>
      <c r="R36" s="122">
        <v>0.2293473471856285</v>
      </c>
      <c r="S36" s="131">
        <f>ROUND(N36-Q36,6)</f>
        <v>0</v>
      </c>
      <c r="T36" s="132">
        <f>ROUND(O36-R36,6)</f>
        <v>0</v>
      </c>
      <c r="U36" t="s" s="2">
        <v>594</v>
      </c>
    </row>
    <row r="37">
      <c r="B37" t="s">
        <v>6</v>
      </c>
      <c r="C37" t="s">
        <v>273</v>
      </c>
      <c r="D37" t="s">
        <v>554</v>
      </c>
      <c r="E37" t="s">
        <v>552</v>
      </c>
      <c r="F37" t="s">
        <v>144</v>
      </c>
      <c r="G37" s="66">
        <v>44651</v>
      </c>
      <c r="H37" s="66"/>
      <c r="I37" s="121">
        <v>110</v>
      </c>
      <c r="J37" s="121">
        <v>0</v>
      </c>
      <c r="K37" s="121">
        <v>200</v>
      </c>
      <c r="L37" s="103">
        <f>J37+K37</f>
        <v>200</v>
      </c>
      <c r="M37" s="103">
        <f>L37-I37</f>
        <v>90</v>
      </c>
      <c r="N37" s="115">
        <f>L37/I37</f>
        <v>1.8181818181818181</v>
      </c>
      <c r="O37" s="112">
        <f>XIRR('Deal Cash Flows'!$F$69:$F$70,'Deal Cash Flows'!$D$69:$D$70)</f>
        <v>0.15096365809440618</v>
      </c>
      <c r="P37" t="str" s="33">
        <f>INDEX('Deal Dispersion and Loss'!$B$15:$B$19,MATCH(N37,'Deal Dispersion and Loss'!$C$15:$C$19,1))</f>
        <v>1.0x to 2.0x</v>
      </c>
      <c r="Q37" s="130">
        <v>1.818181818181818</v>
      </c>
      <c r="R37" s="122">
        <v>0.1509636550194567</v>
      </c>
      <c r="S37" s="131">
        <f>ROUND(N37-Q37,6)</f>
        <v>0</v>
      </c>
      <c r="T37" s="132">
        <f>ROUND(O37-R37,6)</f>
        <v>0</v>
      </c>
      <c r="U37" t="s" s="2">
        <v>595</v>
      </c>
    </row>
    <row r="38">
      <c r="B38" t="s">
        <v>6</v>
      </c>
      <c r="C38" t="s">
        <v>276</v>
      </c>
      <c r="D38" t="s">
        <v>551</v>
      </c>
      <c r="E38" t="s">
        <v>576</v>
      </c>
      <c r="F38" t="s">
        <v>144</v>
      </c>
      <c r="G38" s="66">
        <v>44742</v>
      </c>
      <c r="H38" s="66"/>
      <c r="I38" s="121">
        <v>105</v>
      </c>
      <c r="J38" s="121">
        <v>0</v>
      </c>
      <c r="K38" s="121">
        <v>215</v>
      </c>
      <c r="L38" s="103">
        <f>J38+K38</f>
        <v>215</v>
      </c>
      <c r="M38" s="103">
        <f>L38-I38</f>
        <v>110</v>
      </c>
      <c r="N38" s="115">
        <f>L38/I38</f>
        <v>2.0476190476190474</v>
      </c>
      <c r="O38" s="112">
        <f>XIRR('Deal Cash Flows'!$F$71:$F$72,'Deal Cash Flows'!$D$71:$D$72)</f>
        <v>0.19607669711112977</v>
      </c>
      <c r="P38" t="str" s="33">
        <f>INDEX('Deal Dispersion and Loss'!$B$15:$B$19,MATCH(N38,'Deal Dispersion and Loss'!$C$15:$C$19,1))</f>
        <v>2.0x to 3.0x</v>
      </c>
      <c r="Q38" s="130">
        <v>2.047619047619047</v>
      </c>
      <c r="R38" s="122">
        <v>0.1960767009586958</v>
      </c>
      <c r="S38" s="131">
        <f>ROUND(N38-Q38,6)</f>
        <v>0</v>
      </c>
      <c r="T38" s="132">
        <f>ROUND(O38-R38,6)</f>
        <v>0</v>
      </c>
      <c r="U38" t="s" s="2">
        <v>596</v>
      </c>
    </row>
    <row r="39">
      <c r="B39" t="s">
        <v>6</v>
      </c>
      <c r="C39" t="s">
        <v>279</v>
      </c>
      <c r="D39" t="s">
        <v>551</v>
      </c>
      <c r="E39" t="s">
        <v>573</v>
      </c>
      <c r="F39" t="s">
        <v>144</v>
      </c>
      <c r="G39" s="66">
        <v>44834</v>
      </c>
      <c r="H39" s="66"/>
      <c r="I39" s="121">
        <v>95</v>
      </c>
      <c r="J39" s="121">
        <v>0</v>
      </c>
      <c r="K39" s="121">
        <v>175</v>
      </c>
      <c r="L39" s="103">
        <f>J39+K39</f>
        <v>175</v>
      </c>
      <c r="M39" s="103">
        <f>L39-I39</f>
        <v>80</v>
      </c>
      <c r="N39" s="115">
        <f>L39/I39</f>
        <v>1.8421052631578947</v>
      </c>
      <c r="O39" s="112">
        <f>XIRR('Deal Cash Flows'!$F$73:$F$74,'Deal Cash Flows'!$D$73:$D$74)</f>
        <v>0.17689467072486884</v>
      </c>
      <c r="P39" t="str" s="33">
        <f>INDEX('Deal Dispersion and Loss'!$B$15:$B$19,MATCH(N39,'Deal Dispersion and Loss'!$C$15:$C$19,1))</f>
        <v>1.0x to 2.0x</v>
      </c>
      <c r="Q39" s="130">
        <v>1.842105263157895</v>
      </c>
      <c r="R39" s="122">
        <v>0.176894675795327</v>
      </c>
      <c r="S39" s="131">
        <f>ROUND(N39-Q39,6)</f>
        <v>0</v>
      </c>
      <c r="T39" s="132">
        <f>ROUND(O39-R39,6)</f>
        <v>0</v>
      </c>
      <c r="U39" t="s" s="2">
        <v>597</v>
      </c>
    </row>
    <row r="40">
      <c r="B40" t="s">
        <v>6</v>
      </c>
      <c r="C40" t="s">
        <v>282</v>
      </c>
      <c r="D40" t="s">
        <v>560</v>
      </c>
      <c r="E40" t="s">
        <v>552</v>
      </c>
      <c r="F40" t="s">
        <v>144</v>
      </c>
      <c r="G40" s="66">
        <v>44926</v>
      </c>
      <c r="H40" s="66"/>
      <c r="I40" s="121">
        <v>115</v>
      </c>
      <c r="J40" s="121">
        <v>0</v>
      </c>
      <c r="K40" s="121">
        <v>260</v>
      </c>
      <c r="L40" s="103">
        <f>J40+K40</f>
        <v>260</v>
      </c>
      <c r="M40" s="103">
        <f>L40-I40</f>
        <v>145</v>
      </c>
      <c r="N40" s="115">
        <f>L40/I40</f>
        <v>2.260869565217391</v>
      </c>
      <c r="O40" s="112">
        <f>XIRR('Deal Cash Flows'!$F$75:$F$76,'Deal Cash Flows'!$D$75:$D$76)</f>
        <v>0.26258668303489685</v>
      </c>
      <c r="P40" t="str" s="33">
        <f>INDEX('Deal Dispersion and Loss'!$B$15:$B$19,MATCH(N40,'Deal Dispersion and Loss'!$C$15:$C$19,1))</f>
        <v>2.0x to 3.0x</v>
      </c>
      <c r="Q40" s="130">
        <v>2.260869565217391</v>
      </c>
      <c r="R40" s="122">
        <v>0.2625866883223119</v>
      </c>
      <c r="S40" s="131">
        <f>ROUND(N40-Q40,6)</f>
        <v>0</v>
      </c>
      <c r="T40" s="132">
        <f>ROUND(O40-R40,6)</f>
        <v>0</v>
      </c>
      <c r="U40" t="s" s="2">
        <v>598</v>
      </c>
    </row>
    <row r="41">
      <c r="B41" t="s">
        <v>6</v>
      </c>
      <c r="C41" t="s">
        <v>285</v>
      </c>
      <c r="D41" t="s">
        <v>551</v>
      </c>
      <c r="E41" t="s">
        <v>576</v>
      </c>
      <c r="F41" t="s">
        <v>144</v>
      </c>
      <c r="G41" s="66">
        <v>45016</v>
      </c>
      <c r="H41" s="66"/>
      <c r="I41" s="121">
        <v>110</v>
      </c>
      <c r="J41" s="121">
        <v>0</v>
      </c>
      <c r="K41" s="121">
        <v>195</v>
      </c>
      <c r="L41" s="103">
        <f>J41+K41</f>
        <v>195</v>
      </c>
      <c r="M41" s="103">
        <f>L41-I41</f>
        <v>85</v>
      </c>
      <c r="N41" s="115">
        <f>L41/I41</f>
        <v>1.7727272727272727</v>
      </c>
      <c r="O41" s="112">
        <f>XIRR('Deal Cash Flows'!$F$77:$F$78,'Deal Cash Flows'!$D$77:$D$78)</f>
        <v>0.19249582886695865</v>
      </c>
      <c r="P41" t="str" s="33">
        <f>INDEX('Deal Dispersion and Loss'!$B$15:$B$19,MATCH(N41,'Deal Dispersion and Loss'!$C$15:$C$19,1))</f>
        <v>1.0x to 2.0x</v>
      </c>
      <c r="Q41" s="130">
        <v>1.772727272727273</v>
      </c>
      <c r="R41" s="122">
        <v>0.1924958288635646</v>
      </c>
      <c r="S41" s="131">
        <f>ROUND(N41-Q41,6)</f>
        <v>0</v>
      </c>
      <c r="T41" s="132">
        <f>ROUND(O41-R41,6)</f>
        <v>0</v>
      </c>
      <c r="U41" t="s" s="2">
        <v>599</v>
      </c>
    </row>
    <row r="42">
      <c r="B42" t="s">
        <v>6</v>
      </c>
      <c r="C42" t="s">
        <v>288</v>
      </c>
      <c r="D42" t="s">
        <v>600</v>
      </c>
      <c r="E42" t="s">
        <v>573</v>
      </c>
      <c r="F42" t="s">
        <v>144</v>
      </c>
      <c r="G42" s="66">
        <v>45199</v>
      </c>
      <c r="H42" s="66"/>
      <c r="I42" s="121">
        <v>100</v>
      </c>
      <c r="J42" s="121">
        <v>0</v>
      </c>
      <c r="K42" s="121">
        <v>60</v>
      </c>
      <c r="L42" s="103">
        <f>J42+K42</f>
        <v>60</v>
      </c>
      <c r="M42" s="103">
        <f>L42-I42</f>
        <v>-40</v>
      </c>
      <c r="N42" s="115">
        <f>L42/I42</f>
        <v>0.6</v>
      </c>
      <c r="O42" s="112">
        <f>XIRR('Deal Cash Flows'!$F$79:$F$80,'Deal Cash Flows'!$D$79:$D$80)</f>
        <v>-0.16948435790836813</v>
      </c>
      <c r="P42" t="str" s="33">
        <f>INDEX('Deal Dispersion and Loss'!$B$15:$B$19,MATCH(N42,'Deal Dispersion and Loss'!$C$15:$C$19,1))</f>
        <v>Below 1.0x</v>
      </c>
      <c r="Q42" s="130">
        <v>0.6</v>
      </c>
      <c r="R42" s="122">
        <v>-0.16948436043434</v>
      </c>
      <c r="S42" s="131">
        <f>ROUND(N42-Q42,6)</f>
        <v>0</v>
      </c>
      <c r="T42" s="132">
        <f>ROUND(O42-R42,6)</f>
        <v>0</v>
      </c>
      <c r="U42" t="s" s="2">
        <v>601</v>
      </c>
    </row>
    <row r="43">
      <c r="B43" t="s">
        <v>6</v>
      </c>
      <c r="C43" t="s">
        <v>291</v>
      </c>
      <c r="D43" t="s">
        <v>602</v>
      </c>
      <c r="E43" t="s">
        <v>552</v>
      </c>
      <c r="F43" t="s">
        <v>144</v>
      </c>
      <c r="G43" s="66">
        <v>45382</v>
      </c>
      <c r="H43" s="66"/>
      <c r="I43" s="121">
        <v>85</v>
      </c>
      <c r="J43" s="121">
        <v>0</v>
      </c>
      <c r="K43" s="121">
        <v>95</v>
      </c>
      <c r="L43" s="103">
        <f>J43+K43</f>
        <v>95</v>
      </c>
      <c r="M43" s="103">
        <f>L43-I43</f>
        <v>10</v>
      </c>
      <c r="N43" s="115">
        <f>L43/I43</f>
        <v>1.1176470588235294</v>
      </c>
      <c r="O43" s="112">
        <f>XIRR('Deal Cash Flows'!$F$81:$F$82,'Deal Cash Flows'!$D$81:$D$82)</f>
        <v>0.05069165527820588</v>
      </c>
      <c r="P43" t="str" s="33">
        <f>INDEX('Deal Dispersion and Loss'!$B$15:$B$19,MATCH(N43,'Deal Dispersion and Loss'!$C$15:$C$19,1))</f>
        <v>1.0x to 2.0x</v>
      </c>
      <c r="Q43" s="130">
        <v>1.117647058823529</v>
      </c>
      <c r="R43" s="122">
        <v>0.05069165722197277</v>
      </c>
      <c r="S43" s="131">
        <f>ROUND(N43-Q43,6)</f>
        <v>0</v>
      </c>
      <c r="T43" s="132">
        <f>ROUND(O43-R43,6)</f>
        <v>0</v>
      </c>
      <c r="U43" t="s" s="2">
        <v>603</v>
      </c>
    </row>
    <row r="44">
      <c r="I44" s="103"/>
      <c r="J44" s="103"/>
      <c r="K44" s="103"/>
      <c r="L44" s="103"/>
      <c r="M44" s="103"/>
      <c r="N44" s="115"/>
    </row>
    <row r="45">
      <c r="B45" t="s" s="30">
        <v>604</v>
      </c>
      <c r="C45" s="30"/>
      <c r="D45" s="30"/>
      <c r="E45" s="30"/>
      <c r="F45" s="30"/>
      <c r="G45" s="30"/>
      <c r="H45" s="30"/>
      <c r="I45" s="111">
        <f>SUM(I6:I43)</f>
        <v>2220</v>
      </c>
      <c r="J45" s="111">
        <f>SUM(J6:J43)</f>
        <v>3165</v>
      </c>
      <c r="K45" s="111">
        <f>SUM(K6:K43)</f>
        <v>1990</v>
      </c>
      <c r="L45" s="111">
        <f>SUM(L6:L43)</f>
        <v>5155</v>
      </c>
      <c r="M45" s="111">
        <f>SUM(M6:M43)</f>
        <v>2935</v>
      </c>
      <c r="N45" s="105">
        <f>L45/I45</f>
        <v>2.3220720720720722</v>
      </c>
      <c r="O45" s="30"/>
      <c r="P45" s="30"/>
      <c r="Q45" s="30"/>
      <c r="R45" s="30"/>
      <c r="S45" s="30"/>
      <c r="T45" s="30"/>
    </row>
  </sheetData>
  <pageMargins left="0.7" right="0.7" top="0.75" bottom="0.75" header="0.3" footer="0.3"/>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82"/>
  <sheetViews>
    <sheetView showGridLines="0" workbookViewId="0">
      <pane ySplit="5" topLeftCell="A6" activePane="bottomLeft" state="frozen"/>
      <selection pane="bottomLeft" activeCell="A1" sqref="A1"/>
    </sheetView>
  </sheetViews>
  <cols>
    <col min="1" max="1" width="2" customWidth="1"/>
    <col min="2" max="2" width="8" customWidth="1"/>
    <col min="3" max="3" width="30" customWidth="1"/>
    <col min="4" max="4" width="11" customWidth="1"/>
    <col min="5" max="5" width="28" customWidth="1"/>
    <col min="6" max="6" width="10" customWidth="1"/>
  </cols>
  <sheetData>
    <row r="2">
      <c r="B2" t="s" s="1">
        <v>605</v>
      </c>
    </row>
    <row r="3">
      <c r="B3" t="s" s="2">
        <v>606</v>
      </c>
    </row>
    <row r="5">
      <c r="B5" t="s" s="99">
        <v>179</v>
      </c>
      <c r="C5" t="s" s="99">
        <v>139</v>
      </c>
      <c r="D5" t="s" s="100">
        <v>180</v>
      </c>
      <c r="E5" t="s" s="99">
        <v>181</v>
      </c>
      <c r="F5" t="s" s="100">
        <v>182</v>
      </c>
      <c r="G5" t="s" s="99">
        <v>185</v>
      </c>
    </row>
    <row r="6">
      <c r="B6" t="s">
        <v>3</v>
      </c>
      <c r="C6" t="s">
        <v>186</v>
      </c>
      <c r="D6" s="66">
        <v>40451</v>
      </c>
      <c r="E6" t="s">
        <v>187</v>
      </c>
      <c r="F6" s="121">
        <v>-30</v>
      </c>
      <c r="G6" t="s" s="2">
        <v>607</v>
      </c>
    </row>
    <row r="7">
      <c r="B7" t="s">
        <v>3</v>
      </c>
      <c r="C7" t="s">
        <v>186</v>
      </c>
      <c r="D7" s="66">
        <v>42004</v>
      </c>
      <c r="E7" t="s">
        <v>189</v>
      </c>
      <c r="F7" s="121">
        <v>78</v>
      </c>
      <c r="G7" t="s" s="2">
        <v>608</v>
      </c>
    </row>
    <row r="8">
      <c r="B8" t="s">
        <v>3</v>
      </c>
      <c r="C8" t="s">
        <v>191</v>
      </c>
      <c r="D8" s="66">
        <v>40543</v>
      </c>
      <c r="E8" t="s">
        <v>187</v>
      </c>
      <c r="F8" s="121">
        <v>-28</v>
      </c>
      <c r="G8" t="s" s="2">
        <v>609</v>
      </c>
    </row>
    <row r="9">
      <c r="B9" t="s">
        <v>3</v>
      </c>
      <c r="C9" t="s">
        <v>191</v>
      </c>
      <c r="D9" s="66">
        <v>42185</v>
      </c>
      <c r="E9" t="s">
        <v>189</v>
      </c>
      <c r="F9" s="121">
        <v>80</v>
      </c>
      <c r="G9" t="s" s="2">
        <v>610</v>
      </c>
    </row>
    <row r="10">
      <c r="B10" t="s">
        <v>3</v>
      </c>
      <c r="C10" t="s">
        <v>194</v>
      </c>
      <c r="D10" s="66">
        <v>40724</v>
      </c>
      <c r="E10" t="s">
        <v>187</v>
      </c>
      <c r="F10" s="121">
        <v>-32</v>
      </c>
      <c r="G10" t="s" s="2">
        <v>611</v>
      </c>
    </row>
    <row r="11">
      <c r="B11" t="s">
        <v>3</v>
      </c>
      <c r="C11" t="s">
        <v>194</v>
      </c>
      <c r="D11" s="66">
        <v>42369</v>
      </c>
      <c r="E11" t="s">
        <v>189</v>
      </c>
      <c r="F11" s="121">
        <v>70</v>
      </c>
      <c r="G11" t="s" s="2">
        <v>612</v>
      </c>
    </row>
    <row r="12">
      <c r="B12" t="s">
        <v>3</v>
      </c>
      <c r="C12" t="s">
        <v>197</v>
      </c>
      <c r="D12" s="66">
        <v>40816</v>
      </c>
      <c r="E12" t="s">
        <v>187</v>
      </c>
      <c r="F12" s="121">
        <v>-25</v>
      </c>
      <c r="G12" t="s" s="2">
        <v>613</v>
      </c>
    </row>
    <row r="13">
      <c r="B13" t="s">
        <v>3</v>
      </c>
      <c r="C13" t="s">
        <v>197</v>
      </c>
      <c r="D13" s="66">
        <v>42460</v>
      </c>
      <c r="E13" t="s">
        <v>189</v>
      </c>
      <c r="F13" s="121">
        <v>62</v>
      </c>
      <c r="G13" t="s" s="2">
        <v>614</v>
      </c>
    </row>
    <row r="14">
      <c r="B14" t="s">
        <v>3</v>
      </c>
      <c r="C14" t="s">
        <v>200</v>
      </c>
      <c r="D14" s="66">
        <v>40999</v>
      </c>
      <c r="E14" t="s">
        <v>187</v>
      </c>
      <c r="F14" s="121">
        <v>-35</v>
      </c>
      <c r="G14" t="s" s="2">
        <v>615</v>
      </c>
    </row>
    <row r="15">
      <c r="B15" t="s">
        <v>3</v>
      </c>
      <c r="C15" t="s">
        <v>200</v>
      </c>
      <c r="D15" s="66">
        <v>42643</v>
      </c>
      <c r="E15" t="s">
        <v>189</v>
      </c>
      <c r="F15" s="121">
        <v>98</v>
      </c>
      <c r="G15" t="s" s="2">
        <v>616</v>
      </c>
    </row>
    <row r="16">
      <c r="B16" t="s">
        <v>3</v>
      </c>
      <c r="C16" t="s">
        <v>203</v>
      </c>
      <c r="D16" s="66">
        <v>41182</v>
      </c>
      <c r="E16" t="s">
        <v>187</v>
      </c>
      <c r="F16" s="121">
        <v>-30</v>
      </c>
      <c r="G16" t="s" s="2">
        <v>617</v>
      </c>
    </row>
    <row r="17">
      <c r="B17" t="s">
        <v>3</v>
      </c>
      <c r="C17" t="s">
        <v>203</v>
      </c>
      <c r="D17" s="66">
        <v>42916</v>
      </c>
      <c r="E17" t="s">
        <v>189</v>
      </c>
      <c r="F17" s="121">
        <v>72</v>
      </c>
      <c r="G17" t="s" s="2">
        <v>618</v>
      </c>
    </row>
    <row r="18">
      <c r="B18" t="s">
        <v>3</v>
      </c>
      <c r="C18" t="s">
        <v>206</v>
      </c>
      <c r="D18" s="66">
        <v>41364</v>
      </c>
      <c r="E18" t="s">
        <v>187</v>
      </c>
      <c r="F18" s="121">
        <v>-28</v>
      </c>
      <c r="G18" t="s" s="2">
        <v>619</v>
      </c>
    </row>
    <row r="19">
      <c r="B19" t="s">
        <v>3</v>
      </c>
      <c r="C19" t="s">
        <v>206</v>
      </c>
      <c r="D19" s="66">
        <v>43100</v>
      </c>
      <c r="E19" t="s">
        <v>189</v>
      </c>
      <c r="F19" s="121">
        <v>52</v>
      </c>
      <c r="G19" t="s" s="2">
        <v>620</v>
      </c>
    </row>
    <row r="20">
      <c r="B20" t="s">
        <v>3</v>
      </c>
      <c r="C20" t="s">
        <v>209</v>
      </c>
      <c r="D20" s="66">
        <v>41455</v>
      </c>
      <c r="E20" t="s">
        <v>187</v>
      </c>
      <c r="F20" s="121">
        <v>-22</v>
      </c>
      <c r="G20" t="s" s="2">
        <v>621</v>
      </c>
    </row>
    <row r="21">
      <c r="B21" t="s">
        <v>3</v>
      </c>
      <c r="C21" t="s">
        <v>209</v>
      </c>
      <c r="D21" s="66">
        <v>42735</v>
      </c>
      <c r="E21" t="s">
        <v>189</v>
      </c>
      <c r="F21" s="121">
        <v>8</v>
      </c>
      <c r="G21" t="s" s="2">
        <v>622</v>
      </c>
    </row>
    <row r="22">
      <c r="B22" t="s">
        <v>4</v>
      </c>
      <c r="C22" t="s">
        <v>212</v>
      </c>
      <c r="D22" s="66">
        <v>41639</v>
      </c>
      <c r="E22" t="s">
        <v>187</v>
      </c>
      <c r="F22" s="121">
        <v>-40</v>
      </c>
      <c r="G22" t="s" s="2">
        <v>623</v>
      </c>
    </row>
    <row r="23">
      <c r="B23" t="s">
        <v>4</v>
      </c>
      <c r="C23" t="s">
        <v>212</v>
      </c>
      <c r="D23" s="66">
        <v>43100</v>
      </c>
      <c r="E23" t="s">
        <v>189</v>
      </c>
      <c r="F23" s="121">
        <v>120</v>
      </c>
      <c r="G23" t="s" s="2">
        <v>624</v>
      </c>
    </row>
    <row r="24">
      <c r="B24" t="s">
        <v>4</v>
      </c>
      <c r="C24" t="s">
        <v>215</v>
      </c>
      <c r="D24" s="66">
        <v>41729</v>
      </c>
      <c r="E24" t="s">
        <v>187</v>
      </c>
      <c r="F24" s="121">
        <v>-45</v>
      </c>
      <c r="G24" t="s" s="2">
        <v>625</v>
      </c>
    </row>
    <row r="25">
      <c r="B25" t="s">
        <v>4</v>
      </c>
      <c r="C25" t="s">
        <v>215</v>
      </c>
      <c r="D25" s="66">
        <v>43281</v>
      </c>
      <c r="E25" t="s">
        <v>189</v>
      </c>
      <c r="F25" s="121">
        <v>110</v>
      </c>
      <c r="G25" t="s" s="2">
        <v>626</v>
      </c>
    </row>
    <row r="26">
      <c r="B26" t="s">
        <v>4</v>
      </c>
      <c r="C26" t="s">
        <v>218</v>
      </c>
      <c r="D26" s="66">
        <v>41820</v>
      </c>
      <c r="E26" t="s">
        <v>187</v>
      </c>
      <c r="F26" s="121">
        <v>-38</v>
      </c>
      <c r="G26" t="s" s="2">
        <v>627</v>
      </c>
    </row>
    <row r="27">
      <c r="B27" t="s">
        <v>4</v>
      </c>
      <c r="C27" t="s">
        <v>218</v>
      </c>
      <c r="D27" s="66">
        <v>43373</v>
      </c>
      <c r="E27" t="s">
        <v>189</v>
      </c>
      <c r="F27" s="121">
        <v>95</v>
      </c>
      <c r="G27" t="s" s="2">
        <v>628</v>
      </c>
    </row>
    <row r="28">
      <c r="B28" t="s">
        <v>4</v>
      </c>
      <c r="C28" t="s">
        <v>221</v>
      </c>
      <c r="D28" s="66">
        <v>42004</v>
      </c>
      <c r="E28" t="s">
        <v>187</v>
      </c>
      <c r="F28" s="121">
        <v>-42</v>
      </c>
      <c r="G28" t="s" s="2">
        <v>629</v>
      </c>
    </row>
    <row r="29">
      <c r="B29" t="s">
        <v>4</v>
      </c>
      <c r="C29" t="s">
        <v>221</v>
      </c>
      <c r="D29" s="66">
        <v>43555</v>
      </c>
      <c r="E29" t="s">
        <v>189</v>
      </c>
      <c r="F29" s="121">
        <v>168</v>
      </c>
      <c r="G29" t="s" s="2">
        <v>630</v>
      </c>
    </row>
    <row r="30">
      <c r="B30" t="s">
        <v>4</v>
      </c>
      <c r="C30" t="s">
        <v>224</v>
      </c>
      <c r="D30" s="66">
        <v>42094</v>
      </c>
      <c r="E30" t="s">
        <v>187</v>
      </c>
      <c r="F30" s="121">
        <v>-35</v>
      </c>
      <c r="G30" t="s" s="2">
        <v>631</v>
      </c>
    </row>
    <row r="31">
      <c r="B31" t="s">
        <v>4</v>
      </c>
      <c r="C31" t="s">
        <v>224</v>
      </c>
      <c r="D31" s="66">
        <v>43646</v>
      </c>
      <c r="E31" t="s">
        <v>189</v>
      </c>
      <c r="F31" s="121">
        <v>12</v>
      </c>
      <c r="G31" t="s" s="2">
        <v>632</v>
      </c>
    </row>
    <row r="32">
      <c r="B32" t="s">
        <v>4</v>
      </c>
      <c r="C32" t="s">
        <v>227</v>
      </c>
      <c r="D32" s="66">
        <v>42185</v>
      </c>
      <c r="E32" t="s">
        <v>187</v>
      </c>
      <c r="F32" s="121">
        <v>-40</v>
      </c>
      <c r="G32" t="s" s="2">
        <v>633</v>
      </c>
    </row>
    <row r="33">
      <c r="B33" t="s">
        <v>4</v>
      </c>
      <c r="C33" t="s">
        <v>227</v>
      </c>
      <c r="D33" s="66">
        <v>43830</v>
      </c>
      <c r="E33" t="s">
        <v>189</v>
      </c>
      <c r="F33" s="121">
        <v>105</v>
      </c>
      <c r="G33" t="s" s="2">
        <v>634</v>
      </c>
    </row>
    <row r="34">
      <c r="B34" t="s">
        <v>4</v>
      </c>
      <c r="C34" t="s">
        <v>230</v>
      </c>
      <c r="D34" s="66">
        <v>42277</v>
      </c>
      <c r="E34" t="s">
        <v>187</v>
      </c>
      <c r="F34" s="121">
        <v>-36</v>
      </c>
      <c r="G34" t="s" s="2">
        <v>635</v>
      </c>
    </row>
    <row r="35">
      <c r="B35" t="s">
        <v>4</v>
      </c>
      <c r="C35" t="s">
        <v>230</v>
      </c>
      <c r="D35" s="66">
        <v>44012</v>
      </c>
      <c r="E35" t="s">
        <v>189</v>
      </c>
      <c r="F35" s="121">
        <v>20</v>
      </c>
      <c r="G35" t="s" s="2">
        <v>636</v>
      </c>
    </row>
    <row r="36">
      <c r="B36" t="s">
        <v>4</v>
      </c>
      <c r="C36" t="s">
        <v>233</v>
      </c>
      <c r="D36" s="66">
        <v>42460</v>
      </c>
      <c r="E36" t="s">
        <v>187</v>
      </c>
      <c r="F36" s="121">
        <v>-45</v>
      </c>
      <c r="G36" t="s" s="2">
        <v>637</v>
      </c>
    </row>
    <row r="37">
      <c r="B37" t="s">
        <v>4</v>
      </c>
      <c r="C37" t="s">
        <v>233</v>
      </c>
      <c r="D37" s="66">
        <v>44286</v>
      </c>
      <c r="E37" t="s">
        <v>189</v>
      </c>
      <c r="F37" s="121">
        <v>170</v>
      </c>
      <c r="G37" t="s" s="2">
        <v>638</v>
      </c>
    </row>
    <row r="38">
      <c r="B38" t="s">
        <v>4</v>
      </c>
      <c r="C38" t="s">
        <v>236</v>
      </c>
      <c r="D38" s="66">
        <v>42551</v>
      </c>
      <c r="E38" t="s">
        <v>187</v>
      </c>
      <c r="F38" s="121">
        <v>-42</v>
      </c>
      <c r="G38" t="s" s="2">
        <v>639</v>
      </c>
    </row>
    <row r="39">
      <c r="B39" t="s">
        <v>4</v>
      </c>
      <c r="C39" t="s">
        <v>236</v>
      </c>
      <c r="D39" s="66">
        <v>44561</v>
      </c>
      <c r="E39" t="s">
        <v>189</v>
      </c>
      <c r="F39" s="121">
        <v>105</v>
      </c>
      <c r="G39" t="s" s="2">
        <v>640</v>
      </c>
    </row>
    <row r="40">
      <c r="B40" t="s">
        <v>4</v>
      </c>
      <c r="C40" t="s">
        <v>239</v>
      </c>
      <c r="D40" s="66">
        <v>42825</v>
      </c>
      <c r="E40" t="s">
        <v>187</v>
      </c>
      <c r="F40" s="121">
        <v>-32</v>
      </c>
      <c r="G40" t="s" s="2">
        <v>641</v>
      </c>
    </row>
    <row r="41">
      <c r="B41" t="s">
        <v>4</v>
      </c>
      <c r="C41" t="s">
        <v>239</v>
      </c>
      <c r="D41" s="66">
        <v>46203</v>
      </c>
      <c r="E41" t="s">
        <v>241</v>
      </c>
      <c r="F41" s="121">
        <v>40</v>
      </c>
      <c r="G41" t="s" s="2">
        <v>642</v>
      </c>
    </row>
    <row r="42">
      <c r="B42" t="s">
        <v>5</v>
      </c>
      <c r="C42" t="s">
        <v>148</v>
      </c>
      <c r="D42" s="66">
        <v>43008</v>
      </c>
      <c r="E42" t="s">
        <v>187</v>
      </c>
      <c r="F42" s="121">
        <v>-60</v>
      </c>
      <c r="G42" t="s" s="2">
        <v>643</v>
      </c>
    </row>
    <row r="43">
      <c r="B43" t="s">
        <v>5</v>
      </c>
      <c r="C43" t="s">
        <v>148</v>
      </c>
      <c r="D43" s="66">
        <v>44469</v>
      </c>
      <c r="E43" t="s">
        <v>189</v>
      </c>
      <c r="F43" s="121">
        <v>565</v>
      </c>
      <c r="G43" t="s" s="2">
        <v>644</v>
      </c>
    </row>
    <row r="44">
      <c r="B44" t="s">
        <v>5</v>
      </c>
      <c r="C44" t="s">
        <v>149</v>
      </c>
      <c r="D44" s="66">
        <v>43190</v>
      </c>
      <c r="E44" t="s">
        <v>187</v>
      </c>
      <c r="F44" s="121">
        <v>-75</v>
      </c>
      <c r="G44" t="s" s="2">
        <v>645</v>
      </c>
    </row>
    <row r="45">
      <c r="B45" t="s">
        <v>5</v>
      </c>
      <c r="C45" t="s">
        <v>149</v>
      </c>
      <c r="D45" s="66">
        <v>44742</v>
      </c>
      <c r="E45" t="s">
        <v>189</v>
      </c>
      <c r="F45" s="121">
        <v>240</v>
      </c>
      <c r="G45" t="s" s="2">
        <v>646</v>
      </c>
    </row>
    <row r="46">
      <c r="B46" t="s">
        <v>5</v>
      </c>
      <c r="C46" t="s">
        <v>150</v>
      </c>
      <c r="D46" s="66">
        <v>43281</v>
      </c>
      <c r="E46" t="s">
        <v>187</v>
      </c>
      <c r="F46" s="121">
        <v>-70</v>
      </c>
      <c r="G46" t="s" s="2">
        <v>647</v>
      </c>
    </row>
    <row r="47">
      <c r="B47" t="s">
        <v>5</v>
      </c>
      <c r="C47" t="s">
        <v>150</v>
      </c>
      <c r="D47" s="66">
        <v>45016</v>
      </c>
      <c r="E47" t="s">
        <v>189</v>
      </c>
      <c r="F47" s="121">
        <v>210</v>
      </c>
      <c r="G47" t="s" s="2">
        <v>648</v>
      </c>
    </row>
    <row r="48">
      <c r="B48" t="s">
        <v>5</v>
      </c>
      <c r="C48" t="s">
        <v>151</v>
      </c>
      <c r="D48" s="66">
        <v>43373</v>
      </c>
      <c r="E48" t="s">
        <v>187</v>
      </c>
      <c r="F48" s="121">
        <v>-65</v>
      </c>
      <c r="G48" t="s" s="2">
        <v>649</v>
      </c>
    </row>
    <row r="49">
      <c r="B49" t="s">
        <v>5</v>
      </c>
      <c r="C49" t="s">
        <v>151</v>
      </c>
      <c r="D49" s="66">
        <v>45107</v>
      </c>
      <c r="E49" t="s">
        <v>189</v>
      </c>
      <c r="F49" s="121">
        <v>175</v>
      </c>
      <c r="G49" t="s" s="2">
        <v>650</v>
      </c>
    </row>
    <row r="50">
      <c r="B50" t="s">
        <v>5</v>
      </c>
      <c r="C50" t="s">
        <v>152</v>
      </c>
      <c r="D50" s="66">
        <v>43465</v>
      </c>
      <c r="E50" t="s">
        <v>187</v>
      </c>
      <c r="F50" s="121">
        <v>-45</v>
      </c>
      <c r="G50" t="s" s="2">
        <v>651</v>
      </c>
    </row>
    <row r="51">
      <c r="B51" t="s">
        <v>5</v>
      </c>
      <c r="C51" t="s">
        <v>152</v>
      </c>
      <c r="D51" s="66">
        <v>46203</v>
      </c>
      <c r="E51" t="s">
        <v>241</v>
      </c>
      <c r="F51" s="121">
        <v>13</v>
      </c>
      <c r="G51" t="s" s="2">
        <v>652</v>
      </c>
    </row>
    <row r="52">
      <c r="B52" t="s">
        <v>5</v>
      </c>
      <c r="C52" t="s">
        <v>154</v>
      </c>
      <c r="D52" s="66">
        <v>43555</v>
      </c>
      <c r="E52" t="s">
        <v>187</v>
      </c>
      <c r="F52" s="121">
        <v>-55</v>
      </c>
      <c r="G52" t="s" s="2">
        <v>653</v>
      </c>
    </row>
    <row r="53">
      <c r="B53" t="s">
        <v>5</v>
      </c>
      <c r="C53" t="s">
        <v>154</v>
      </c>
      <c r="D53" s="66">
        <v>45382</v>
      </c>
      <c r="E53" t="s">
        <v>189</v>
      </c>
      <c r="F53" s="121">
        <v>140</v>
      </c>
      <c r="G53" t="s" s="2">
        <v>654</v>
      </c>
    </row>
    <row r="54">
      <c r="B54" t="s">
        <v>5</v>
      </c>
      <c r="C54" t="s">
        <v>155</v>
      </c>
      <c r="D54" s="66">
        <v>43646</v>
      </c>
      <c r="E54" t="s">
        <v>187</v>
      </c>
      <c r="F54" s="121">
        <v>-60</v>
      </c>
      <c r="G54" t="s" s="2">
        <v>655</v>
      </c>
    </row>
    <row r="55">
      <c r="B55" t="s">
        <v>5</v>
      </c>
      <c r="C55" t="s">
        <v>155</v>
      </c>
      <c r="D55" s="66">
        <v>45473</v>
      </c>
      <c r="E55" t="s">
        <v>189</v>
      </c>
      <c r="F55" s="121">
        <v>150</v>
      </c>
      <c r="G55" t="s" s="2">
        <v>656</v>
      </c>
    </row>
    <row r="56">
      <c r="B56" t="s">
        <v>5</v>
      </c>
      <c r="C56" t="s">
        <v>156</v>
      </c>
      <c r="D56" s="66">
        <v>43738</v>
      </c>
      <c r="E56" t="s">
        <v>187</v>
      </c>
      <c r="F56" s="121">
        <v>-40</v>
      </c>
      <c r="G56" t="s" s="2">
        <v>657</v>
      </c>
    </row>
    <row r="57">
      <c r="B57" t="s">
        <v>5</v>
      </c>
      <c r="C57" t="s">
        <v>156</v>
      </c>
      <c r="D57" s="66">
        <v>46203</v>
      </c>
      <c r="E57" t="s">
        <v>241</v>
      </c>
      <c r="F57" s="121">
        <v>7</v>
      </c>
      <c r="G57" t="s" s="2">
        <v>658</v>
      </c>
    </row>
    <row r="58">
      <c r="B58" t="s">
        <v>5</v>
      </c>
      <c r="C58" t="s">
        <v>157</v>
      </c>
      <c r="D58" s="66">
        <v>43830</v>
      </c>
      <c r="E58" t="s">
        <v>187</v>
      </c>
      <c r="F58" s="121">
        <v>-50</v>
      </c>
      <c r="G58" t="s" s="2">
        <v>659</v>
      </c>
    </row>
    <row r="59">
      <c r="B59" t="s">
        <v>5</v>
      </c>
      <c r="C59" t="s">
        <v>157</v>
      </c>
      <c r="D59" s="66">
        <v>45747</v>
      </c>
      <c r="E59" t="s">
        <v>189</v>
      </c>
      <c r="F59" s="121">
        <v>100</v>
      </c>
      <c r="G59" t="s" s="2">
        <v>660</v>
      </c>
    </row>
    <row r="60">
      <c r="B60" t="s">
        <v>5</v>
      </c>
      <c r="C60" t="s">
        <v>158</v>
      </c>
      <c r="D60" s="66">
        <v>43921</v>
      </c>
      <c r="E60" t="s">
        <v>187</v>
      </c>
      <c r="F60" s="121">
        <v>-70</v>
      </c>
      <c r="G60" t="s" s="2">
        <v>661</v>
      </c>
    </row>
    <row r="61">
      <c r="B61" t="s">
        <v>5</v>
      </c>
      <c r="C61" t="s">
        <v>158</v>
      </c>
      <c r="D61" s="66">
        <v>46203</v>
      </c>
      <c r="E61" t="s">
        <v>241</v>
      </c>
      <c r="F61" s="121">
        <v>210</v>
      </c>
      <c r="G61" t="s" s="2">
        <v>662</v>
      </c>
    </row>
    <row r="62">
      <c r="B62" t="s">
        <v>5</v>
      </c>
      <c r="C62" t="s">
        <v>160</v>
      </c>
      <c r="D62" s="66">
        <v>44104</v>
      </c>
      <c r="E62" t="s">
        <v>187</v>
      </c>
      <c r="F62" s="121">
        <v>-65</v>
      </c>
      <c r="G62" t="s" s="2">
        <v>663</v>
      </c>
    </row>
    <row r="63">
      <c r="B63" t="s">
        <v>5</v>
      </c>
      <c r="C63" t="s">
        <v>160</v>
      </c>
      <c r="D63" s="66">
        <v>46203</v>
      </c>
      <c r="E63" t="s">
        <v>241</v>
      </c>
      <c r="F63" s="121">
        <v>160</v>
      </c>
      <c r="G63" t="s" s="2">
        <v>664</v>
      </c>
    </row>
    <row r="64">
      <c r="B64" t="s">
        <v>6</v>
      </c>
      <c r="C64" t="s">
        <v>265</v>
      </c>
      <c r="D64" s="66">
        <v>44377</v>
      </c>
      <c r="E64" t="s">
        <v>187</v>
      </c>
      <c r="F64" s="121">
        <v>-120</v>
      </c>
      <c r="G64" t="s" s="2">
        <v>665</v>
      </c>
    </row>
    <row r="65">
      <c r="B65" t="s">
        <v>6</v>
      </c>
      <c r="C65" t="s">
        <v>265</v>
      </c>
      <c r="D65" s="66">
        <v>46203</v>
      </c>
      <c r="E65" t="s">
        <v>241</v>
      </c>
      <c r="F65" s="121">
        <v>290</v>
      </c>
      <c r="G65" t="s" s="2">
        <v>666</v>
      </c>
    </row>
    <row r="66">
      <c r="B66" t="s">
        <v>6</v>
      </c>
      <c r="C66" t="s">
        <v>268</v>
      </c>
      <c r="D66" s="66">
        <v>44469</v>
      </c>
      <c r="E66" t="s">
        <v>187</v>
      </c>
      <c r="F66" s="121">
        <v>-100</v>
      </c>
      <c r="G66" t="s" s="2">
        <v>667</v>
      </c>
    </row>
    <row r="67">
      <c r="B67" t="s">
        <v>6</v>
      </c>
      <c r="C67" t="s">
        <v>268</v>
      </c>
      <c r="D67" s="66">
        <v>45838</v>
      </c>
      <c r="E67" t="s">
        <v>270</v>
      </c>
      <c r="F67" s="121">
        <v>160</v>
      </c>
      <c r="G67" t="s" s="2">
        <v>668</v>
      </c>
    </row>
    <row r="68">
      <c r="B68" t="s">
        <v>6</v>
      </c>
      <c r="C68" t="s">
        <v>268</v>
      </c>
      <c r="D68" s="66">
        <v>46203</v>
      </c>
      <c r="E68" t="s">
        <v>241</v>
      </c>
      <c r="F68" s="121">
        <v>70</v>
      </c>
      <c r="G68" t="s" s="2">
        <v>669</v>
      </c>
    </row>
    <row r="69">
      <c r="B69" t="s">
        <v>6</v>
      </c>
      <c r="C69" t="s">
        <v>273</v>
      </c>
      <c r="D69" s="66">
        <v>44651</v>
      </c>
      <c r="E69" t="s">
        <v>187</v>
      </c>
      <c r="F69" s="121">
        <v>-110</v>
      </c>
      <c r="G69" t="s" s="2">
        <v>670</v>
      </c>
    </row>
    <row r="70">
      <c r="B70" t="s">
        <v>6</v>
      </c>
      <c r="C70" t="s">
        <v>273</v>
      </c>
      <c r="D70" s="66">
        <v>46203</v>
      </c>
      <c r="E70" t="s">
        <v>241</v>
      </c>
      <c r="F70" s="121">
        <v>200</v>
      </c>
      <c r="G70" t="s" s="2">
        <v>671</v>
      </c>
    </row>
    <row r="71">
      <c r="B71" t="s">
        <v>6</v>
      </c>
      <c r="C71" t="s">
        <v>276</v>
      </c>
      <c r="D71" s="66">
        <v>44742</v>
      </c>
      <c r="E71" t="s">
        <v>187</v>
      </c>
      <c r="F71" s="121">
        <v>-105</v>
      </c>
      <c r="G71" t="s" s="2">
        <v>672</v>
      </c>
    </row>
    <row r="72">
      <c r="B72" t="s">
        <v>6</v>
      </c>
      <c r="C72" t="s">
        <v>276</v>
      </c>
      <c r="D72" s="66">
        <v>46203</v>
      </c>
      <c r="E72" t="s">
        <v>241</v>
      </c>
      <c r="F72" s="121">
        <v>215</v>
      </c>
      <c r="G72" t="s" s="2">
        <v>673</v>
      </c>
    </row>
    <row r="73">
      <c r="B73" t="s">
        <v>6</v>
      </c>
      <c r="C73" t="s">
        <v>279</v>
      </c>
      <c r="D73" s="66">
        <v>44834</v>
      </c>
      <c r="E73" t="s">
        <v>187</v>
      </c>
      <c r="F73" s="121">
        <v>-95</v>
      </c>
      <c r="G73" t="s" s="2">
        <v>674</v>
      </c>
    </row>
    <row r="74">
      <c r="B74" t="s">
        <v>6</v>
      </c>
      <c r="C74" t="s">
        <v>279</v>
      </c>
      <c r="D74" s="66">
        <v>46203</v>
      </c>
      <c r="E74" t="s">
        <v>241</v>
      </c>
      <c r="F74" s="121">
        <v>175</v>
      </c>
      <c r="G74" t="s" s="2">
        <v>675</v>
      </c>
    </row>
    <row r="75">
      <c r="B75" t="s">
        <v>6</v>
      </c>
      <c r="C75" t="s">
        <v>282</v>
      </c>
      <c r="D75" s="66">
        <v>44926</v>
      </c>
      <c r="E75" t="s">
        <v>187</v>
      </c>
      <c r="F75" s="121">
        <v>-115</v>
      </c>
      <c r="G75" t="s" s="2">
        <v>676</v>
      </c>
    </row>
    <row r="76">
      <c r="B76" t="s">
        <v>6</v>
      </c>
      <c r="C76" t="s">
        <v>282</v>
      </c>
      <c r="D76" s="66">
        <v>46203</v>
      </c>
      <c r="E76" t="s">
        <v>241</v>
      </c>
      <c r="F76" s="121">
        <v>260</v>
      </c>
      <c r="G76" t="s" s="2">
        <v>677</v>
      </c>
    </row>
    <row r="77">
      <c r="B77" t="s">
        <v>6</v>
      </c>
      <c r="C77" t="s">
        <v>285</v>
      </c>
      <c r="D77" s="66">
        <v>45016</v>
      </c>
      <c r="E77" t="s">
        <v>187</v>
      </c>
      <c r="F77" s="121">
        <v>-110</v>
      </c>
      <c r="G77" t="s" s="2">
        <v>678</v>
      </c>
    </row>
    <row r="78">
      <c r="B78" t="s">
        <v>6</v>
      </c>
      <c r="C78" t="s">
        <v>285</v>
      </c>
      <c r="D78" s="66">
        <v>46203</v>
      </c>
      <c r="E78" t="s">
        <v>241</v>
      </c>
      <c r="F78" s="121">
        <v>195</v>
      </c>
      <c r="G78" t="s" s="2">
        <v>679</v>
      </c>
    </row>
    <row r="79">
      <c r="B79" t="s">
        <v>6</v>
      </c>
      <c r="C79" t="s">
        <v>288</v>
      </c>
      <c r="D79" s="66">
        <v>45199</v>
      </c>
      <c r="E79" t="s">
        <v>187</v>
      </c>
      <c r="F79" s="121">
        <v>-100</v>
      </c>
      <c r="G79" t="s" s="2">
        <v>680</v>
      </c>
    </row>
    <row r="80">
      <c r="B80" t="s">
        <v>6</v>
      </c>
      <c r="C80" t="s">
        <v>288</v>
      </c>
      <c r="D80" s="66">
        <v>46203</v>
      </c>
      <c r="E80" t="s">
        <v>241</v>
      </c>
      <c r="F80" s="121">
        <v>60</v>
      </c>
      <c r="G80" t="s" s="2">
        <v>681</v>
      </c>
    </row>
    <row r="81">
      <c r="B81" t="s">
        <v>6</v>
      </c>
      <c r="C81" t="s">
        <v>291</v>
      </c>
      <c r="D81" s="66">
        <v>45382</v>
      </c>
      <c r="E81" t="s">
        <v>187</v>
      </c>
      <c r="F81" s="121">
        <v>-85</v>
      </c>
      <c r="G81" t="s" s="2">
        <v>682</v>
      </c>
    </row>
    <row r="82">
      <c r="B82" t="s">
        <v>6</v>
      </c>
      <c r="C82" t="s">
        <v>291</v>
      </c>
      <c r="D82" s="66">
        <v>46203</v>
      </c>
      <c r="E82" t="s">
        <v>241</v>
      </c>
      <c r="F82" s="121">
        <v>95</v>
      </c>
      <c r="G82" t="s" s="2">
        <v>683</v>
      </c>
    </row>
  </sheetData>
  <pageMargins left="0.7" right="0.7" top="0.75" bottom="0.75" header="0.3" footer="0.3"/>
  <legacy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98"/>
  <sheetViews>
    <sheetView showGridLines="0" workbookViewId="0">
      <selection activeCell="A1" sqref="A1"/>
    </sheetView>
  </sheetViews>
  <cols>
    <col min="1" max="1" width="2.21875" customWidth="1"/>
    <col min="2" max="2" width="74.64453125" customWidth="1"/>
    <col min="3" max="3" width="17.21875" customWidth="1"/>
    <col min="4" max="4" width="13.21875" customWidth="1"/>
    <col min="5" max="5" width="106.64453125" customWidth="1"/>
  </cols>
  <sheetData>
    <row r="2">
      <c r="B2" t="s" s="1">
        <v>780</v>
      </c>
    </row>
    <row r="3">
      <c r="B3" t="s" s="2">
        <v>781</v>
      </c>
    </row>
    <row r="4">
      <c r="B4" t="s" s="2">
        <v>782</v>
      </c>
    </row>
    <row r="5">
      <c r="B5" t="s" s="99">
        <v>783</v>
      </c>
      <c r="C5" t="s" s="144">
        <v>784</v>
      </c>
      <c r="D5" t="s" s="144">
        <v>785</v>
      </c>
      <c r="E5" t="s" s="169">
        <v>786</v>
      </c>
    </row>
    <row r="6">
      <c r="B6" t="s" s="5">
        <v>787</v>
      </c>
      <c r="C6" s="5"/>
      <c r="D6" s="5"/>
      <c r="E6" s="170"/>
    </row>
    <row r="7">
      <c r="B7" t="s">
        <v>788</v>
      </c>
      <c r="C7" s="171">
        <v>240</v>
      </c>
      <c r="D7" t="s" s="60">
        <v>789</v>
      </c>
      <c r="E7" t="s" s="172">
        <v>790</v>
      </c>
    </row>
    <row r="8">
      <c r="B8" t="s">
        <v>791</v>
      </c>
      <c r="C8" s="173">
        <v>11</v>
      </c>
      <c r="D8" t="s" s="60">
        <v>792</v>
      </c>
      <c r="E8" t="s" s="172">
        <v>790</v>
      </c>
    </row>
    <row r="9">
      <c r="B9" t="s">
        <v>793</v>
      </c>
      <c r="C9" s="171">
        <v>21.8</v>
      </c>
      <c r="D9" t="s" s="60">
        <v>789</v>
      </c>
      <c r="E9" t="s" s="172">
        <v>790</v>
      </c>
    </row>
    <row r="10">
      <c r="B10" t="s">
        <v>794</v>
      </c>
      <c r="C10" s="171">
        <v>120</v>
      </c>
      <c r="D10" t="s" s="60">
        <v>789</v>
      </c>
      <c r="E10" t="s" s="172">
        <v>790</v>
      </c>
    </row>
    <row r="11">
      <c r="B11" t="s">
        <v>795</v>
      </c>
      <c r="C11" s="171">
        <v>120</v>
      </c>
      <c r="D11" t="s" s="60">
        <v>789</v>
      </c>
      <c r="E11" t="s" s="172">
        <v>790</v>
      </c>
    </row>
    <row r="12">
      <c r="B12" t="s">
        <v>796</v>
      </c>
      <c r="C12" s="171">
        <v>150</v>
      </c>
      <c r="D12" t="s" s="60">
        <v>789</v>
      </c>
      <c r="E12" t="s" s="172">
        <v>790</v>
      </c>
    </row>
    <row r="13">
      <c r="B13" t="s">
        <v>140</v>
      </c>
      <c r="C13" s="174">
        <v>44377</v>
      </c>
      <c r="D13" t="s" s="60">
        <v>797</v>
      </c>
      <c r="E13" t="s" s="172">
        <v>798</v>
      </c>
    </row>
    <row r="14">
      <c r="E14" s="172"/>
    </row>
    <row r="15">
      <c r="B15" t="s" s="5">
        <v>799</v>
      </c>
      <c r="C15" s="5"/>
      <c r="D15" s="5"/>
      <c r="E15" s="170"/>
    </row>
    <row r="16">
      <c r="B16" t="s">
        <v>800</v>
      </c>
      <c r="C16" s="171">
        <v>21</v>
      </c>
      <c r="D16" t="s" s="60">
        <v>789</v>
      </c>
      <c r="E16" t="s" s="172">
        <v>801</v>
      </c>
    </row>
    <row r="17">
      <c r="B17" t="s">
        <v>802</v>
      </c>
      <c r="C17" s="171">
        <v>12</v>
      </c>
      <c r="D17" t="s" s="60">
        <v>789</v>
      </c>
      <c r="E17" t="s" s="172">
        <v>801</v>
      </c>
    </row>
    <row r="18">
      <c r="B18" t="s">
        <v>803</v>
      </c>
      <c r="C18" s="171">
        <v>33</v>
      </c>
      <c r="D18" t="s" s="60">
        <v>789</v>
      </c>
      <c r="E18" t="s" s="172">
        <v>801</v>
      </c>
    </row>
    <row r="19">
      <c r="B19" t="s">
        <v>804</v>
      </c>
      <c r="C19" s="171">
        <v>3</v>
      </c>
      <c r="D19" t="s" s="60">
        <v>789</v>
      </c>
      <c r="E19" t="s" s="172">
        <v>801</v>
      </c>
    </row>
    <row r="20">
      <c r="B20" t="s">
        <v>805</v>
      </c>
      <c r="C20" s="171">
        <v>36</v>
      </c>
      <c r="D20" t="s" s="60">
        <v>789</v>
      </c>
      <c r="E20" t="s" s="172">
        <v>801</v>
      </c>
    </row>
    <row r="21">
      <c r="B21" t="s">
        <v>806</v>
      </c>
      <c r="C21" s="173">
        <v>16.5</v>
      </c>
      <c r="D21" t="s" s="60">
        <v>792</v>
      </c>
      <c r="E21" t="s" s="172">
        <v>807</v>
      </c>
    </row>
    <row r="22">
      <c r="B22" t="s">
        <v>808</v>
      </c>
      <c r="C22" s="171">
        <v>594</v>
      </c>
      <c r="D22" t="s" s="60">
        <v>789</v>
      </c>
      <c r="E22" t="s" s="172">
        <v>807</v>
      </c>
    </row>
    <row r="23">
      <c r="B23" t="s">
        <v>513</v>
      </c>
      <c r="C23" s="171">
        <v>304</v>
      </c>
      <c r="D23" t="s" s="60">
        <v>789</v>
      </c>
      <c r="E23" t="s" s="172">
        <v>807</v>
      </c>
    </row>
    <row r="24">
      <c r="B24" t="s">
        <v>809</v>
      </c>
      <c r="C24" s="171">
        <v>290</v>
      </c>
      <c r="D24" t="s" s="60">
        <v>789</v>
      </c>
      <c r="E24" t="s" s="172">
        <v>807</v>
      </c>
    </row>
    <row r="25">
      <c r="B25" t="s">
        <v>9</v>
      </c>
      <c r="C25" s="171">
        <v>120</v>
      </c>
      <c r="D25" t="s" s="60">
        <v>789</v>
      </c>
      <c r="E25" t="s" s="172">
        <v>807</v>
      </c>
    </row>
    <row r="26">
      <c r="B26" t="s">
        <v>810</v>
      </c>
      <c r="C26" s="173">
        <v>2.4</v>
      </c>
      <c r="D26" t="s" s="60">
        <v>792</v>
      </c>
      <c r="E26" t="s" s="172">
        <v>807</v>
      </c>
    </row>
    <row r="27">
      <c r="B27" t="s">
        <v>811</v>
      </c>
      <c r="C27" s="173">
        <v>3.5</v>
      </c>
      <c r="D27" t="s" s="60">
        <v>792</v>
      </c>
      <c r="E27" t="s" s="172">
        <v>812</v>
      </c>
    </row>
    <row r="28">
      <c r="B28" t="s">
        <v>813</v>
      </c>
      <c r="C28" s="173">
        <v>16</v>
      </c>
      <c r="D28" t="s" s="60">
        <v>792</v>
      </c>
      <c r="E28" t="s" s="172">
        <v>812</v>
      </c>
    </row>
    <row r="29">
      <c r="B29" t="s">
        <v>814</v>
      </c>
      <c r="C29" s="171">
        <v>34.5</v>
      </c>
      <c r="D29" t="s" s="60">
        <v>789</v>
      </c>
      <c r="E29" t="s" s="172">
        <v>812</v>
      </c>
    </row>
    <row r="30">
      <c r="E30" s="172"/>
    </row>
    <row r="31">
      <c r="B31" t="s" s="5">
        <v>815</v>
      </c>
      <c r="C31" s="5"/>
      <c r="D31" s="5"/>
      <c r="E31" s="170"/>
    </row>
    <row r="32">
      <c r="B32" t="s">
        <v>816</v>
      </c>
      <c r="C32" s="173">
        <v>14.6</v>
      </c>
      <c r="D32" t="s" s="60">
        <v>792</v>
      </c>
      <c r="E32" t="s" s="172">
        <v>817</v>
      </c>
    </row>
    <row r="33">
      <c r="B33" t="s">
        <v>818</v>
      </c>
      <c r="C33" s="173">
        <v>13.8</v>
      </c>
      <c r="D33" t="s" s="60">
        <v>792</v>
      </c>
      <c r="E33" t="s" s="172">
        <v>817</v>
      </c>
    </row>
    <row r="34">
      <c r="B34" t="s">
        <v>819</v>
      </c>
      <c r="C34" s="173">
        <v>13.2</v>
      </c>
      <c r="D34" t="s" s="60">
        <v>792</v>
      </c>
      <c r="E34" t="s" s="172">
        <v>817</v>
      </c>
    </row>
    <row r="35">
      <c r="B35" t="s">
        <v>820</v>
      </c>
      <c r="C35" s="173">
        <v>12.8</v>
      </c>
      <c r="D35" t="s" s="60">
        <v>792</v>
      </c>
      <c r="E35" t="s" s="172">
        <v>817</v>
      </c>
    </row>
    <row r="36">
      <c r="B36" t="s">
        <v>821</v>
      </c>
      <c r="C36" s="173">
        <v>12.1</v>
      </c>
      <c r="D36" t="s" s="60">
        <v>792</v>
      </c>
      <c r="E36" t="s" s="172">
        <v>817</v>
      </c>
    </row>
    <row r="37">
      <c r="B37" t="s">
        <v>822</v>
      </c>
      <c r="C37" s="173">
        <v>11.4</v>
      </c>
      <c r="D37" t="s" s="60">
        <v>792</v>
      </c>
      <c r="E37" t="s" s="172">
        <v>817</v>
      </c>
    </row>
    <row r="38">
      <c r="B38" t="s">
        <v>823</v>
      </c>
      <c r="C38" s="173">
        <v>13</v>
      </c>
      <c r="D38" t="s" s="60">
        <v>792</v>
      </c>
      <c r="E38" t="s" s="172">
        <v>817</v>
      </c>
    </row>
    <row r="39">
      <c r="E39" s="172"/>
    </row>
    <row r="40">
      <c r="B40" t="s" s="5">
        <v>824</v>
      </c>
      <c r="C40" s="5"/>
      <c r="D40" s="5"/>
      <c r="E40" s="170"/>
    </row>
    <row r="41">
      <c r="B41" t="s">
        <v>825</v>
      </c>
      <c r="C41" s="171">
        <v>36</v>
      </c>
      <c r="D41" t="s" s="60">
        <v>789</v>
      </c>
      <c r="E41" t="s" s="172">
        <v>826</v>
      </c>
    </row>
    <row r="42">
      <c r="B42" t="s">
        <v>827</v>
      </c>
      <c r="C42" s="173">
        <v>16.5</v>
      </c>
      <c r="D42" t="s" s="60">
        <v>792</v>
      </c>
      <c r="E42" t="s" s="172">
        <v>828</v>
      </c>
    </row>
    <row r="43">
      <c r="B43" t="s">
        <v>512</v>
      </c>
      <c r="C43" s="171">
        <v>594</v>
      </c>
      <c r="D43" t="s" s="60">
        <v>789</v>
      </c>
      <c r="E43" t="s" s="172">
        <v>829</v>
      </c>
    </row>
    <row r="44">
      <c r="B44" t="s">
        <v>513</v>
      </c>
      <c r="C44" s="171">
        <v>304</v>
      </c>
      <c r="D44" t="s" s="60">
        <v>789</v>
      </c>
      <c r="E44" t="s" s="172">
        <v>830</v>
      </c>
    </row>
    <row r="45">
      <c r="B45" t="s">
        <v>831</v>
      </c>
      <c r="C45" s="171">
        <v>290</v>
      </c>
      <c r="D45" t="s" s="60">
        <v>789</v>
      </c>
      <c r="E45" t="s" s="172">
        <v>832</v>
      </c>
    </row>
    <row r="46">
      <c r="B46" t="s">
        <v>9</v>
      </c>
      <c r="C46" s="171">
        <v>120</v>
      </c>
      <c r="D46" t="s" s="60">
        <v>789</v>
      </c>
      <c r="E46" t="s" s="172">
        <v>833</v>
      </c>
    </row>
    <row r="47">
      <c r="E47" s="172"/>
    </row>
    <row r="48">
      <c r="B48" t="s" s="5">
        <v>834</v>
      </c>
      <c r="C48" s="5"/>
      <c r="D48" s="5"/>
      <c r="E48" s="170"/>
    </row>
    <row r="49">
      <c r="B49" t="s">
        <v>9</v>
      </c>
      <c r="C49" s="171">
        <v>940</v>
      </c>
      <c r="D49" t="s" s="60">
        <v>789</v>
      </c>
      <c r="E49" t="s" s="172">
        <v>835</v>
      </c>
    </row>
    <row r="50">
      <c r="B50" t="s">
        <v>544</v>
      </c>
      <c r="C50" s="171">
        <v>160</v>
      </c>
      <c r="D50" t="s" s="60">
        <v>789</v>
      </c>
      <c r="E50" t="s" s="172">
        <v>836</v>
      </c>
    </row>
    <row r="51">
      <c r="B51" t="s">
        <v>837</v>
      </c>
      <c r="C51" s="171">
        <v>1560</v>
      </c>
      <c r="D51" t="s" s="60">
        <v>789</v>
      </c>
      <c r="E51" t="s" s="172">
        <v>838</v>
      </c>
    </row>
    <row r="52">
      <c r="B52" t="s">
        <v>839</v>
      </c>
      <c r="C52" s="175">
        <v>1.83</v>
      </c>
      <c r="D52" t="s" s="60">
        <v>792</v>
      </c>
      <c r="E52" t="s" s="172">
        <v>840</v>
      </c>
    </row>
    <row r="53">
      <c r="B53" t="s">
        <v>757</v>
      </c>
      <c r="C53" s="171">
        <v>1100.460882191781</v>
      </c>
      <c r="D53" t="s" s="60">
        <v>789</v>
      </c>
      <c r="E53" t="s" s="172">
        <v>841</v>
      </c>
    </row>
    <row r="54">
      <c r="B54" t="s">
        <v>14</v>
      </c>
      <c r="C54" s="171">
        <v>160</v>
      </c>
      <c r="D54" t="s" s="60">
        <v>789</v>
      </c>
      <c r="E54" t="s" s="172">
        <v>842</v>
      </c>
    </row>
    <row r="55">
      <c r="B55" t="s">
        <v>843</v>
      </c>
      <c r="C55" s="171">
        <v>1415.363469589041</v>
      </c>
      <c r="D55" t="s" s="60">
        <v>789</v>
      </c>
      <c r="E55" t="s" s="172">
        <v>844</v>
      </c>
    </row>
    <row r="56">
      <c r="B56" t="s">
        <v>845</v>
      </c>
      <c r="C56" s="175">
        <v>1.43</v>
      </c>
      <c r="D56" t="s" s="60">
        <v>792</v>
      </c>
      <c r="E56" t="s" s="172">
        <v>846</v>
      </c>
    </row>
    <row r="57">
      <c r="B57" t="s">
        <v>847</v>
      </c>
      <c r="C57" s="175">
        <v>1.29</v>
      </c>
      <c r="D57" t="s" s="60">
        <v>792</v>
      </c>
      <c r="E57" t="s" s="172">
        <v>848</v>
      </c>
    </row>
    <row r="58">
      <c r="B58" t="s">
        <v>849</v>
      </c>
      <c r="C58" s="176">
        <v>0.1451592235623492</v>
      </c>
      <c r="D58" t="s" s="60">
        <v>850</v>
      </c>
      <c r="E58" t="s" s="172">
        <v>851</v>
      </c>
    </row>
    <row r="59">
      <c r="B59" t="s">
        <v>762</v>
      </c>
      <c r="C59" s="171">
        <v>118.725646849315</v>
      </c>
      <c r="D59" t="s" s="60">
        <v>789</v>
      </c>
      <c r="E59" t="s" s="172">
        <v>852</v>
      </c>
    </row>
    <row r="60">
      <c r="B60" t="s">
        <v>853</v>
      </c>
      <c r="C60" s="171">
        <v>25.9</v>
      </c>
      <c r="D60" t="s" s="60">
        <v>789</v>
      </c>
      <c r="E60" t="s" s="172">
        <v>854</v>
      </c>
    </row>
    <row r="61">
      <c r="B61" t="s">
        <v>705</v>
      </c>
      <c r="C61" s="171">
        <v>290</v>
      </c>
      <c r="D61" t="s" s="60">
        <v>789</v>
      </c>
      <c r="E61" t="s" s="172">
        <v>855</v>
      </c>
    </row>
    <row r="62">
      <c r="B62" t="s">
        <v>856</v>
      </c>
      <c r="C62" s="177">
        <v>0.19</v>
      </c>
      <c r="D62" t="s" s="60">
        <v>850</v>
      </c>
      <c r="E62" t="s" s="172">
        <v>857</v>
      </c>
    </row>
    <row r="63">
      <c r="B63" t="s">
        <v>858</v>
      </c>
      <c r="C63" s="171">
        <v>100</v>
      </c>
      <c r="D63" t="s" s="60">
        <v>789</v>
      </c>
      <c r="E63" t="s" s="172">
        <v>859</v>
      </c>
    </row>
    <row r="64">
      <c r="B64" t="s">
        <v>860</v>
      </c>
      <c r="C64" s="171">
        <v>160</v>
      </c>
      <c r="D64" t="s" s="60">
        <v>789</v>
      </c>
      <c r="E64" t="s" s="172">
        <v>861</v>
      </c>
    </row>
    <row r="65">
      <c r="B65" t="s">
        <v>862</v>
      </c>
      <c r="C65" s="177">
        <v>0.3</v>
      </c>
      <c r="D65" t="s" s="60">
        <v>850</v>
      </c>
      <c r="E65" t="s" s="172">
        <v>863</v>
      </c>
    </row>
    <row r="66">
      <c r="E66" s="172"/>
    </row>
    <row r="67">
      <c r="B67" t="s" s="5">
        <v>864</v>
      </c>
      <c r="C67" s="5"/>
      <c r="D67" s="5"/>
      <c r="E67" s="170"/>
    </row>
    <row r="68">
      <c r="B68" t="s">
        <v>865</v>
      </c>
      <c r="C68" s="177">
        <v>0.2</v>
      </c>
      <c r="D68" t="s" s="60">
        <v>850</v>
      </c>
      <c r="E68" t="s" s="172">
        <v>866</v>
      </c>
    </row>
    <row r="69">
      <c r="B69" t="s">
        <v>867</v>
      </c>
      <c r="C69" s="177">
        <v>0.08</v>
      </c>
      <c r="D69" t="s" s="60">
        <v>850</v>
      </c>
      <c r="E69" t="s" s="172">
        <v>866</v>
      </c>
    </row>
    <row r="70">
      <c r="B70" t="s">
        <v>868</v>
      </c>
      <c r="C70" s="177">
        <v>1</v>
      </c>
      <c r="D70" t="s" s="60">
        <v>850</v>
      </c>
      <c r="E70" t="s" s="172">
        <v>866</v>
      </c>
    </row>
    <row r="71">
      <c r="E71" s="172"/>
    </row>
    <row r="72">
      <c r="B72" t="s" s="5">
        <v>869</v>
      </c>
      <c r="C72" s="5"/>
      <c r="D72" s="5"/>
      <c r="E72" s="170"/>
    </row>
    <row r="73">
      <c r="B73" t="s">
        <v>870</v>
      </c>
      <c r="C73" s="177">
        <v>0.35</v>
      </c>
      <c r="D73" t="s" s="60">
        <v>850</v>
      </c>
      <c r="E73" t="s" s="172">
        <v>871</v>
      </c>
    </row>
    <row r="74">
      <c r="B74" t="s">
        <v>872</v>
      </c>
      <c r="C74" s="177">
        <v>0.12</v>
      </c>
      <c r="D74" t="s" s="60">
        <v>850</v>
      </c>
      <c r="E74" t="s" s="172">
        <v>873</v>
      </c>
    </row>
    <row r="75">
      <c r="B75" t="s">
        <v>874</v>
      </c>
      <c r="C75" s="177">
        <v>0.12</v>
      </c>
      <c r="D75" t="s" s="60">
        <v>850</v>
      </c>
      <c r="E75" t="s" s="172">
        <v>875</v>
      </c>
    </row>
    <row r="76">
      <c r="E76" s="172"/>
    </row>
    <row r="77">
      <c r="B77" t="s" s="5">
        <v>876</v>
      </c>
      <c r="C77" s="5"/>
      <c r="D77" s="5"/>
      <c r="E77" s="170"/>
    </row>
    <row r="78">
      <c r="B78" t="s" s="99">
        <v>296</v>
      </c>
      <c r="C78" t="s" s="144">
        <v>298</v>
      </c>
      <c r="D78" t="s" s="144">
        <v>180</v>
      </c>
      <c r="E78" t="s" s="169">
        <v>786</v>
      </c>
    </row>
    <row r="79">
      <c r="B79" t="s">
        <v>310</v>
      </c>
      <c r="C79" s="171">
        <v>-6.628253424657534</v>
      </c>
      <c r="D79" s="174">
        <v>44646</v>
      </c>
      <c r="E79" t="s" s="172">
        <v>877</v>
      </c>
    </row>
    <row r="80">
      <c r="B80" t="s">
        <v>310</v>
      </c>
      <c r="C80" s="171">
        <v>-128.6034863013699</v>
      </c>
      <c r="D80" s="174">
        <v>44737</v>
      </c>
      <c r="E80" t="s" s="172">
        <v>878</v>
      </c>
    </row>
    <row r="81">
      <c r="B81" t="s">
        <v>310</v>
      </c>
      <c r="C81" s="171">
        <v>-108.2742808219178</v>
      </c>
      <c r="D81" s="174">
        <v>44829</v>
      </c>
      <c r="E81" t="s" s="172">
        <v>879</v>
      </c>
    </row>
    <row r="82">
      <c r="B82" t="s">
        <v>310</v>
      </c>
      <c r="C82" s="171">
        <v>-6.628253424657534</v>
      </c>
      <c r="D82" s="174">
        <v>44921</v>
      </c>
      <c r="E82" t="s" s="172">
        <v>880</v>
      </c>
    </row>
    <row r="83">
      <c r="B83" t="s">
        <v>310</v>
      </c>
      <c r="C83" s="171">
        <v>-118.4388835616438</v>
      </c>
      <c r="D83" s="174">
        <v>45011</v>
      </c>
      <c r="E83" t="s" s="172">
        <v>881</v>
      </c>
    </row>
    <row r="84">
      <c r="B84" t="s">
        <v>310</v>
      </c>
      <c r="C84" s="171">
        <v>-113.3565821917808</v>
      </c>
      <c r="D84" s="174">
        <v>45102</v>
      </c>
      <c r="E84" t="s" s="172">
        <v>882</v>
      </c>
    </row>
    <row r="85">
      <c r="B85" t="s">
        <v>310</v>
      </c>
      <c r="C85" s="171">
        <v>-107.6617924657534</v>
      </c>
      <c r="D85" s="174">
        <v>45194</v>
      </c>
      <c r="E85" t="s" s="172">
        <v>883</v>
      </c>
    </row>
    <row r="86">
      <c r="B86" t="s">
        <v>310</v>
      </c>
      <c r="C86" s="171">
        <v>-128.8715678082192</v>
      </c>
      <c r="D86" s="174">
        <v>45286</v>
      </c>
      <c r="E86" t="s" s="172">
        <v>884</v>
      </c>
    </row>
    <row r="87">
      <c r="B87" t="s">
        <v>310</v>
      </c>
      <c r="C87" s="171">
        <v>-123.5691239726027</v>
      </c>
      <c r="D87" s="174">
        <v>45376</v>
      </c>
      <c r="E87" t="s" s="172">
        <v>885</v>
      </c>
    </row>
    <row r="88">
      <c r="B88" t="s">
        <v>310</v>
      </c>
      <c r="C88" s="171">
        <v>-6.915359589041095</v>
      </c>
      <c r="D88" s="174">
        <v>45467</v>
      </c>
      <c r="E88" t="s" s="172">
        <v>886</v>
      </c>
    </row>
    <row r="89">
      <c r="B89" t="s">
        <v>310</v>
      </c>
      <c r="C89" s="171">
        <v>-112.9642363013699</v>
      </c>
      <c r="D89" s="174">
        <v>45559</v>
      </c>
      <c r="E89" t="s" s="172">
        <v>887</v>
      </c>
    </row>
    <row r="90">
      <c r="B90" t="s">
        <v>310</v>
      </c>
      <c r="C90" s="171">
        <v>-6.915359589041095</v>
      </c>
      <c r="D90" s="174">
        <v>45651</v>
      </c>
      <c r="E90" t="s" s="172">
        <v>888</v>
      </c>
    </row>
    <row r="91">
      <c r="B91" t="s">
        <v>310</v>
      </c>
      <c r="C91" s="171">
        <v>-97.05690479452055</v>
      </c>
      <c r="D91" s="174">
        <v>45742</v>
      </c>
      <c r="E91" t="s" s="172">
        <v>889</v>
      </c>
    </row>
    <row r="92">
      <c r="B92" t="s">
        <v>310</v>
      </c>
      <c r="C92" s="171">
        <v>-6.915359589041095</v>
      </c>
      <c r="D92" s="174">
        <v>45833</v>
      </c>
      <c r="E92" t="s" s="172">
        <v>890</v>
      </c>
    </row>
    <row r="93">
      <c r="B93" t="s">
        <v>328</v>
      </c>
      <c r="C93" s="171">
        <v>160</v>
      </c>
      <c r="D93" s="174">
        <v>45838</v>
      </c>
      <c r="E93" t="s" s="172">
        <v>891</v>
      </c>
    </row>
    <row r="94">
      <c r="B94" t="s">
        <v>310</v>
      </c>
      <c r="C94" s="171">
        <v>-6.915359589041095</v>
      </c>
      <c r="D94" s="174">
        <v>45925</v>
      </c>
      <c r="E94" t="s" s="172">
        <v>892</v>
      </c>
    </row>
    <row r="95">
      <c r="B95" t="s">
        <v>310</v>
      </c>
      <c r="C95" s="171">
        <v>-6.915359589041095</v>
      </c>
      <c r="D95" s="174">
        <v>46017</v>
      </c>
      <c r="E95" t="s" s="172">
        <v>893</v>
      </c>
    </row>
    <row r="96">
      <c r="B96" t="s">
        <v>310</v>
      </c>
      <c r="C96" s="171">
        <v>-6.915359589041095</v>
      </c>
      <c r="D96" s="174">
        <v>46107</v>
      </c>
      <c r="E96" t="s" s="172">
        <v>894</v>
      </c>
    </row>
    <row r="97">
      <c r="B97" t="s">
        <v>310</v>
      </c>
      <c r="C97" s="171">
        <v>-6.915359589041095</v>
      </c>
      <c r="D97" s="174">
        <v>46198</v>
      </c>
      <c r="E97" t="s" s="172">
        <v>895</v>
      </c>
    </row>
    <row r="98">
      <c r="B98" t="s">
        <v>896</v>
      </c>
      <c r="C98" s="171">
        <v>1415.363469589041</v>
      </c>
      <c r="D98" s="174">
        <v>46203</v>
      </c>
      <c r="E98" t="s" s="172">
        <v>897</v>
      </c>
    </row>
  </sheetData>
  <pageMargins left="0.7" right="0.7" top="0.75" bottom="0.75" header="0.3" footer="0.3"/>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89"/>
  <sheetViews>
    <sheetView showGridLines="0" workbookViewId="0">
      <pane ySplit="3" topLeftCell="A4" activePane="bottomLeft" state="frozen"/>
      <selection pane="bottomLeft" activeCell="A1" sqref="A1"/>
    </sheetView>
  </sheetViews>
  <cols>
    <col min="1" max="1" width="2.21875" customWidth="1"/>
    <col min="2" max="2" width="49.50390625" customWidth="1"/>
    <col min="3" max="10" width="15.21875" customWidth="1"/>
    <col min="11" max="11" width="47.50390625" customWidth="1"/>
  </cols>
  <sheetData>
    <row r="2">
      <c r="B2" t="s" s="1">
        <v>1141</v>
      </c>
    </row>
    <row r="3">
      <c r="B3" t="s" s="2">
        <v>1142</v>
      </c>
    </row>
    <row r="5">
      <c r="B5" t="s" s="5">
        <v>1143</v>
      </c>
      <c r="C5" s="5"/>
      <c r="D5" s="5"/>
      <c r="E5" s="5"/>
      <c r="F5" s="5"/>
      <c r="G5" s="5"/>
      <c r="H5" s="5"/>
      <c r="I5" s="5"/>
      <c r="J5" s="5"/>
      <c r="K5" s="5"/>
    </row>
    <row r="6" ht="30" customHeight="1">
      <c r="B6" t="s" s="205">
        <v>139</v>
      </c>
      <c r="C6" t="s" s="206">
        <v>140</v>
      </c>
      <c r="D6" t="s" s="206">
        <v>1144</v>
      </c>
      <c r="E6" t="s" s="206">
        <v>141</v>
      </c>
      <c r="F6" t="s" s="206">
        <v>9</v>
      </c>
      <c r="G6" t="s" s="206">
        <v>544</v>
      </c>
      <c r="H6" t="s" s="206">
        <v>1145</v>
      </c>
      <c r="I6" t="s" s="206">
        <v>1146</v>
      </c>
      <c r="J6" t="s" s="206">
        <v>1115</v>
      </c>
      <c r="K6" t="s" s="205">
        <v>97</v>
      </c>
    </row>
    <row r="7">
      <c r="B7" t="s">
        <v>148</v>
      </c>
      <c r="C7" s="220">
        <v>43008</v>
      </c>
      <c r="D7" s="220">
        <v>43098</v>
      </c>
      <c r="E7" s="220">
        <v>44469</v>
      </c>
      <c r="F7" s="221">
        <v>60</v>
      </c>
      <c r="G7" s="221">
        <v>565</v>
      </c>
      <c r="H7" s="221">
        <v>540.3273287671234</v>
      </c>
      <c r="I7" s="221">
        <v>0</v>
      </c>
      <c r="J7" s="193">
        <f>H7+I7</f>
        <v>540.3273287671234</v>
      </c>
      <c r="K7" t="s">
        <v>1147</v>
      </c>
    </row>
    <row r="8">
      <c r="B8" t="s">
        <v>149</v>
      </c>
      <c r="C8" s="220">
        <v>43190</v>
      </c>
      <c r="D8" s="220">
        <v>43280</v>
      </c>
      <c r="E8" s="220">
        <v>44742</v>
      </c>
      <c r="F8" s="221">
        <v>75</v>
      </c>
      <c r="G8" s="221">
        <v>240</v>
      </c>
      <c r="H8" s="221">
        <v>228.1875</v>
      </c>
      <c r="I8" s="221">
        <v>0</v>
      </c>
      <c r="J8" s="193">
        <f>H8+I8</f>
        <v>228.1875</v>
      </c>
      <c r="K8" t="s">
        <v>1147</v>
      </c>
    </row>
    <row r="9">
      <c r="B9" t="s">
        <v>150</v>
      </c>
      <c r="C9" s="220">
        <v>43281</v>
      </c>
      <c r="D9" s="220">
        <v>43371</v>
      </c>
      <c r="E9" s="220">
        <v>45016</v>
      </c>
      <c r="F9" s="221">
        <v>70</v>
      </c>
      <c r="G9" s="221">
        <v>210</v>
      </c>
      <c r="H9" s="221">
        <v>148.7770342465753</v>
      </c>
      <c r="I9" s="221">
        <v>54.32296575342466</v>
      </c>
      <c r="J9" s="193">
        <f>H9+I9</f>
        <v>203.09999999999997</v>
      </c>
      <c r="K9" t="s">
        <v>1147</v>
      </c>
    </row>
    <row r="10">
      <c r="B10" t="s">
        <v>151</v>
      </c>
      <c r="C10" s="220">
        <v>43373</v>
      </c>
      <c r="D10" s="220">
        <v>43463</v>
      </c>
      <c r="E10" s="220">
        <v>45107</v>
      </c>
      <c r="F10" s="221">
        <v>65</v>
      </c>
      <c r="G10" s="221">
        <v>175</v>
      </c>
      <c r="H10" s="221">
        <v>138.495</v>
      </c>
      <c r="I10" s="221">
        <v>34.62375000000002</v>
      </c>
      <c r="J10" s="193">
        <f>H10+I10</f>
        <v>173.11875000000003</v>
      </c>
      <c r="K10" t="s">
        <v>1147</v>
      </c>
    </row>
    <row r="11">
      <c r="B11" t="s">
        <v>154</v>
      </c>
      <c r="C11" s="220">
        <v>43555</v>
      </c>
      <c r="D11" s="220">
        <v>43645</v>
      </c>
      <c r="E11" s="220">
        <v>45382</v>
      </c>
      <c r="F11" s="221">
        <v>55</v>
      </c>
      <c r="G11" s="221">
        <v>140</v>
      </c>
      <c r="H11" s="221">
        <v>107.65</v>
      </c>
      <c r="I11" s="221">
        <v>26.91249999999999</v>
      </c>
      <c r="J11" s="193">
        <f>H11+I11</f>
        <v>134.5625</v>
      </c>
      <c r="K11" t="s">
        <v>1147</v>
      </c>
    </row>
    <row r="12">
      <c r="B12" t="s">
        <v>155</v>
      </c>
      <c r="C12" s="220">
        <v>43646</v>
      </c>
      <c r="D12" s="220">
        <v>43736</v>
      </c>
      <c r="E12" s="220">
        <v>45473</v>
      </c>
      <c r="F12" s="221">
        <v>60</v>
      </c>
      <c r="G12" s="221">
        <v>150</v>
      </c>
      <c r="H12" s="221">
        <v>118.84</v>
      </c>
      <c r="I12" s="221">
        <v>29.71000000000001</v>
      </c>
      <c r="J12" s="193">
        <f>H12+I12</f>
        <v>148.55</v>
      </c>
      <c r="K12" t="s">
        <v>1147</v>
      </c>
    </row>
    <row r="13">
      <c r="B13" t="s">
        <v>157</v>
      </c>
      <c r="C13" s="220">
        <v>43830</v>
      </c>
      <c r="D13" s="220">
        <v>43920</v>
      </c>
      <c r="E13" s="220">
        <v>45747</v>
      </c>
      <c r="F13" s="221">
        <v>50</v>
      </c>
      <c r="G13" s="221">
        <v>100</v>
      </c>
      <c r="H13" s="221">
        <v>76.66999999999999</v>
      </c>
      <c r="I13" s="221">
        <v>19.16750000000002</v>
      </c>
      <c r="J13" s="193">
        <f>H13+I13</f>
        <v>95.8375</v>
      </c>
      <c r="K13" t="s">
        <v>1147</v>
      </c>
    </row>
    <row r="14">
      <c r="B14" t="s" s="147">
        <v>1148</v>
      </c>
      <c r="C14" s="214"/>
      <c r="D14" s="214"/>
      <c r="E14" s="214"/>
      <c r="F14" s="215">
        <f>SUM(F7:F13)</f>
        <v>435</v>
      </c>
      <c r="G14" s="215">
        <f>SUM(G7:G13)</f>
        <v>1580</v>
      </c>
      <c r="H14" s="215">
        <f>SUM(H7:H13)</f>
        <v>1358.9468630136987</v>
      </c>
      <c r="I14" s="215">
        <f>SUM(I7:I13)</f>
        <v>164.7367157534247</v>
      </c>
      <c r="J14" s="215">
        <f>SUM(J7:J13)</f>
        <v>1523.6835787671234</v>
      </c>
      <c r="K14" s="147"/>
    </row>
    <row r="15">
      <c r="B15" t="s" s="5">
        <v>1149</v>
      </c>
      <c r="C15" s="36"/>
      <c r="D15" s="36"/>
      <c r="E15" s="36"/>
      <c r="F15" s="36"/>
      <c r="G15" s="36"/>
      <c r="H15" s="36"/>
      <c r="I15" s="36"/>
      <c r="J15" s="36"/>
      <c r="K15" s="5"/>
    </row>
    <row r="16" ht="30" customHeight="1">
      <c r="B16" t="s" s="205">
        <v>139</v>
      </c>
      <c r="C16" t="s" s="222">
        <v>140</v>
      </c>
      <c r="D16" t="s" s="222">
        <v>1144</v>
      </c>
      <c r="E16" s="222"/>
      <c r="F16" t="s" s="222">
        <v>9</v>
      </c>
      <c r="G16" t="s" s="222">
        <v>1150</v>
      </c>
      <c r="H16" t="s" s="222">
        <v>1151</v>
      </c>
      <c r="I16" s="222"/>
      <c r="J16" s="222"/>
      <c r="K16" t="s" s="205">
        <v>97</v>
      </c>
    </row>
    <row r="17">
      <c r="B17" t="s">
        <v>152</v>
      </c>
      <c r="C17" s="220">
        <v>43465</v>
      </c>
      <c r="D17" s="220">
        <v>43555</v>
      </c>
      <c r="E17" s="223"/>
      <c r="F17" s="221">
        <v>45</v>
      </c>
      <c r="G17" s="221">
        <v>13</v>
      </c>
      <c r="H17" s="193">
        <f>F17-G17</f>
        <v>32</v>
      </c>
      <c r="I17" s="33"/>
      <c r="J17" s="33"/>
      <c r="K17" t="s">
        <v>1152</v>
      </c>
    </row>
    <row r="18">
      <c r="B18" t="s">
        <v>156</v>
      </c>
      <c r="C18" s="220">
        <v>43738</v>
      </c>
      <c r="D18" s="220">
        <v>43828</v>
      </c>
      <c r="E18" s="223"/>
      <c r="F18" s="221">
        <v>40</v>
      </c>
      <c r="G18" s="221">
        <v>7</v>
      </c>
      <c r="H18" s="193">
        <f>F18-G18</f>
        <v>33</v>
      </c>
      <c r="I18" s="33"/>
      <c r="J18" s="33"/>
      <c r="K18" t="s">
        <v>1152</v>
      </c>
    </row>
    <row r="19">
      <c r="B19" t="s" s="147">
        <v>1153</v>
      </c>
      <c r="C19" s="214"/>
      <c r="D19" s="214"/>
      <c r="E19" s="214"/>
      <c r="F19" s="215">
        <f>SUM(F17:F18)</f>
        <v>85</v>
      </c>
      <c r="G19" s="215">
        <f>SUM(G17:G18)</f>
        <v>20</v>
      </c>
      <c r="H19" s="215">
        <f>SUM(H17:H18)</f>
        <v>65</v>
      </c>
      <c r="I19" s="214"/>
      <c r="J19" s="214"/>
      <c r="K19" s="147"/>
    </row>
    <row r="20">
      <c r="C20" s="33"/>
      <c r="D20" s="33"/>
      <c r="E20" s="33"/>
      <c r="F20" s="33"/>
      <c r="G20" s="33"/>
      <c r="H20" s="33"/>
      <c r="I20" s="33"/>
      <c r="J20" s="33"/>
    </row>
    <row r="21">
      <c r="B21" t="s" s="5">
        <v>1154</v>
      </c>
      <c r="C21" s="36"/>
      <c r="D21" s="36"/>
      <c r="E21" s="36"/>
      <c r="F21" s="36"/>
      <c r="G21" s="36"/>
      <c r="H21" s="36"/>
      <c r="I21" s="36"/>
      <c r="J21" s="36"/>
      <c r="K21" s="5"/>
    </row>
    <row r="22" ht="30" customHeight="1">
      <c r="B22" t="s" s="205">
        <v>179</v>
      </c>
      <c r="C22" t="s" s="222">
        <v>62</v>
      </c>
      <c r="D22" t="s" s="222">
        <v>9</v>
      </c>
      <c r="E22" t="s" s="222">
        <v>13</v>
      </c>
      <c r="F22" t="s" s="222">
        <v>14</v>
      </c>
      <c r="G22" t="s" s="222">
        <v>1155</v>
      </c>
      <c r="H22" t="s" s="222">
        <v>762</v>
      </c>
      <c r="I22" s="222"/>
      <c r="J22" s="222"/>
      <c r="K22" t="s" s="205">
        <v>97</v>
      </c>
    </row>
    <row r="23">
      <c r="B23" t="s">
        <v>3</v>
      </c>
      <c r="C23" s="221">
        <v>250</v>
      </c>
      <c r="D23" s="221">
        <v>230</v>
      </c>
      <c r="E23" s="221">
        <v>250</v>
      </c>
      <c r="F23" s="221">
        <v>456.34</v>
      </c>
      <c r="G23" s="221">
        <v>51.58499999999999</v>
      </c>
      <c r="H23" s="221">
        <v>0</v>
      </c>
      <c r="I23" s="33"/>
      <c r="J23" s="33"/>
      <c r="K23" t="s">
        <v>1156</v>
      </c>
    </row>
    <row r="24">
      <c r="B24" t="s">
        <v>4</v>
      </c>
      <c r="C24" s="221">
        <v>420</v>
      </c>
      <c r="D24" s="221">
        <v>395</v>
      </c>
      <c r="E24" s="221">
        <v>420</v>
      </c>
      <c r="F24" s="221">
        <v>782.669</v>
      </c>
      <c r="G24" s="221">
        <v>90.66725</v>
      </c>
      <c r="H24" s="221">
        <v>6.623000000000005</v>
      </c>
      <c r="I24" s="33"/>
      <c r="J24" s="33"/>
      <c r="K24" t="s">
        <v>1156</v>
      </c>
    </row>
    <row r="25">
      <c r="B25" t="s">
        <v>5</v>
      </c>
      <c r="C25" s="221">
        <v>700</v>
      </c>
      <c r="D25" s="221">
        <v>655</v>
      </c>
      <c r="E25" s="221">
        <v>700</v>
      </c>
      <c r="F25" s="221">
        <v>1358.946863013699</v>
      </c>
      <c r="G25" s="221">
        <v>164.7367157534247</v>
      </c>
      <c r="H25" s="221">
        <v>76.73749999999998</v>
      </c>
      <c r="I25" s="33"/>
      <c r="J25" s="33"/>
      <c r="K25" t="s">
        <v>1156</v>
      </c>
    </row>
    <row r="26">
      <c r="B26" t="s">
        <v>6</v>
      </c>
      <c r="C26" s="221">
        <v>1150</v>
      </c>
      <c r="D26" s="221">
        <v>940</v>
      </c>
      <c r="E26" s="221">
        <v>1100.460882191781</v>
      </c>
      <c r="F26" s="221">
        <v>160</v>
      </c>
      <c r="G26" s="221">
        <v>0</v>
      </c>
      <c r="H26" s="221">
        <v>118.725646849315</v>
      </c>
      <c r="I26" s="33"/>
      <c r="J26" s="33"/>
      <c r="K26" t="s">
        <v>1156</v>
      </c>
    </row>
    <row r="27">
      <c r="B27" t="s" s="147">
        <v>473</v>
      </c>
      <c r="C27" s="215">
        <f>SUM(C23:C26)</f>
        <v>2520</v>
      </c>
      <c r="D27" s="215">
        <f>SUM(D23:D26)</f>
        <v>2220</v>
      </c>
      <c r="E27" s="215">
        <f>SUM(E23:E26)</f>
        <v>2470.460882191781</v>
      </c>
      <c r="F27" s="215">
        <f>SUM(F23:F26)</f>
        <v>2757.955863013699</v>
      </c>
      <c r="G27" s="215">
        <f>SUM(G23:G26)</f>
        <v>306.9889657534247</v>
      </c>
      <c r="H27" s="215">
        <f>SUM(H23:H26)</f>
        <v>202.08614684931499</v>
      </c>
      <c r="I27" s="214"/>
      <c r="J27" s="214"/>
      <c r="K27" s="147"/>
    </row>
    <row r="28">
      <c r="C28" s="33"/>
      <c r="D28" s="33"/>
      <c r="E28" s="33"/>
      <c r="F28" s="33"/>
      <c r="G28" s="33"/>
      <c r="H28" s="33"/>
      <c r="I28" s="33"/>
      <c r="J28" s="33"/>
    </row>
    <row r="29">
      <c r="B29" t="s" s="5">
        <v>1157</v>
      </c>
      <c r="C29" s="36"/>
      <c r="D29" s="36"/>
      <c r="E29" s="36"/>
      <c r="F29" s="36"/>
      <c r="G29" s="36"/>
      <c r="H29" s="36"/>
      <c r="I29" s="36"/>
      <c r="J29" s="36"/>
      <c r="K29" s="5"/>
    </row>
    <row r="30" ht="30" customHeight="1">
      <c r="B30" t="s" s="205">
        <v>179</v>
      </c>
      <c r="C30" t="s" s="222">
        <v>1102</v>
      </c>
      <c r="D30" t="s" s="222">
        <v>1158</v>
      </c>
      <c r="E30" t="s" s="222">
        <v>1159</v>
      </c>
      <c r="F30" t="s" s="222">
        <v>1160</v>
      </c>
      <c r="G30" t="s" s="222">
        <v>1103</v>
      </c>
      <c r="H30" t="s" s="222">
        <v>1104</v>
      </c>
      <c r="I30" t="s" s="222">
        <v>302</v>
      </c>
      <c r="J30" s="222"/>
      <c r="K30" t="s" s="205">
        <v>97</v>
      </c>
    </row>
    <row r="31">
      <c r="B31" t="s">
        <v>3</v>
      </c>
      <c r="C31" s="224">
        <v>2010</v>
      </c>
      <c r="D31" s="225">
        <v>3.75</v>
      </c>
      <c r="E31" s="225">
        <v>0.5800000000000001</v>
      </c>
      <c r="F31" s="225">
        <v>-0.464</v>
      </c>
      <c r="G31" s="225">
        <v>3.286</v>
      </c>
      <c r="H31" s="225">
        <v>0.46875</v>
      </c>
      <c r="I31" s="225">
        <v>0</v>
      </c>
      <c r="J31" s="33"/>
      <c r="K31" t="s">
        <v>1161</v>
      </c>
    </row>
    <row r="32">
      <c r="B32" t="s">
        <v>3</v>
      </c>
      <c r="C32" s="224">
        <v>2011</v>
      </c>
      <c r="D32" s="225">
        <v>5</v>
      </c>
      <c r="E32" s="225">
        <v>0.5700000000000001</v>
      </c>
      <c r="F32" s="225">
        <v>-0.456</v>
      </c>
      <c r="G32" s="225">
        <v>4.544</v>
      </c>
      <c r="H32" s="225">
        <v>0.625</v>
      </c>
      <c r="I32" s="225">
        <v>0</v>
      </c>
      <c r="J32" s="33"/>
      <c r="K32" t="s">
        <v>1161</v>
      </c>
    </row>
    <row r="33">
      <c r="B33" t="s">
        <v>3</v>
      </c>
      <c r="C33" s="224">
        <v>2012</v>
      </c>
      <c r="D33" s="225">
        <v>5</v>
      </c>
      <c r="E33" s="225">
        <v>0.65</v>
      </c>
      <c r="F33" s="225">
        <v>-0.52</v>
      </c>
      <c r="G33" s="225">
        <v>4.48</v>
      </c>
      <c r="H33" s="225">
        <v>0.625</v>
      </c>
      <c r="I33" s="225">
        <v>0</v>
      </c>
      <c r="J33" s="33"/>
      <c r="K33" t="s">
        <v>1161</v>
      </c>
    </row>
    <row r="34">
      <c r="B34" t="s">
        <v>3</v>
      </c>
      <c r="C34" s="224">
        <v>2013</v>
      </c>
      <c r="D34" s="225">
        <v>5</v>
      </c>
      <c r="E34" s="225">
        <v>0.5</v>
      </c>
      <c r="F34" s="225">
        <v>-0.3999999999999999</v>
      </c>
      <c r="G34" s="225">
        <v>4.6</v>
      </c>
      <c r="H34" s="225">
        <v>0.625</v>
      </c>
      <c r="I34" s="225">
        <v>0</v>
      </c>
      <c r="J34" s="33"/>
      <c r="K34" t="s">
        <v>1161</v>
      </c>
    </row>
    <row r="35">
      <c r="B35" t="s">
        <v>3</v>
      </c>
      <c r="C35" s="224">
        <v>2014</v>
      </c>
      <c r="D35" s="225">
        <v>5</v>
      </c>
      <c r="E35" s="225">
        <v>0</v>
      </c>
      <c r="F35" s="225">
        <v>0</v>
      </c>
      <c r="G35" s="225">
        <v>5</v>
      </c>
      <c r="H35" s="225">
        <v>0.625</v>
      </c>
      <c r="I35" s="225">
        <v>0</v>
      </c>
      <c r="J35" s="33"/>
      <c r="K35" t="s">
        <v>1161</v>
      </c>
    </row>
    <row r="36">
      <c r="B36" t="s">
        <v>3</v>
      </c>
      <c r="C36" s="224">
        <v>2015</v>
      </c>
      <c r="D36" s="225">
        <v>3.67</v>
      </c>
      <c r="E36" s="225">
        <v>0</v>
      </c>
      <c r="F36" s="225">
        <v>0</v>
      </c>
      <c r="G36" s="225">
        <v>3.67</v>
      </c>
      <c r="H36" s="225">
        <v>0.625</v>
      </c>
      <c r="I36" s="225">
        <v>0</v>
      </c>
      <c r="J36" s="33"/>
      <c r="K36" t="s">
        <v>1161</v>
      </c>
    </row>
    <row r="37">
      <c r="B37" t="s">
        <v>3</v>
      </c>
      <c r="C37" s="224">
        <v>2016</v>
      </c>
      <c r="D37" s="225">
        <v>1.38</v>
      </c>
      <c r="E37" s="225">
        <v>0</v>
      </c>
      <c r="F37" s="225">
        <v>0</v>
      </c>
      <c r="G37" s="225">
        <v>1.38</v>
      </c>
      <c r="H37" s="225">
        <v>0.625</v>
      </c>
      <c r="I37" s="225">
        <v>0</v>
      </c>
      <c r="J37" s="33"/>
      <c r="K37" t="s">
        <v>1161</v>
      </c>
    </row>
    <row r="38">
      <c r="B38" t="s">
        <v>3</v>
      </c>
      <c r="C38" s="224">
        <v>2017</v>
      </c>
      <c r="D38" s="225">
        <v>0.4275</v>
      </c>
      <c r="E38" s="225">
        <v>0</v>
      </c>
      <c r="F38" s="225">
        <v>0</v>
      </c>
      <c r="G38" s="225">
        <v>0.4275</v>
      </c>
      <c r="H38" s="225">
        <v>0.46875</v>
      </c>
      <c r="I38" s="225">
        <v>0</v>
      </c>
      <c r="J38" s="33"/>
      <c r="K38" t="s">
        <v>1161</v>
      </c>
    </row>
    <row r="39">
      <c r="B39" t="s">
        <v>4</v>
      </c>
      <c r="C39" s="224">
        <v>2013</v>
      </c>
      <c r="D39" s="225">
        <v>4.2</v>
      </c>
      <c r="E39" s="225">
        <v>0.4</v>
      </c>
      <c r="F39" s="225">
        <v>-0.3200000000000001</v>
      </c>
      <c r="G39" s="225">
        <v>3.88</v>
      </c>
      <c r="H39" s="225">
        <v>0.525</v>
      </c>
      <c r="I39" s="225">
        <v>0</v>
      </c>
      <c r="J39" s="33"/>
      <c r="K39" t="s">
        <v>1161</v>
      </c>
    </row>
    <row r="40">
      <c r="B40" t="s">
        <v>4</v>
      </c>
      <c r="C40" s="224">
        <v>2014</v>
      </c>
      <c r="D40" s="225">
        <v>8.4</v>
      </c>
      <c r="E40" s="225">
        <v>1.25</v>
      </c>
      <c r="F40" s="225">
        <v>-1</v>
      </c>
      <c r="G40" s="225">
        <v>7.4</v>
      </c>
      <c r="H40" s="225">
        <v>1.05</v>
      </c>
      <c r="I40" s="225">
        <v>0</v>
      </c>
      <c r="J40" s="33"/>
      <c r="K40" t="s">
        <v>1161</v>
      </c>
    </row>
    <row r="41">
      <c r="B41" t="s">
        <v>4</v>
      </c>
      <c r="C41" s="224">
        <v>2015</v>
      </c>
      <c r="D41" s="225">
        <v>8.4</v>
      </c>
      <c r="E41" s="225">
        <v>1.11</v>
      </c>
      <c r="F41" s="225">
        <v>-0.8880000000000001</v>
      </c>
      <c r="G41" s="225">
        <v>7.512</v>
      </c>
      <c r="H41" s="225">
        <v>1.05</v>
      </c>
      <c r="I41" s="225">
        <v>0</v>
      </c>
      <c r="J41" s="33"/>
      <c r="K41" t="s">
        <v>1161</v>
      </c>
    </row>
    <row r="42">
      <c r="B42" t="s">
        <v>4</v>
      </c>
      <c r="C42" s="224">
        <v>2016</v>
      </c>
      <c r="D42" s="225">
        <v>8.4</v>
      </c>
      <c r="E42" s="225">
        <v>0.87</v>
      </c>
      <c r="F42" s="225">
        <v>-0.6960000000000002</v>
      </c>
      <c r="G42" s="225">
        <v>7.704000000000001</v>
      </c>
      <c r="H42" s="225">
        <v>1.05</v>
      </c>
      <c r="I42" s="225">
        <v>0</v>
      </c>
      <c r="J42" s="33"/>
      <c r="K42" t="s">
        <v>1161</v>
      </c>
    </row>
    <row r="43">
      <c r="B43" t="s">
        <v>4</v>
      </c>
      <c r="C43" s="224">
        <v>2017</v>
      </c>
      <c r="D43" s="225">
        <v>8.4</v>
      </c>
      <c r="E43" s="225">
        <v>0.32</v>
      </c>
      <c r="F43" s="225">
        <v>-0.256</v>
      </c>
      <c r="G43" s="225">
        <v>8.144</v>
      </c>
      <c r="H43" s="225">
        <v>1.05</v>
      </c>
      <c r="I43" s="225">
        <v>0</v>
      </c>
      <c r="J43" s="33"/>
      <c r="K43" t="s">
        <v>1161</v>
      </c>
    </row>
    <row r="44">
      <c r="B44" t="s">
        <v>4</v>
      </c>
      <c r="C44" s="224">
        <v>2018</v>
      </c>
      <c r="D44" s="225">
        <v>7.32</v>
      </c>
      <c r="E44" s="225">
        <v>0</v>
      </c>
      <c r="F44" s="225">
        <v>0</v>
      </c>
      <c r="G44" s="225">
        <v>7.32</v>
      </c>
      <c r="H44" s="225">
        <v>1.05</v>
      </c>
      <c r="I44" s="225">
        <v>0</v>
      </c>
      <c r="J44" s="33"/>
      <c r="K44" t="s">
        <v>1161</v>
      </c>
    </row>
    <row r="45">
      <c r="B45" t="s">
        <v>4</v>
      </c>
      <c r="C45" s="224">
        <v>2019</v>
      </c>
      <c r="D45" s="225">
        <v>2.90625</v>
      </c>
      <c r="E45" s="225">
        <v>0</v>
      </c>
      <c r="F45" s="225">
        <v>0</v>
      </c>
      <c r="G45" s="225">
        <v>2.90625</v>
      </c>
      <c r="H45" s="225">
        <v>1.05</v>
      </c>
      <c r="I45" s="225">
        <v>0</v>
      </c>
      <c r="J45" s="33"/>
      <c r="K45" t="s">
        <v>1161</v>
      </c>
    </row>
    <row r="46">
      <c r="B46" t="s">
        <v>4</v>
      </c>
      <c r="C46" s="224">
        <v>2020</v>
      </c>
      <c r="D46" s="225">
        <v>1.92</v>
      </c>
      <c r="E46" s="225">
        <v>0</v>
      </c>
      <c r="F46" s="225">
        <v>0</v>
      </c>
      <c r="G46" s="225">
        <v>1.92</v>
      </c>
      <c r="H46" s="225">
        <v>1.05</v>
      </c>
      <c r="I46" s="225">
        <v>0</v>
      </c>
      <c r="J46" s="33"/>
      <c r="K46" t="s">
        <v>1161</v>
      </c>
    </row>
    <row r="47">
      <c r="B47" t="s">
        <v>4</v>
      </c>
      <c r="C47" s="224">
        <v>2021</v>
      </c>
      <c r="D47" s="225">
        <v>0.9524999999999999</v>
      </c>
      <c r="E47" s="225">
        <v>0</v>
      </c>
      <c r="F47" s="225">
        <v>0</v>
      </c>
      <c r="G47" s="225">
        <v>0.9524999999999999</v>
      </c>
      <c r="H47" s="225">
        <v>1.05</v>
      </c>
      <c r="I47" s="225">
        <v>0</v>
      </c>
      <c r="J47" s="33"/>
      <c r="K47" t="s">
        <v>1161</v>
      </c>
    </row>
    <row r="48">
      <c r="B48" t="s">
        <v>4</v>
      </c>
      <c r="C48" s="224">
        <v>2022</v>
      </c>
      <c r="D48" s="225">
        <v>0.48</v>
      </c>
      <c r="E48" s="225">
        <v>0</v>
      </c>
      <c r="F48" s="225">
        <v>0</v>
      </c>
      <c r="G48" s="225">
        <v>0.48</v>
      </c>
      <c r="H48" s="225">
        <v>1.05</v>
      </c>
      <c r="I48" s="225">
        <v>0</v>
      </c>
      <c r="J48" s="33"/>
      <c r="K48" t="s">
        <v>1161</v>
      </c>
    </row>
    <row r="49">
      <c r="B49" t="s">
        <v>4</v>
      </c>
      <c r="C49" s="224">
        <v>2023</v>
      </c>
      <c r="D49" s="225">
        <v>0.48</v>
      </c>
      <c r="E49" s="225">
        <v>0</v>
      </c>
      <c r="F49" s="225">
        <v>0</v>
      </c>
      <c r="G49" s="225">
        <v>0.48</v>
      </c>
      <c r="H49" s="225">
        <v>1.05</v>
      </c>
      <c r="I49" s="225">
        <v>0</v>
      </c>
      <c r="J49" s="33"/>
      <c r="K49" t="s">
        <v>1161</v>
      </c>
    </row>
    <row r="50">
      <c r="B50" t="s">
        <v>4</v>
      </c>
      <c r="C50" s="224">
        <v>2024</v>
      </c>
      <c r="D50" s="225">
        <v>0.48</v>
      </c>
      <c r="E50" s="225">
        <v>0</v>
      </c>
      <c r="F50" s="225">
        <v>0</v>
      </c>
      <c r="G50" s="225">
        <v>0.48</v>
      </c>
      <c r="H50" s="225">
        <v>1.05</v>
      </c>
      <c r="I50" s="225">
        <v>0</v>
      </c>
      <c r="J50" s="33"/>
      <c r="K50" t="s">
        <v>1161</v>
      </c>
    </row>
    <row r="51">
      <c r="B51" t="s">
        <v>4</v>
      </c>
      <c r="C51" s="224">
        <v>2025</v>
      </c>
      <c r="D51" s="225">
        <v>0.48</v>
      </c>
      <c r="E51" s="225">
        <v>0</v>
      </c>
      <c r="F51" s="225">
        <v>0</v>
      </c>
      <c r="G51" s="225">
        <v>0.48</v>
      </c>
      <c r="H51" s="225">
        <v>1.05</v>
      </c>
      <c r="I51" s="225">
        <v>0</v>
      </c>
      <c r="J51" s="33"/>
      <c r="K51" t="s">
        <v>1161</v>
      </c>
    </row>
    <row r="52">
      <c r="B52" t="s">
        <v>4</v>
      </c>
      <c r="C52" s="224">
        <v>2026</v>
      </c>
      <c r="D52" s="225">
        <v>0.24</v>
      </c>
      <c r="E52" s="225">
        <v>0</v>
      </c>
      <c r="F52" s="225">
        <v>0</v>
      </c>
      <c r="G52" s="225">
        <v>0.24</v>
      </c>
      <c r="H52" s="225">
        <v>0.525</v>
      </c>
      <c r="I52" s="225">
        <v>0</v>
      </c>
      <c r="J52" s="33"/>
      <c r="K52" t="s">
        <v>1161</v>
      </c>
    </row>
    <row r="53">
      <c r="B53" t="s">
        <v>5</v>
      </c>
      <c r="C53" s="224">
        <v>2017</v>
      </c>
      <c r="D53" s="225">
        <v>10.5</v>
      </c>
      <c r="E53" s="225">
        <v>0.6</v>
      </c>
      <c r="F53" s="225">
        <v>-0.48</v>
      </c>
      <c r="G53" s="225">
        <v>10.02</v>
      </c>
      <c r="H53" s="225">
        <v>1.3125</v>
      </c>
      <c r="I53" s="225">
        <v>0.3698630136986301</v>
      </c>
      <c r="J53" s="33"/>
      <c r="K53" t="s">
        <v>1161</v>
      </c>
    </row>
    <row r="54">
      <c r="B54" t="s">
        <v>5</v>
      </c>
      <c r="C54" s="224">
        <v>2018</v>
      </c>
      <c r="D54" s="225">
        <v>14</v>
      </c>
      <c r="E54" s="225">
        <v>2.55</v>
      </c>
      <c r="F54" s="225">
        <v>-2.04</v>
      </c>
      <c r="G54" s="225">
        <v>11.96</v>
      </c>
      <c r="H54" s="225">
        <v>1.75</v>
      </c>
      <c r="I54" s="225">
        <v>1.294520547945206</v>
      </c>
      <c r="J54" s="33"/>
      <c r="K54" t="s">
        <v>1161</v>
      </c>
    </row>
    <row r="55">
      <c r="B55" t="s">
        <v>5</v>
      </c>
      <c r="C55" s="224">
        <v>2019</v>
      </c>
      <c r="D55" s="225">
        <v>14</v>
      </c>
      <c r="E55" s="225">
        <v>2.05</v>
      </c>
      <c r="F55" s="225">
        <v>-1.64</v>
      </c>
      <c r="G55" s="225">
        <v>12.36</v>
      </c>
      <c r="H55" s="225">
        <v>1.75</v>
      </c>
      <c r="I55" s="225">
        <v>1.232876712328767</v>
      </c>
      <c r="J55" s="33"/>
      <c r="K55" t="s">
        <v>1161</v>
      </c>
    </row>
    <row r="56">
      <c r="B56" t="s">
        <v>5</v>
      </c>
      <c r="C56" s="224">
        <v>2020</v>
      </c>
      <c r="D56" s="225">
        <v>14</v>
      </c>
      <c r="E56" s="225">
        <v>1.35</v>
      </c>
      <c r="F56" s="225">
        <v>-1.08</v>
      </c>
      <c r="G56" s="225">
        <v>12.92</v>
      </c>
      <c r="H56" s="225">
        <v>1.75</v>
      </c>
      <c r="I56" s="225">
        <v>1.14041095890411</v>
      </c>
      <c r="J56" s="33"/>
      <c r="K56" t="s">
        <v>1161</v>
      </c>
    </row>
    <row r="57">
      <c r="B57" t="s">
        <v>5</v>
      </c>
      <c r="C57" s="224">
        <v>2021</v>
      </c>
      <c r="D57" s="225">
        <v>14</v>
      </c>
      <c r="E57" s="225">
        <v>0</v>
      </c>
      <c r="F57" s="225">
        <v>0</v>
      </c>
      <c r="G57" s="225">
        <v>14</v>
      </c>
      <c r="H57" s="225">
        <v>1.75</v>
      </c>
      <c r="I57" s="225">
        <v>0</v>
      </c>
      <c r="J57" s="33"/>
      <c r="K57" t="s">
        <v>1161</v>
      </c>
    </row>
    <row r="58">
      <c r="B58" t="s">
        <v>5</v>
      </c>
      <c r="C58" s="224">
        <v>2022</v>
      </c>
      <c r="D58" s="225">
        <v>10.9</v>
      </c>
      <c r="E58" s="225">
        <v>0</v>
      </c>
      <c r="F58" s="225">
        <v>0</v>
      </c>
      <c r="G58" s="225">
        <v>10.9</v>
      </c>
      <c r="H58" s="225">
        <v>1.75</v>
      </c>
      <c r="I58" s="225">
        <v>0</v>
      </c>
      <c r="J58" s="33"/>
      <c r="K58" t="s">
        <v>1161</v>
      </c>
    </row>
    <row r="59">
      <c r="B59" t="s">
        <v>5</v>
      </c>
      <c r="C59" s="224">
        <v>2023</v>
      </c>
      <c r="D59" s="225">
        <v>6.01875</v>
      </c>
      <c r="E59" s="225">
        <v>0</v>
      </c>
      <c r="F59" s="225">
        <v>0</v>
      </c>
      <c r="G59" s="225">
        <v>6.01875</v>
      </c>
      <c r="H59" s="225">
        <v>1.75</v>
      </c>
      <c r="I59" s="225">
        <v>0</v>
      </c>
      <c r="J59" s="33"/>
      <c r="K59" t="s">
        <v>1161</v>
      </c>
    </row>
    <row r="60">
      <c r="B60" t="s">
        <v>5</v>
      </c>
      <c r="C60" s="224">
        <v>2024</v>
      </c>
      <c r="D60" s="225">
        <v>4.275</v>
      </c>
      <c r="E60" s="225">
        <v>0</v>
      </c>
      <c r="F60" s="225">
        <v>0</v>
      </c>
      <c r="G60" s="225">
        <v>4.275</v>
      </c>
      <c r="H60" s="225">
        <v>1.75</v>
      </c>
      <c r="I60" s="225">
        <v>0</v>
      </c>
      <c r="J60" s="33"/>
      <c r="K60" t="s">
        <v>1161</v>
      </c>
    </row>
    <row r="61">
      <c r="B61" t="s">
        <v>5</v>
      </c>
      <c r="C61" s="224">
        <v>2025</v>
      </c>
      <c r="D61" s="225">
        <v>3.3</v>
      </c>
      <c r="E61" s="225">
        <v>0</v>
      </c>
      <c r="F61" s="225">
        <v>0</v>
      </c>
      <c r="G61" s="225">
        <v>3.3</v>
      </c>
      <c r="H61" s="225">
        <v>1.75</v>
      </c>
      <c r="I61" s="225">
        <v>0</v>
      </c>
      <c r="J61" s="33"/>
      <c r="K61" t="s">
        <v>1161</v>
      </c>
    </row>
    <row r="62">
      <c r="B62" t="s">
        <v>5</v>
      </c>
      <c r="C62" s="224">
        <v>2026</v>
      </c>
      <c r="D62" s="225">
        <v>1.65</v>
      </c>
      <c r="E62" s="225">
        <v>0</v>
      </c>
      <c r="F62" s="225">
        <v>0</v>
      </c>
      <c r="G62" s="225">
        <v>1.65</v>
      </c>
      <c r="H62" s="225">
        <v>0.875</v>
      </c>
      <c r="I62" s="225">
        <v>0</v>
      </c>
      <c r="J62" s="33"/>
      <c r="K62" t="s">
        <v>1161</v>
      </c>
    </row>
    <row r="63">
      <c r="B63" t="s">
        <v>6</v>
      </c>
      <c r="C63" s="224">
        <v>2021</v>
      </c>
      <c r="D63" s="225">
        <v>23</v>
      </c>
      <c r="E63" s="225">
        <v>2.2</v>
      </c>
      <c r="F63" s="225">
        <v>-1.76</v>
      </c>
      <c r="G63" s="225">
        <v>21.24</v>
      </c>
      <c r="H63" s="225">
        <v>2.875</v>
      </c>
      <c r="I63" s="225">
        <v>0</v>
      </c>
      <c r="J63" s="33"/>
      <c r="K63" t="s">
        <v>1161</v>
      </c>
    </row>
    <row r="64">
      <c r="B64" t="s">
        <v>6</v>
      </c>
      <c r="C64" s="224">
        <v>2022</v>
      </c>
      <c r="D64" s="225">
        <v>23</v>
      </c>
      <c r="E64" s="225">
        <v>4.25</v>
      </c>
      <c r="F64" s="225">
        <v>-3.399999999999999</v>
      </c>
      <c r="G64" s="225">
        <v>19.6</v>
      </c>
      <c r="H64" s="225">
        <v>2.875</v>
      </c>
      <c r="I64" s="225">
        <v>6.019273972602741</v>
      </c>
      <c r="J64" s="33"/>
      <c r="K64" t="s">
        <v>1161</v>
      </c>
    </row>
    <row r="65">
      <c r="B65" t="s">
        <v>6</v>
      </c>
      <c r="C65" s="224">
        <v>2023</v>
      </c>
      <c r="D65" s="225">
        <v>23</v>
      </c>
      <c r="E65" s="225">
        <v>2.1</v>
      </c>
      <c r="F65" s="225">
        <v>-1.68</v>
      </c>
      <c r="G65" s="225">
        <v>21.32</v>
      </c>
      <c r="H65" s="225">
        <v>2.875</v>
      </c>
      <c r="I65" s="225">
        <v>20.85382602739726</v>
      </c>
      <c r="J65" s="33"/>
      <c r="K65" t="s">
        <v>1161</v>
      </c>
    </row>
    <row r="66">
      <c r="B66" t="s">
        <v>6</v>
      </c>
      <c r="C66" s="224">
        <v>2024</v>
      </c>
      <c r="D66" s="225">
        <v>23</v>
      </c>
      <c r="E66" s="225">
        <v>0.85</v>
      </c>
      <c r="F66" s="225">
        <v>-0.6799999999999997</v>
      </c>
      <c r="G66" s="225">
        <v>22.32</v>
      </c>
      <c r="H66" s="225">
        <v>2.875</v>
      </c>
      <c r="I66" s="225">
        <v>16.1690794520548</v>
      </c>
      <c r="J66" s="33"/>
      <c r="K66" t="s">
        <v>1161</v>
      </c>
    </row>
    <row r="67">
      <c r="B67" t="s">
        <v>6</v>
      </c>
      <c r="C67" s="224">
        <v>2025</v>
      </c>
      <c r="D67" s="225">
        <v>23</v>
      </c>
      <c r="E67" s="225">
        <v>0</v>
      </c>
      <c r="F67" s="225">
        <v>0</v>
      </c>
      <c r="G67" s="225">
        <v>23</v>
      </c>
      <c r="H67" s="225">
        <v>2.875</v>
      </c>
      <c r="I67" s="225">
        <v>7.607983561643836</v>
      </c>
      <c r="J67" s="33"/>
      <c r="K67" t="s">
        <v>1161</v>
      </c>
    </row>
    <row r="68">
      <c r="B68" t="s">
        <v>6</v>
      </c>
      <c r="C68" s="224">
        <v>2026</v>
      </c>
      <c r="D68" s="225">
        <v>9.8625</v>
      </c>
      <c r="E68" s="225">
        <v>0</v>
      </c>
      <c r="F68" s="225">
        <v>0</v>
      </c>
      <c r="G68" s="225">
        <v>9.8625</v>
      </c>
      <c r="H68" s="225">
        <v>1.4375</v>
      </c>
      <c r="I68" s="225">
        <v>0.8932191780821919</v>
      </c>
      <c r="J68" s="33"/>
      <c r="K68" t="s">
        <v>1161</v>
      </c>
    </row>
    <row r="70">
      <c r="B70" t="s" s="5">
        <v>1162</v>
      </c>
      <c r="C70" s="5"/>
      <c r="D70" s="5"/>
      <c r="E70" s="5"/>
      <c r="F70" s="5"/>
      <c r="G70" s="5"/>
      <c r="H70" s="5"/>
      <c r="I70" s="5"/>
      <c r="J70" s="5"/>
      <c r="K70" s="5"/>
    </row>
    <row r="71">
      <c r="B71" t="s" s="205">
        <v>952</v>
      </c>
      <c r="C71" t="s" s="206">
        <v>784</v>
      </c>
      <c r="D71" s="206"/>
      <c r="E71" s="206"/>
      <c r="F71" s="206"/>
      <c r="G71" s="206"/>
      <c r="H71" s="206"/>
      <c r="I71" s="206"/>
      <c r="J71" s="206"/>
      <c r="K71" t="s" s="205">
        <v>97</v>
      </c>
    </row>
    <row r="72">
      <c r="B72" t="s">
        <v>1163</v>
      </c>
      <c r="C72" s="226">
        <v>1500</v>
      </c>
      <c r="K72" t="s">
        <v>1164</v>
      </c>
    </row>
    <row r="73">
      <c r="B73" t="s">
        <v>1165</v>
      </c>
      <c r="C73" s="226">
        <v>1800</v>
      </c>
      <c r="K73" t="s">
        <v>1164</v>
      </c>
    </row>
    <row r="74">
      <c r="B74" t="s">
        <v>1166</v>
      </c>
      <c r="C74" s="227">
        <v>0.02</v>
      </c>
      <c r="K74" t="s">
        <v>1164</v>
      </c>
    </row>
    <row r="75">
      <c r="B75" t="s">
        <v>1167</v>
      </c>
      <c r="C75" s="227">
        <v>0.5</v>
      </c>
      <c r="K75" t="s">
        <v>1164</v>
      </c>
    </row>
    <row r="76">
      <c r="B76" t="s">
        <v>1168</v>
      </c>
      <c r="C76" s="227">
        <v>0.02</v>
      </c>
      <c r="K76" t="s">
        <v>1164</v>
      </c>
    </row>
    <row r="77">
      <c r="B77" t="s">
        <v>1169</v>
      </c>
      <c r="C77" s="227">
        <v>0.8</v>
      </c>
      <c r="K77" t="s">
        <v>1164</v>
      </c>
    </row>
    <row r="78">
      <c r="B78" t="s">
        <v>1170</v>
      </c>
      <c r="C78" s="227">
        <v>0.08</v>
      </c>
      <c r="K78" t="s">
        <v>1164</v>
      </c>
    </row>
    <row r="79">
      <c r="B79" t="s">
        <v>1171</v>
      </c>
      <c r="C79" s="227">
        <v>0.2</v>
      </c>
      <c r="K79" t="s">
        <v>1164</v>
      </c>
    </row>
    <row r="80">
      <c r="B80" t="s">
        <v>1172</v>
      </c>
      <c r="C80" s="227">
        <v>0.02</v>
      </c>
      <c r="K80" t="s">
        <v>1164</v>
      </c>
    </row>
    <row r="81">
      <c r="B81" t="s">
        <v>1173</v>
      </c>
      <c r="C81" s="227">
        <v>0.01</v>
      </c>
      <c r="K81" t="s">
        <v>1174</v>
      </c>
    </row>
    <row r="82">
      <c r="B82" t="s">
        <v>1175</v>
      </c>
      <c r="C82" s="221">
        <v>53.2</v>
      </c>
      <c r="K82" t="s">
        <v>1176</v>
      </c>
    </row>
    <row r="83">
      <c r="B83" t="s">
        <v>1177</v>
      </c>
      <c r="C83" s="220">
        <v>42916</v>
      </c>
      <c r="K83" t="s">
        <v>1178</v>
      </c>
    </row>
    <row r="84">
      <c r="B84" t="s">
        <v>1179</v>
      </c>
      <c r="C84" s="221">
        <v>460</v>
      </c>
      <c r="K84" t="s">
        <v>1180</v>
      </c>
    </row>
    <row r="85">
      <c r="B85" t="s">
        <v>1181</v>
      </c>
      <c r="C85" s="228">
        <v>0.4</v>
      </c>
      <c r="K85" t="s">
        <v>1164</v>
      </c>
    </row>
    <row r="86">
      <c r="B86" t="s">
        <v>1182</v>
      </c>
      <c r="C86" s="224">
        <v>365</v>
      </c>
      <c r="K86" t="s">
        <v>1164</v>
      </c>
    </row>
    <row r="87">
      <c r="B87" t="s">
        <v>1183</v>
      </c>
      <c r="C87" s="228">
        <v>0.15</v>
      </c>
      <c r="K87" t="s">
        <v>1164</v>
      </c>
    </row>
    <row r="88">
      <c r="B88" t="s">
        <v>1184</v>
      </c>
      <c r="C88" s="224">
        <v>90</v>
      </c>
      <c r="K88" t="s">
        <v>1164</v>
      </c>
    </row>
    <row r="89">
      <c r="B89" t="s">
        <v>1185</v>
      </c>
      <c r="C89" s="221">
        <v>447.475</v>
      </c>
      <c r="K89" t="s">
        <v>1186</v>
      </c>
    </row>
  </sheetData>
  <pageMargins left="0.7" right="0.7" top="0.75" bottom="0.75" header="0.3" footer="0.3"/>
  <legacyDrawing r:id="rId2"/>
</worksheet>
</file>

<file path=ccalc/calcState.xml><?xml version="1.0" encoding="utf-8"?>
<calcState xmlns="urn:twentyai:ccalc:calc-state" version="1" digest="cab0449ef64d41c46f13067ed72285b6ce8ee9d3b94bde4afb509c0f95c05dcc"/>
</file>

<file path=docProps/app.xml><?xml version="1.0" encoding="utf-8"?>
<Properties xmlns="http://schemas.openxmlformats.org/officeDocument/2006/extended-properties" xmlns:vt="http://schemas.openxmlformats.org/officeDocument/2006/docPropsVTypes">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Tarnwick Capital Partners V: Fund Due Diligence Workbook</dc:title>
  <dc:subject/>
  <dc:creator/>
  <cp:keywords/>
  <dc:description/>
  <cp:lastModifiedBy/>
  <cp:revision/>
  <dcterms:created xsi:type="dcterms:W3CDTF">2026-10-22T22:01:25Z</dcterms:created>
  <dcterms:modified xsi:type="dcterms:W3CDTF">2026-10-22T22:01:26Z</dcterms:modified>
  <cp:category/>
  <cp:contentStatus/>
</cp:coreProperties>
</file>