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4ac="http://schemas.microsoft.com/office/spreadsheetml/2009/9/ac" mc:Ignorable="x14ac">
  <bookViews>
    <workbookView activeTab="0"/>
  </bookViews>
  <sheets>
    <sheet name="Landscape" sheetId="1" r:id="rId1"/>
    <sheet name="Rival calls" sheetId="2" r:id="rId2"/>
    <sheet name="Moat tests" sheetId="3" r:id="rId3"/>
    <sheet name="Bidders" sheetId="4" r:id="rId4"/>
  </sheets>
  <calcPr/>
</workbook>
</file>

<file path=xl/comments1.xml><?xml version="1.0" encoding="utf-8"?>
<comments xmlns="http://schemas.openxmlformats.org/spreadsheetml/2006/main">
  <authors>
    <author>Compound</author>
  </authors>
  <commentList>
    <comment ref="L10" authorId="0">
      <text>
        <t xml:space="preserve">Cited for K10:L10
BlackRock, Inc. 10-K (2024-12-31) blk-20241231.htm</t>
      </text>
    </comment>
    <comment ref="L11" authorId="0">
      <text>
        <t xml:space="preserve">Cited for K11:L11
Fidelity National Information Services, Inc. 10-K (2024-12-31) fis-20241231.htm</t>
      </text>
    </comment>
    <comment ref="L12" authorId="0">
      <text>
        <t xml:space="preserve">Cited for K12:L12
STATE STREET CORP 10-K (2024-12-31) stt-20241231.htm</t>
      </text>
    </comment>
    <comment ref="L13" authorId="0">
      <text>
        <t xml:space="preserve">Deutsche Börse · Q4 2024</t>
      </text>
    </comment>
    <comment ref="L14" authorId="0">
      <text>
        <t xml:space="preserve">CWAN 424B3 Enfusion Merger Prospectus with Pro Formas (2025-03-20).pdf (page 162)</t>
      </text>
    </comment>
    <comment ref="L8" authorId="0">
      <text>
        <t xml:space="preserve">Cited for K8:L8
CWAN 10-K FY2024 (filed 2025-02-26).pdf (page 79)</t>
      </text>
    </comment>
    <comment ref="L9" authorId="0">
      <text>
        <t xml:space="preserve">Cited for K9:L9
SS&amp;C Technologies Holdings Inc 10-K (2024-12-31) ssnc-20241231.htm</t>
      </text>
    </comment>
    <comment ref="M13" authorId="0">
      <text>
        <t xml:space="preserve">Deutsche Börse · Q4 2024</t>
      </text>
    </comment>
    <comment ref="O10" authorId="0">
      <text>
        <t xml:space="preserve">Cited for N10:O10
BlackRock, Inc. 10-Q (2025-09-30) blk-20250930.htm</t>
      </text>
    </comment>
    <comment ref="O11" authorId="0">
      <text>
        <t xml:space="preserve">Cited for N11:O11
Fidelity National Information Services, Inc. 10-Q (2025-09-30) fis-20250930.htm</t>
      </text>
    </comment>
    <comment ref="O12" authorId="0">
      <text>
        <t xml:space="preserve">Cited for N12:O12
STATE STREET CORP 10-Q (2025-09-30) stt-20250930.htm</t>
      </text>
    </comment>
    <comment ref="O8" authorId="0">
      <text>
        <t xml:space="preserve">Cited for N8:O8
CWAN Earnings Release FY2025 Q3 (issued 2025-11-05).pdf (page 1)</t>
      </text>
    </comment>
    <comment ref="O9" authorId="0">
      <text>
        <t xml:space="preserve">Cited for N9:O9
SS&amp;C Technologies Holdings Inc 10-Q (2025-09-30) ssnc-20250930.htm</t>
      </text>
    </comment>
    <comment ref="P13" authorId="0">
      <text>
        <t xml:space="preserve">Cited for O13:P13
Deutsche Börse · Q3 2025</t>
      </text>
    </comment>
    <comment ref="P17" authorId="0">
      <text>
        <t xml:space="preserve">Broadridge Financial Solutions · Q1 2026</t>
      </text>
    </comment>
    <comment ref="Q11" authorId="0">
      <text>
        <t xml:space="preserve">Fidelity National Information Services, Inc. 10-K (2024-12-31) fis-20241231.htm</t>
      </text>
    </comment>
    <comment ref="Q14" authorId="0">
      <text>
        <t xml:space="preserve">CWAN 424B3 Enfusion Merger Prospectus with Pro Formas (2025-03-20).pdf (page 162)</t>
      </text>
    </comment>
    <comment ref="Q8" authorId="0">
      <text>
        <t xml:space="preserve">CWAN 10-K FY2024 (filed 2025-02-26).pdf (page 79)</t>
      </text>
    </comment>
    <comment ref="Q9" authorId="0">
      <text>
        <t xml:space="preserve">SS&amp;C Technologies Holdings Inc 10-K (2024-12-31) ssnc-20241231.htm</t>
      </text>
    </comment>
    <comment ref="R13" authorId="0">
      <text>
        <t xml:space="preserve">CWAN J.P. Morgan - Transaction Committee Discussion (2025-10-29).pdf (page 13)</t>
      </text>
    </comment>
    <comment ref="T10" authorId="0">
      <text>
        <t xml:space="preserve">BlackRock · Q1 2025</t>
      </text>
    </comment>
    <comment ref="T13" authorId="0">
      <text>
        <t xml:space="preserve">Deutsche Börse · Q2 2025</t>
      </text>
    </comment>
    <comment ref="T14" authorId="0">
      <text>
        <t xml:space="preserve">CWAN Investor Presentation - Enfusion Acquisition (2025-01-13).pdf (page 5)</t>
      </text>
    </comment>
    <comment ref="T8" authorId="0">
      <text>
        <t xml:space="preserve">CWAN 10-K FY2024 (filed 2025-02-26).pdf (page 11)</t>
      </text>
    </comment>
    <comment ref="T9" authorId="0">
      <text>
        <t xml:space="preserve">SS&amp;C Technologies Holdings Inc 10-K (2024-12-31) ssnc-20241231.htm</t>
      </text>
    </comment>
  </commentList>
</comments>
</file>

<file path=xl/comments2.xml><?xml version="1.0" encoding="utf-8"?>
<comments xmlns="http://schemas.openxmlformats.org/spreadsheetml/2006/main">
  <authors>
    <author>Compound</author>
  </authors>
  <commentList>
    <comment ref="E100" authorId="0">
      <text>
        <t xml:space="preserve">CWAN Earnings Call FY2025 Q1 (held 2025-04-30).pdf (page 6)</t>
      </text>
    </comment>
    <comment ref="E101" authorId="0">
      <text>
        <t xml:space="preserve">CWAN Earnings Call FY2025 Q2 (held 2025-08-06).pdf (page 2)</t>
      </text>
    </comment>
    <comment ref="E102" authorId="0">
      <text>
        <t xml:space="preserve">CWAN Earnings Call FY2025 Q3 (held 2025-11-05).pdf (page 5)</t>
      </text>
    </comment>
    <comment ref="E107" authorId="0">
      <text>
        <t xml:space="preserve">CWAN Earnings Call FY2025 Q3 (held 2025-11-05).pdf (page 6)</t>
      </text>
    </comment>
    <comment ref="E21" authorId="0">
      <text>
        <t xml:space="preserve">SS&amp;C Technologies · Q2 2025</t>
      </text>
    </comment>
    <comment ref="E24" authorId="0">
      <text>
        <t xml:space="preserve">SS&amp;C Technologies · Q2 2025</t>
      </text>
    </comment>
    <comment ref="E27" authorId="0">
      <text>
        <t xml:space="preserve">SS&amp;C Technologies · Q1 2025</t>
      </text>
    </comment>
    <comment ref="E28" authorId="0">
      <text>
        <t xml:space="preserve">SS&amp;C Technologies · Q2 2025</t>
      </text>
    </comment>
    <comment ref="E29" authorId="0">
      <text>
        <t xml:space="preserve">SS&amp;C Technologies · Q3 2025</t>
      </text>
    </comment>
    <comment ref="E30" authorId="0">
      <text>
        <t xml:space="preserve">SS&amp;C Technologies · Q3 2025</t>
      </text>
    </comment>
    <comment ref="E31" authorId="0">
      <text>
        <t xml:space="preserve">SS&amp;C Technologies · Q3 2025</t>
      </text>
    </comment>
    <comment ref="E33" authorId="0">
      <text>
        <t xml:space="preserve">BlackRock · Q1 2025</t>
      </text>
    </comment>
    <comment ref="E34" authorId="0">
      <text>
        <t xml:space="preserve">BlackRock · Q2 2025</t>
      </text>
    </comment>
    <comment ref="E35" authorId="0">
      <text>
        <t xml:space="preserve">BlackRock · Q3 2025</t>
      </text>
    </comment>
    <comment ref="E36" authorId="0">
      <text>
        <t xml:space="preserve">BlackRock · Q3 2025</t>
      </text>
    </comment>
    <comment ref="E37" authorId="0">
      <text>
        <t xml:space="preserve">BlackRock · Q1 2025</t>
      </text>
    </comment>
    <comment ref="E41" authorId="0">
      <text>
        <t xml:space="preserve">BlackRock · Q1 2025</t>
      </text>
    </comment>
    <comment ref="E42" authorId="0">
      <text>
        <t xml:space="preserve">BlackRock · Q1 2025</t>
      </text>
    </comment>
    <comment ref="E51" authorId="0">
      <text>
        <t xml:space="preserve">Fidelity National Information Services · Q3 2025</t>
      </text>
    </comment>
    <comment ref="E53" authorId="0">
      <text>
        <t xml:space="preserve">Fidelity National Information Services · Q1 2025</t>
      </text>
    </comment>
    <comment ref="E57" authorId="0">
      <text>
        <t xml:space="preserve">State Street · Q1 2025</t>
      </text>
    </comment>
    <comment ref="E58" authorId="0">
      <text>
        <t xml:space="preserve">State Street · Q2 2025</t>
      </text>
    </comment>
    <comment ref="E59" authorId="0">
      <text>
        <t xml:space="preserve">State Street · Q3 2025</t>
      </text>
    </comment>
    <comment ref="E64" authorId="0">
      <text>
        <t xml:space="preserve">State Street · Q3 2025</t>
      </text>
    </comment>
    <comment ref="E69" authorId="0">
      <text>
        <t xml:space="preserve">Deutsche Börse · Q4 2024</t>
      </text>
    </comment>
    <comment ref="E70" authorId="0">
      <text>
        <t xml:space="preserve">Deutsche Börse · Q1 2025</t>
      </text>
    </comment>
    <comment ref="E71" authorId="0">
      <text>
        <t xml:space="preserve">Deutsche Börse · Q2 2025</t>
      </text>
    </comment>
    <comment ref="E72" authorId="0">
      <text>
        <t xml:space="preserve">Deutsche Börse · Q3 2025</t>
      </text>
    </comment>
    <comment ref="E73" authorId="0">
      <text>
        <t xml:space="preserve">Deutsche Börse · Q3 2025</t>
      </text>
    </comment>
    <comment ref="E74" authorId="0">
      <text>
        <t xml:space="preserve">Deutsche Börse · Q1 2025</t>
      </text>
    </comment>
    <comment ref="E77" authorId="0">
      <text>
        <t xml:space="preserve">Deutsche Börse · Q2 2025</t>
      </text>
    </comment>
    <comment ref="E79" authorId="0">
      <text>
        <t xml:space="preserve">Deutsche Börse · Q3 2025</t>
      </text>
    </comment>
    <comment ref="E82" authorId="0">
      <text>
        <t xml:space="preserve">Deutsche Börse · Q2 2025</t>
      </text>
    </comment>
    <comment ref="E83" authorId="0">
      <text>
        <t xml:space="preserve">Deutsche Börse · Q3 2025</t>
      </text>
    </comment>
    <comment ref="E88" authorId="0">
      <text>
        <t xml:space="preserve">Northern Trust · Q2 2025</t>
      </text>
    </comment>
    <comment ref="E91" authorId="0">
      <text>
        <t xml:space="preserve">Broadridge Financial Solutions · Q3 2025</t>
      </text>
    </comment>
    <comment ref="E92" authorId="0">
      <text>
        <t xml:space="preserve">Broadridge Financial Solutions · Q1 2026</t>
      </text>
    </comment>
    <comment ref="E98" authorId="0">
      <text>
        <t xml:space="preserve">CWAN Earnings Call FY2025 Q1 (held 2025-04-30).pdf (page 2)</t>
      </text>
    </comment>
  </commentList>
</comments>
</file>

<file path=xl/comments3.xml><?xml version="1.0" encoding="utf-8"?>
<comments xmlns="http://schemas.openxmlformats.org/spreadsheetml/2006/main">
  <authors>
    <author>Compound</author>
  </authors>
  <commentList>
    <comment ref="D116" authorId="0">
      <text>
        <t xml:space="preserve">CWAN Earnings Call FY2025 Q3 (held 2025-11-05).pdf (page 2)</t>
      </text>
    </comment>
    <comment ref="D117" authorId="0">
      <text>
        <t xml:space="preserve">CWAN Investor Day FY2025 Transcript (held 2025-09-03).pdf (page 9)</t>
      </text>
    </comment>
    <comment ref="D118" authorId="0">
      <text>
        <t xml:space="preserve">CWAN Investor Day FY2025 Transcript (held 2025-09-03).pdf (page 9)</t>
      </text>
    </comment>
    <comment ref="D119" authorId="0">
      <text>
        <t xml:space="preserve">CWAN DEFM14A Definitive Merger Proxy (filed 2026-04-08).pdf (page 78)</t>
      </text>
    </comment>
    <comment ref="D121" authorId="0">
      <text>
        <t xml:space="preserve">CWAN 10-K FY2024 (filed 2025-02-26).pdf (page 11)</t>
      </text>
    </comment>
    <comment ref="D122" authorId="0">
      <text>
        <t xml:space="preserve">Cited for D122:D124
CWAN 10-K FY2024 (filed 2025-02-26).pdf (page 19)</t>
      </text>
    </comment>
    <comment ref="D127" authorId="0">
      <text>
        <t xml:space="preserve">CWAN 10-K FY2024 (filed 2025-02-26).pdf (page 73)</t>
      </text>
    </comment>
    <comment ref="D128" authorId="0">
      <text>
        <t xml:space="preserve">Cited for D128:D129
CWAN 10-K FY2024 (filed 2025-02-26).pdf (page 21)</t>
      </text>
    </comment>
    <comment ref="D19" authorId="0">
      <text>
        <t xml:space="preserve">CWAN 10-K FY2024 (filed 2025-02-26).pdf (page 12)</t>
      </text>
    </comment>
    <comment ref="D20" authorId="0">
      <text>
        <t xml:space="preserve">CWAN 10-K FY2024 (filed 2025-02-26).pdf (page 19)</t>
      </text>
    </comment>
    <comment ref="D21" authorId="0">
      <text>
        <t xml:space="preserve">CWAN Earnings Call FY2025 Q2 (held 2025-08-06).pdf (page 2)</t>
      </text>
    </comment>
    <comment ref="D40" authorId="0">
      <text>
        <t xml:space="preserve">CWAN Earnings Call FY2025 Q2 (held 2025-08-06).pdf (page 2)</t>
      </text>
    </comment>
    <comment ref="D50" authorId="0">
      <text>
        <t xml:space="preserve">CWAN Earnings Release FY2025 Q3 (issued 2025-11-05).pdf (page 2)</t>
      </text>
    </comment>
    <comment ref="D60" authorId="0">
      <text>
        <t xml:space="preserve">CWAN 10-K FY2024 (filed 2025-02-26).pdf (page 19)</t>
      </text>
    </comment>
    <comment ref="D61" authorId="0">
      <text>
        <t xml:space="preserve">CWAN 10-K FY2024 (filed 2025-02-26).pdf (page 19)</t>
      </text>
    </comment>
    <comment ref="D62" authorId="0">
      <text>
        <t xml:space="preserve">CWAN Investor Day FY2025 Transcript (held 2025-09-03).pdf (page 9)</t>
      </text>
    </comment>
    <comment ref="D64" authorId="0">
      <text>
        <t xml:space="preserve">CWAN 10-K FY2024 (filed 2025-02-26).pdf (page 19)</t>
      </text>
    </comment>
    <comment ref="D70" authorId="0">
      <text>
        <t xml:space="preserve">CWAN 10-K FY2024 (filed 2025-02-26).pdf (page 21)</t>
      </text>
    </comment>
    <comment ref="D73" authorId="0">
      <text>
        <t xml:space="preserve">CWAN Earnings Release FY2025 Q3 (issued 2025-11-05).pdf (page 1)</t>
      </text>
    </comment>
    <comment ref="D76" authorId="0">
      <text>
        <t xml:space="preserve">CWAN DEFM14A Definitive Merger Proxy (filed 2026-04-08).pdf (page 46)</t>
      </text>
    </comment>
    <comment ref="D96" authorId="0">
      <text>
        <t xml:space="preserve">CWAN Earnings Call FY2025 Q1 (held 2025-04-30).pdf (page 6)</t>
      </text>
    </comment>
    <comment ref="D97" authorId="0">
      <text>
        <t xml:space="preserve">CWAN Earnings Call FY2025 Q2 (held 2025-08-06).pdf (page 2)</t>
      </text>
    </comment>
    <comment ref="D98" authorId="0">
      <text>
        <t xml:space="preserve">CWAN Earnings Release FY2025 Q3 (issued 2025-11-05).pdf (page 2)</t>
      </text>
    </comment>
    <comment ref="E104" authorId="0">
      <text>
        <t xml:space="preserve">Cited for D104:E108
CWAN Earnings Call FY2025 Q1 (held 2025-04-30).pdf (page 14)</t>
      </text>
    </comment>
    <comment ref="E84" authorId="0">
      <text>
        <t xml:space="preserve">Cited for D84:E95
CWAN 10-K FY2024 (filed 2025-02-26).pdf (page 78)</t>
      </text>
    </comment>
    <comment ref="E97" authorId="0">
      <text>
        <t xml:space="preserve">CWAN Earnings Call FY2025 Q2 (held 2025-08-06).pdf (page 5)</t>
      </text>
    </comment>
    <comment ref="E98" authorId="0">
      <text>
        <t xml:space="preserve">CWAN Earnings Release FY2025 Q3 (issued 2025-11-05).pdf (page 2)</t>
      </text>
    </comment>
    <comment ref="F84" authorId="0">
      <text>
        <t xml:space="preserve">Cited for F84:F95
CWAN 10-K FY2024 (filed 2025-02-26).pdf (page 77)</t>
      </text>
    </comment>
    <comment ref="F98" authorId="0">
      <text>
        <t xml:space="preserve">Cited for F98:F99
CWAN Earnings Release FY2025 Q3 (issued 2025-11-05).pdf (page 2)</t>
      </text>
    </comment>
  </commentList>
</comments>
</file>

<file path=xl/comments4.xml><?xml version="1.0" encoding="utf-8"?>
<comments xmlns="http://schemas.openxmlformats.org/spreadsheetml/2006/main">
  <authors>
    <author>Compound</author>
  </authors>
  <commentList>
    <comment ref="D10" authorId="0">
      <text>
        <t xml:space="preserve">CWAN DEFM14A Definitive Merger Proxy (filed 2026-04-08).pdf (page 64)</t>
      </text>
    </comment>
    <comment ref="D14" authorId="0">
      <text>
        <t xml:space="preserve">Cited for D14:D15
CWAN DEFM14A Definitive Merger Proxy (filed 2026-04-08).pdf (page 64)</t>
      </text>
    </comment>
    <comment ref="D48" authorId="0">
      <text>
        <t xml:space="preserve">CWAN DEFM14A Definitive Merger Proxy (filed 2026-04-08).pdf (page 61)</t>
      </text>
    </comment>
    <comment ref="D49" authorId="0">
      <text>
        <t xml:space="preserve">CWAN DEFM14A Definitive Merger Proxy (filed 2026-04-08).pdf (page 45)</t>
      </text>
    </comment>
    <comment ref="D50" authorId="0">
      <text>
        <t xml:space="preserve">Cited for D50:D51
CWAN DEFM14A Definitive Merger Proxy (filed 2026-04-08).pdf (page 58)</t>
      </text>
    </comment>
    <comment ref="D52" authorId="0">
      <text>
        <t xml:space="preserve">CWAN DEFM14A Definitive Merger Proxy (filed 2026-04-08).pdf (page 58)</t>
      </text>
    </comment>
    <comment ref="D53" authorId="0">
      <text>
        <t xml:space="preserve">CWAN DEFM14A Definitive Merger Proxy (filed 2026-04-08).pdf (page 59)</t>
      </text>
    </comment>
    <comment ref="D54" authorId="0">
      <text>
        <t xml:space="preserve">CWAN DEFM14A Definitive Merger Proxy (filed 2026-04-08).pdf (page 59)</t>
      </text>
    </comment>
    <comment ref="D55" authorId="0">
      <text>
        <t xml:space="preserve">CWAN DEFM14A Definitive Merger Proxy (filed 2026-04-08).pdf (page 60)</t>
      </text>
    </comment>
    <comment ref="D56" authorId="0">
      <text>
        <t xml:space="preserve">CWAN DEFM14A Definitive Merger Proxy (filed 2026-04-08).pdf (page 61)</t>
      </text>
    </comment>
    <comment ref="D57" authorId="0">
      <text>
        <t xml:space="preserve">CWAN DEFM14A Definitive Merger Proxy (filed 2026-04-08).pdf (page 60)</t>
      </text>
    </comment>
    <comment ref="D64" authorId="0">
      <text>
        <t xml:space="preserve">Cited for D64:D66
CWAN DEFM14A Definitive Merger Proxy (filed 2026-04-08).pdf (page 60)</t>
      </text>
    </comment>
    <comment ref="D67" authorId="0">
      <text>
        <t xml:space="preserve">Cited for D67:D69
CWAN PJT - Indications of Interest Summary (2025-12-15).pdf (page 2)</t>
      </text>
    </comment>
    <comment ref="D7" authorId="0">
      <text>
        <t xml:space="preserve">CWAN DEFM14A Definitive Merger Proxy (filed 2026-04-08).pdf (page 40)</t>
      </text>
    </comment>
    <comment ref="D70" authorId="0">
      <text>
        <t xml:space="preserve">Cited for D70:D72
CWAN PJT - Indications of Interest Summary (2025-12-15).pdf (page 3)</t>
      </text>
    </comment>
    <comment ref="D73" authorId="0">
      <text>
        <t xml:space="preserve">Cited for D73:D77
CWAN J.P. Morgan - Transaction Committee Discussion (2025-10-29).pdf (page 13)</t>
      </text>
    </comment>
    <comment ref="D78" authorId="0">
      <text>
        <t xml:space="preserve">CWAN J.P. Morgan - Transaction Committee Discussion (2025-10-29).pdf (page 10)</t>
      </text>
    </comment>
    <comment ref="D79" authorId="0">
      <text>
        <t xml:space="preserve">CWAN DEFM14A Definitive Merger Proxy (filed 2026-04-08).pdf (page 78)</t>
      </text>
    </comment>
    <comment ref="D8" authorId="0">
      <text>
        <t xml:space="preserve">CWAN DEFM14A Definitive Merger Proxy (filed 2026-04-08).pdf (page 41)</t>
      </text>
    </comment>
    <comment ref="D80" authorId="0">
      <text>
        <t xml:space="preserve">CWAN DEFM14A Definitive Merger Proxy (filed 2026-04-08).pdf (page 78)</t>
      </text>
    </comment>
    <comment ref="D9" authorId="0">
      <text>
        <t xml:space="preserve">CWAN DEFM14A Definitive Merger Proxy (filed 2026-04-08).pdf (page 67)</t>
      </text>
    </comment>
    <comment ref="E10" authorId="0">
      <text>
        <t xml:space="preserve">CWAN DEFM14A Definitive Merger Proxy (filed 2026-04-08).pdf (page 64)</t>
      </text>
    </comment>
    <comment ref="E12" authorId="0">
      <text>
        <t xml:space="preserve">CWAN DEFM14A Definitive Merger Proxy (filed 2026-04-08).pdf (page 53)</t>
      </text>
    </comment>
    <comment ref="E14" authorId="0">
      <text>
        <t xml:space="preserve">Cited for E14:E15
CWAN DEFM14A Definitive Merger Proxy (filed 2026-04-08).pdf (page 64)</t>
      </text>
    </comment>
    <comment ref="E58" authorId="0">
      <text>
        <t xml:space="preserve">CWAN DEFM14A Definitive Merger Proxy (filed 2026-04-08).pdf (page 61)</t>
      </text>
    </comment>
    <comment ref="E8" authorId="0">
      <text>
        <t xml:space="preserve">CWAN DEFM14A Definitive Merger Proxy (filed 2026-04-08).pdf (page 41)</t>
      </text>
    </comment>
    <comment ref="E9" authorId="0">
      <text>
        <t xml:space="preserve">CWAN DEFM14A Definitive Merger Proxy (filed 2026-04-08).pdf (page 68)</t>
      </text>
    </comment>
    <comment ref="F9" authorId="0">
      <text>
        <t xml:space="preserve">CWAN DEFM14A Definitive Merger Proxy (filed 2026-04-08).pdf (page 67)</t>
      </text>
    </comment>
    <comment ref="G10" authorId="0">
      <text>
        <t xml:space="preserve">CWAN DEFM14A Definitive Merger Proxy (filed 2026-04-08).pdf (page 65)</t>
      </text>
    </comment>
    <comment ref="G8" authorId="0">
      <text>
        <t xml:space="preserve">CWAN DEFM14A Definitive Merger Proxy (filed 2026-04-08).pdf (page 41)</t>
      </text>
    </comment>
    <comment ref="G9" authorId="0">
      <text>
        <t xml:space="preserve">CWAN DEFM14A Definitive Merger Proxy (filed 2026-04-08).pdf (page 68)</t>
      </text>
    </comment>
    <comment ref="H19" authorId="0">
      <text>
        <t xml:space="preserve">CWAN DEFM14A Definitive Merger Proxy (filed 2026-04-08).pdf (page 61)</t>
      </text>
    </comment>
    <comment ref="I24" authorId="0">
      <text>
        <t xml:space="preserve">Cited for H24:I24
CWAN DEFM14A Definitive Merger Proxy (filed 2026-04-08).pdf (page 58)</t>
      </text>
    </comment>
  </commentList>
</comments>
</file>

<file path=xl/sharedStrings.xml><?xml version="1.0" encoding="utf-8"?>
<sst xmlns="http://schemas.openxmlformats.org/spreadsheetml/2006/main" count="863" uniqueCount="863">
  <si>
    <t>CWAN competitive landscape at the 20 Dec 2025 signing</t>
  </si>
  <si>
    <t>$M unless noted; FY = calendar year; Q3 = quarter to 30 Sep; revenue is the segment or line each rival reports for the overlapping business; page numbers are PDF pages of the drive copies, EDGAR filings by section</t>
  </si>
  <si>
    <t>COMPETITIVE MATRIX</t>
  </si>
  <si>
    <t>Competitor</t>
  </si>
  <si>
    <t>CWAN (reference)</t>
  </si>
  <si>
    <t>SS&amp;C Technologies</t>
  </si>
  <si>
    <t>BlackRock (Aladdin)</t>
  </si>
  <si>
    <t>FIS</t>
  </si>
  <si>
    <t>State Street (Alpha)</t>
  </si>
  <si>
    <t>SimCorp (Deutsche Börse)</t>
  </si>
  <si>
    <t>Enfusion</t>
  </si>
  <si>
    <t>BNY (Eagle)</t>
  </si>
  <si>
    <t>Northern Trust</t>
  </si>
  <si>
    <t>Broadridge</t>
  </si>
  <si>
    <t>SAP</t>
  </si>
  <si>
    <t>Bloomberg AIM</t>
  </si>
  <si>
    <t>LayerOne</t>
  </si>
  <si>
    <t>Coremont</t>
  </si>
  <si>
    <t>Competitors named</t>
  </si>
  <si>
    <t>Says no rival is cloud-native</t>
  </si>
  <si>
    <t>Overlapping offering</t>
  </si>
  <si>
    <t>Accounting, reporting, risk; front office via Enfusion</t>
  </si>
  <si>
    <t>Advent, CAMRA, Maximus, Singularity; fund admin</t>
  </si>
  <si>
    <t>Aladdin, eFront; Preqin from Mar-25</t>
  </si>
  <si>
    <t>iWorks; Capital Markets buy-side and insurer software</t>
  </si>
  <si>
    <t>Alpha (CRD front office), PAM insurer accounting</t>
  </si>
  <si>
    <t>SimCorp Dimension / SimCorp One, Axioma</t>
  </si>
  <si>
    <t>Front-office OMS/PMS, IBOR for hedge funds</t>
  </si>
  <si>
    <t>Eagle product</t>
  </si>
  <si>
    <t>Front office solutions, asset servicing</t>
  </si>
  <si>
    <t>Wealth and investment management technology</t>
  </si>
  <si>
    <t>Named; no product detail in filings</t>
  </si>
  <si>
    <t>Ownership at signing</t>
  </si>
  <si>
    <t>Public (NYSE: CWAN); sold to consortium</t>
  </si>
  <si>
    <t>Public (Nasdaq: SSNC); CEO owns ~14.0%</t>
  </si>
  <si>
    <t>Public (NYSE: BLK); captive unit</t>
  </si>
  <si>
    <t>Public (NYSE: FIS)</t>
  </si>
  <si>
    <t>Public (NYSE: STT)</t>
  </si>
  <si>
    <t>Deutsche Börse (acquired 2023, $4.2bn)</t>
  </si>
  <si>
    <t>Acquired by CWAN, Apr-25 (~$1.5bn)</t>
  </si>
  <si>
    <t>BNY Mellon product line</t>
  </si>
  <si>
    <t>Northern Trust product line</t>
  </si>
  <si>
    <t>Broadridge product line</t>
  </si>
  <si>
    <t>SAP product line</t>
  </si>
  <si>
    <t>Bloomberg product line</t>
  </si>
  <si>
    <t>Not disclosed</t>
  </si>
  <si>
    <t>Named as competitor in</t>
  </si>
  <si>
    <t>IPO 2021</t>
  </si>
  <si>
    <t>–</t>
  </si>
  <si>
    <t>Yes</t>
  </si>
  <si>
    <t>10-K FY24</t>
  </si>
  <si>
    <t>10-K FY25</t>
  </si>
  <si>
    <t>No</t>
  </si>
  <si>
    <t>DEFM14A</t>
  </si>
  <si>
    <t>Target</t>
  </si>
  <si>
    <t>Peer</t>
  </si>
  <si>
    <t>Precedent</t>
  </si>
  <si>
    <t>Ccy</t>
  </si>
  <si>
    <t>USD</t>
  </si>
  <si>
    <t>EUR</t>
  </si>
  <si>
    <t>Revenue basis</t>
  </si>
  <si>
    <t>Total revenue</t>
  </si>
  <si>
    <t>Total revenue (one segment)</t>
  </si>
  <si>
    <t>Technology services revenue</t>
  </si>
  <si>
    <t>Capital Market Solutions segment</t>
  </si>
  <si>
    <t>Front office software and data</t>
  </si>
  <si>
    <t>Software Solutions ARR (€M)</t>
  </si>
  <si>
    <t>Revenue</t>
  </si>
  <si>
    <t>Not reported separately</t>
  </si>
  <si>
    <t>W&amp;IM revenue (quarter to Sep-25)</t>
  </si>
  <si>
    <t>Not reported</t>
  </si>
  <si>
    <t>Overlapping revenue ($M)</t>
  </si>
  <si>
    <t>YoY</t>
  </si>
  <si>
    <t>Latest quarter ($M)</t>
  </si>
  <si>
    <t>Profitability</t>
  </si>
  <si>
    <t>Profit FY24</t>
  </si>
  <si>
    <t>Margin</t>
  </si>
  <si>
    <t>Profit measure</t>
  </si>
  <si>
    <t>Adj. EBITDA</t>
  </si>
  <si>
    <t>GAAP operating income</t>
  </si>
  <si>
    <t>Segment adj. EBITDA</t>
  </si>
  <si>
    <t>NTM EBITDA margin at 2023 deal</t>
  </si>
  <si>
    <t>Customers</t>
  </si>
  <si>
    <t>Clients</t>
  </si>
  <si>
    <t>Client basis</t>
  </si>
  <si>
    <t>clients; $8.8tn on platform</t>
  </si>
  <si>
    <t>clients, financial services and health</t>
  </si>
  <si>
    <t>insurers on Aladdin</t>
  </si>
  <si>
    <t>segment serves asset managers, PE, brokers, insurers</t>
  </si>
  <si>
    <t>Alpha mandates won in 9M25</t>
  </si>
  <si>
    <t>new clients in Q2'25</t>
  </si>
  <si>
    <t>investment managers</t>
  </si>
  <si>
    <t>Source</t>
  </si>
  <si>
    <t>10-K FY2024 p79, p11; Q3'25 release p1</t>
  </si>
  <si>
    <t>SSNC 10-K FY2024 cover, Item 1, Item 1A, income stmt; 10-Q Q3'25</t>
  </si>
  <si>
    <t>BLK 10-K FY2024 income stmt, Item 1; 10-Q Q3'25; Q1'25 call</t>
  </si>
  <si>
    <t>FIS 10-K FY2024 Item 7 segment table; 10-Q Q3'25 segment table</t>
  </si>
  <si>
    <t>STT 10-K FY2024 Table 2; 10-Q Q3'25 Table 2; 2025 calls</t>
  </si>
  <si>
    <t>DB1 Q4'24, Q2'25, Q3'25 calls; JPM 29-Oct-25 deck pdf p13</t>
  </si>
  <si>
    <t>Enfusion merger prospectus p162; deal release p5</t>
  </si>
  <si>
    <t>CWAN 10-K FY2024 p23</t>
  </si>
  <si>
    <t>CWAN 10-K FY2024 p23; NTRS Q3'25 call</t>
  </si>
  <si>
    <t>CWAN 10-K FY2025 p23; BR FQ1'26 call</t>
  </si>
  <si>
    <t>CWAN 10-K FY2025 p23</t>
  </si>
  <si>
    <t>Counts of 'Yes' in E8:H21</t>
  </si>
  <si>
    <t>IPO prospectus p127; 10-K FY2024 p21; 10-K FY2025 p23</t>
  </si>
  <si>
    <t>Read for CWAN</t>
  </si>
  <si>
    <t>&lt;&lt; Q3'25 includes Enfusion and Beacon (closed Apr-25)</t>
  </si>
  <si>
    <t>&lt;&lt; Only rival that names CWAN back (insurance); overlap not split out</t>
  </si>
  <si>
    <t>&lt;&lt; Q3'25 +28% incl. Preqin, ~12% organic; positions mostly fixed income</t>
  </si>
  <si>
    <t>&lt;&lt; Highest-margin rival segment; growth from new SaaS sales, not AUM</t>
  </si>
  <si>
    <t>&lt;&lt; FO ARR ~$400m, +13%; growth partly from on-prem renewals</t>
  </si>
  <si>
    <t>&lt;&lt; ARR +18% cc; North America +27%; SaaS +22%, on-prem -1%</t>
  </si>
  <si>
    <t>&lt;&lt; Bought, not built: CWAN's front-office answer to Aladdin and CRD</t>
  </si>
  <si>
    <t>&lt;&lt; No Eagle commentary on BNY's Q1-Q3'25 calls</t>
  </si>
  <si>
    <t>&lt;&lt; Front office solutions revenue up 'materially' YTD</t>
  </si>
  <si>
    <t>&lt;&lt; +22% with SIS acquisition, 5% organic; first named after signing</t>
  </si>
  <si>
    <t>&lt;&lt; Insurer back-office incumbent</t>
  </si>
  <si>
    <t>&lt;&lt; First named after signing</t>
  </si>
  <si>
    <t>&lt;&lt; Sentence dropped in the first 10-K after signing</t>
  </si>
  <si>
    <t>Rival earnings calls in CWAN's 2025 reporting window</t>
  </si>
  <si>
    <t>Q1-Q3 2025 calls (Broadridge fiscal quarters to Mar, Jun and Sep 2025); CWAN's own calls were 30 Apr, 6 Aug and 5 Nov 2025; quotes verbatim from the transcripts</t>
  </si>
  <si>
    <t>TOPIC SUMMARY</t>
  </si>
  <si>
    <t>Company</t>
  </si>
  <si>
    <t>CWAN (benchmark)</t>
  </si>
  <si>
    <t>CALL LOG</t>
  </si>
  <si>
    <t>Pricing</t>
  </si>
  <si>
    <t>Scale to lift pricing (Calastone)</t>
  </si>
  <si>
    <t>No Aladdin pricing comment</t>
  </si>
  <si>
    <t>+1-2% net; 'rational' market</t>
  </si>
  <si>
    <t>Normal pricing headwinds'</t>
  </si>
  <si>
    <t>SaaS client worth 2x on-prem</t>
  </si>
  <si>
    <t>Not addressed</t>
  </si>
  <si>
    <t>No Eagle commentary</t>
  </si>
  <si>
    <t>~3% uplift vs 4-5% goal</t>
  </si>
  <si>
    <t>Call</t>
  </si>
  <si>
    <t>Q2'25 call, 23 Jul 2025</t>
  </si>
  <si>
    <t>Q3'25 call, 23 Oct 2025</t>
  </si>
  <si>
    <t>Q1'25 call, 24 Apr 2025</t>
  </si>
  <si>
    <t>Q1'25 call, 11 Apr 2025</t>
  </si>
  <si>
    <t>Q2'25 call, 15 Jul 2025</t>
  </si>
  <si>
    <t>Q3'25 call, 14 Oct 2025</t>
  </si>
  <si>
    <t>Q2'25 call, 5 Aug 2025</t>
  </si>
  <si>
    <t>Q3'25 call, 5 Nov 2025</t>
  </si>
  <si>
    <t>Q1'25 call, 6 May 2025</t>
  </si>
  <si>
    <t>Q1'25 call, 17 Apr 2025</t>
  </si>
  <si>
    <t>Q3'25 call, 17 Oct 2025</t>
  </si>
  <si>
    <t>Q4'24 call, 12 Feb 2025</t>
  </si>
  <si>
    <t>Q1'25 call, 29 Apr 2025</t>
  </si>
  <si>
    <t>Q2'25 call, 25 Jul 2025</t>
  </si>
  <si>
    <t>Q3'25 call, 28 Oct 2025</t>
  </si>
  <si>
    <t>Q3'25 call, 22 Oct 2025</t>
  </si>
  <si>
    <t>Q1'25 call, 22 Apr 2025</t>
  </si>
  <si>
    <t>FQ3'25 (Mar qtr), 1 May 2025</t>
  </si>
  <si>
    <t>FQ1'26 (Sep qtr), 4 Nov 2025</t>
  </si>
  <si>
    <t>FQ4'25 (Jun qtr), 5 Aug 2025</t>
  </si>
  <si>
    <t>Q1-Q3'25 calls</t>
  </si>
  <si>
    <t>Q1'25 call, 30 Apr 2025</t>
  </si>
  <si>
    <t>Q2'25 call, 6 Aug 2025</t>
  </si>
  <si>
    <t>Wins and losses</t>
  </si>
  <si>
    <t>97% retention; insurer wins</t>
  </si>
  <si>
    <t>100+ insurers on Aladdin</t>
  </si>
  <si>
    <t>Low attrition; credit takeaway</t>
  </si>
  <si>
    <t>NA wins, AXA, 7 new in Q2</t>
  </si>
  <si>
    <t>UTIMCO; FOS revenue up</t>
  </si>
  <si>
    <t>W&amp;IM organic -3% (FQ3'25)</t>
  </si>
  <si>
    <t>VKB; 80% win rate</t>
  </si>
  <si>
    <t>Topic</t>
  </si>
  <si>
    <t>Single-instance / cloud</t>
  </si>
  <si>
    <t>Private credit and alts</t>
  </si>
  <si>
    <t>Growth</t>
  </si>
  <si>
    <t>M&amp;A posture</t>
  </si>
  <si>
    <t>All topics</t>
  </si>
  <si>
    <t>Retention</t>
  </si>
  <si>
    <t>Not addressed; mixed delivery</t>
  </si>
  <si>
    <t>Whole-portfolio mandate</t>
  </si>
  <si>
    <t>SaaS go-to-market taking share</t>
  </si>
  <si>
    <t>Converting CRD clients to SaaS</t>
  </si>
  <si>
    <t>SaaS +21-22%, on-prem down</t>
  </si>
  <si>
    <t>License-to-SaaS takes time</t>
  </si>
  <si>
    <t>Single instance, one security master</t>
  </si>
  <si>
    <t>Key figure</t>
  </si>
  <si>
    <t>Private markets +10-14%</t>
  </si>
  <si>
    <t>Preqin, eFront, HPS credit</t>
  </si>
  <si>
    <t>Private credit demand high</t>
  </si>
  <si>
    <t>Alpha appeal rising in privates</t>
  </si>
  <si>
    <t>Bought Domos (alts admin)</t>
  </si>
  <si>
    <t>Private markets wins</t>
  </si>
  <si>
    <t>Sentry private credit demand</t>
  </si>
  <si>
    <t>Cross-sell bookings +70%</t>
  </si>
  <si>
    <t>Unit</t>
  </si>
  <si>
    <t>retention rate</t>
  </si>
  <si>
    <t>$bn client (bank trust)</t>
  </si>
  <si>
    <t>private markets growth</t>
  </si>
  <si>
    <t>bps extra yield cited</t>
  </si>
  <si>
    <t>organic revenue growth</t>
  </si>
  <si>
    <t>adj. EBITDA margin</t>
  </si>
  <si>
    <t>tech services growth</t>
  </si>
  <si>
    <t>organic ACV growth</t>
  </si>
  <si>
    <t>growth ex-Preqin</t>
  </si>
  <si>
    <t>Preqin clients</t>
  </si>
  <si>
    <t>$bn private credit AUM</t>
  </si>
  <si>
    <t>CM recurring revenue growth</t>
  </si>
  <si>
    <t>$bn Issuer Solutions EV</t>
  </si>
  <si>
    <t>Alpha mandates</t>
  </si>
  <si>
    <t>front office ARR growth</t>
  </si>
  <si>
    <t>€M ARR at Dec-24</t>
  </si>
  <si>
    <t>ARR growth</t>
  </si>
  <si>
    <t>ARR growth (cc)</t>
  </si>
  <si>
    <t>net revenue growth</t>
  </si>
  <si>
    <t>x value, SaaS vs on-prem</t>
  </si>
  <si>
    <t>new clients</t>
  </si>
  <si>
    <t>North America ARR growth</t>
  </si>
  <si>
    <t>SaaS revenue growth</t>
  </si>
  <si>
    <t>$bn client (UTIMCO)</t>
  </si>
  <si>
    <t>W&amp;IM organic growth</t>
  </si>
  <si>
    <t>W&amp;IM revenue growth</t>
  </si>
  <si>
    <t>win rate</t>
  </si>
  <si>
    <t>NRR</t>
  </si>
  <si>
    <t>consolidated NRR</t>
  </si>
  <si>
    <t>cross-sell bookings growth</t>
  </si>
  <si>
    <t>Takeaway</t>
  </si>
  <si>
    <t>Scale should improve pricing (Calastone deal)</t>
  </si>
  <si>
    <t>Retention stable at 97%</t>
  </si>
  <si>
    <t>International win rates rising</t>
  </si>
  <si>
    <t>Singularity winning large insurers</t>
  </si>
  <si>
    <t>Displaced a competitor at a $75bn+ bank trust</t>
  </si>
  <si>
    <t>Lost FPDR business to State Street insourcing</t>
  </si>
  <si>
    <t>Analyst flags M&amp;A in investment accounting</t>
  </si>
  <si>
    <t>Private markets +14% in Q1</t>
  </si>
  <si>
    <t>Private markets +10%+ on credit and hybrid funds</t>
  </si>
  <si>
    <t>Clients cite 100-200bps extra yield in private credit</t>
  </si>
  <si>
    <t>Q3 adjusted organic growth 5.2%</t>
  </si>
  <si>
    <t>Q3 adjusted EBITDA margin 39.5%</t>
  </si>
  <si>
    <t>Q1 tech services +16% (Preqin from Mar-25)</t>
  </si>
  <si>
    <t>ACV +32% with Preqin, +16% organic</t>
  </si>
  <si>
    <t>Q3 tech services +28%</t>
  </si>
  <si>
    <t>About 12% excluding Preqin</t>
  </si>
  <si>
    <t>Aladdin powers 100+ insurers; $700bn insurer AUM</t>
  </si>
  <si>
    <t>First Aladdin client live in Korea</t>
  </si>
  <si>
    <t>First whole-portfolio mandate: Aladdin + eFront + Preqin</t>
  </si>
  <si>
    <t>Clients buying integrated public-private workflow</t>
  </si>
  <si>
    <t>Preqin brings 4,400+ clients to cross-sell</t>
  </si>
  <si>
    <t>HPS lifts private credit AUM to ~$220bn</t>
  </si>
  <si>
    <t>IG private debt is driving insurer allocations</t>
  </si>
  <si>
    <t>Capital Markets net pricing +1-2% after compression</t>
  </si>
  <si>
    <t>Calls it a 'rational pricing environment'</t>
  </si>
  <si>
    <t>Capital Markets attrition 'very low'</t>
  </si>
  <si>
    <t>Capital Markets revenue not AUM-linked</t>
  </si>
  <si>
    <t>Atlas SP (private credit) a competitive takeaway</t>
  </si>
  <si>
    <t>Q3 Capital Markets recurring revenue +7.6%</t>
  </si>
  <si>
    <t>Private credit demand remains high</t>
  </si>
  <si>
    <t>Buying Issuer Solutions for $12bn</t>
  </si>
  <si>
    <t>No tuck-in tech M&amp;A once Issuer Solutions closes</t>
  </si>
  <si>
    <t>Servicing fees face 'normal pricing headwinds'</t>
  </si>
  <si>
    <t>One Alpha mandate in Q1</t>
  </si>
  <si>
    <t>Two Alpha mandates ($380bn AUC/A) in Q2</t>
  </si>
  <si>
    <t>One Alpha mandate in Q3</t>
  </si>
  <si>
    <t>Key client moving to a multi-platform front office</t>
  </si>
  <si>
    <t>Analyst: Aladdin gaining momentum</t>
  </si>
  <si>
    <t>Main rival is the insourced option</t>
  </si>
  <si>
    <t>Q2 front office lifted by on-prem renewals</t>
  </si>
  <si>
    <t>Front office ARR ~$400m, +13%</t>
  </si>
  <si>
    <t>Converting clients to cloud SaaS</t>
  </si>
  <si>
    <t>No Alpha deal without a back-office element</t>
  </si>
  <si>
    <t>Alpha's appeal rising in private markets</t>
  </si>
  <si>
    <t>ARR €608m at year-end 2024</t>
  </si>
  <si>
    <t>Q1 ARR +15% to €618m</t>
  </si>
  <si>
    <t>Q2 ARR €621m, +18% at constant currency</t>
  </si>
  <si>
    <t>Q3 ARR €632m, +18% at constant currency</t>
  </si>
  <si>
    <t>Q3 software net revenue +10%</t>
  </si>
  <si>
    <t>A SaaS client is worth 2x an on-prem client</t>
  </si>
  <si>
    <t>NA wins incl. one of the largest asset managers</t>
  </si>
  <si>
    <t>Claims growth slightly ahead of key peers</t>
  </si>
  <si>
    <t>Seven new clients in Q2</t>
  </si>
  <si>
    <t>Signed AXA (French insurer)</t>
  </si>
  <si>
    <t>North America ARR +27%</t>
  </si>
  <si>
    <t>Competition is 'intense'</t>
  </si>
  <si>
    <t>Large US public pension onto SimCorp One SaaS</t>
  </si>
  <si>
    <t>Q2 SaaS +21%, on-prem -4%</t>
  </si>
  <si>
    <t>Q3 SaaS +22%, on-prem -1%</t>
  </si>
  <si>
    <t>SaaS will not fully replace on-prem</t>
  </si>
  <si>
    <t>Acquired Domos (alternatives admin tech)</t>
  </si>
  <si>
    <t>Front office solutions revenue up materially YTD</t>
  </si>
  <si>
    <t>Won the $89bn UT/Texas A&amp;M investment office</t>
  </si>
  <si>
    <t>Private markets wins on technology</t>
  </si>
  <si>
    <t>W&amp;IM organic -3% on lower license revenue</t>
  </si>
  <si>
    <t>W&amp;IM +22%, of which 5% organic</t>
  </si>
  <si>
    <t>Moving acquired license clients to SaaS takes time</t>
  </si>
  <si>
    <t>Strong demand for Sentry private credit</t>
  </si>
  <si>
    <t>No Eagle-specific commentary on the three calls</t>
  </si>
  <si>
    <t>80% win rate; 98%+ GRR; 60+ NPS</t>
  </si>
  <si>
    <t>Replacing a leading legacy provider at VKB</t>
  </si>
  <si>
    <t>Q1 NRR 114%, down from 116%</t>
  </si>
  <si>
    <t>Core NRR 114%, consolidated 110%</t>
  </si>
  <si>
    <t>Q3 NRR 108% on lower AUM and upsell</t>
  </si>
  <si>
    <t>Price uplift just under 3% vs 4-5% long-run</t>
  </si>
  <si>
    <t>New pricing model for new clients from 1 Jan 2026</t>
  </si>
  <si>
    <t>Expects all clients to migrate to its architecture</t>
  </si>
  <si>
    <t>Single instance and security master as GenAI edge</t>
  </si>
  <si>
    <t>Cross-sell bookings +70% (LPx, MLx, Prism, Risk)</t>
  </si>
  <si>
    <t>MLx covers mortgages and private credit</t>
  </si>
  <si>
    <t>Speaker</t>
  </si>
  <si>
    <t>Bill Stone, Chairman and CEO, SS&amp;C Technologies</t>
  </si>
  <si>
    <t>Rahul Kanwar, President and COO, SS&amp;C Technologies</t>
  </si>
  <si>
    <t>Alexei Gogolev, Executive Director, JPMorgan</t>
  </si>
  <si>
    <t>Michael Infante, VP of Equity Research, Morgan Stanley</t>
  </si>
  <si>
    <t>William  Stone, Chairman and CEO, SS&amp;C Technologies</t>
  </si>
  <si>
    <t>Martin S. Small, CFO, BlackRock</t>
  </si>
  <si>
    <t>Martin Small, CFO, BlackRock</t>
  </si>
  <si>
    <t>Speaker 2</t>
  </si>
  <si>
    <t>Laurence D. Fink, Chairman and CEO, BlackRock</t>
  </si>
  <si>
    <t>Speaker 0</t>
  </si>
  <si>
    <t>James Kehoe, CFO, Fidelity National Information Services</t>
  </si>
  <si>
    <t>Stephanie Ferris, CEO and President, FIS</t>
  </si>
  <si>
    <t>Stephanie Ferris, CEO and President, Fidelity National Information Services</t>
  </si>
  <si>
    <t>James Kehoe, CFO, FIS</t>
  </si>
  <si>
    <t>Mark Keating, Interim CFO, State Street Corporation</t>
  </si>
  <si>
    <t>Ron O'Hanley, CEO, State Street Corporation</t>
  </si>
  <si>
    <t>John Woods, CFO, State Street Corporation</t>
  </si>
  <si>
    <t>Brennan Hawken, Analyst, Bank of Montreal</t>
  </si>
  <si>
    <t>Ron O’Hanley, CEO, State Street Corporation</t>
  </si>
  <si>
    <t>Gregor Pottmeyer, CFO, Deutsche Börse Group</t>
  </si>
  <si>
    <t>Stephan Leithner, CEO, Deutsche Börse Group</t>
  </si>
  <si>
    <t>Gregor Pottmeyer, CFO, Deutsche Börse AG</t>
  </si>
  <si>
    <t>Jens Schulte, CFO, Deutsche Börse AG</t>
  </si>
  <si>
    <t>Stephan Leithner, CEO, Deutsche Börse AG</t>
  </si>
  <si>
    <t>Michael O'Grady, Chairman and CEO, Northern Trust Corporation</t>
  </si>
  <si>
    <t>Michael O’Grady, Chairman and CEO, Northern Trust Corporation</t>
  </si>
  <si>
    <t>Mike O'Grady, Chairman and CEO, Northern Trust</t>
  </si>
  <si>
    <t>Ashima Ghei, CFO, Broadridge</t>
  </si>
  <si>
    <t>Tim Gokey, CEO, Broadridge</t>
  </si>
  <si>
    <t>Timothy Gokey, CEO, Broadridge</t>
  </si>
  <si>
    <t>Review of BNY Q1-Q3 2025 transcripts</t>
  </si>
  <si>
    <t>CWAN management, transcript pdf p2</t>
  </si>
  <si>
    <t>CWAN management, transcript pdf p3</t>
  </si>
  <si>
    <t>CWAN management, transcript pdf p6</t>
  </si>
  <si>
    <t>CWAN management, transcript pdf p5</t>
  </si>
  <si>
    <t>CWAN management, transcript pdf p10</t>
  </si>
  <si>
    <t>CWAN management, transcript pdf p13</t>
  </si>
  <si>
    <t>CWAN management, transcript pdf p14</t>
  </si>
  <si>
    <t>Quote</t>
  </si>
  <si>
    <t>I am sure that the scale that we bring is going to allow us to have better pricing.</t>
  </si>
  <si>
    <t>our retention rate is stable at 97%</t>
  </si>
  <si>
    <t>a positive trend of increased international win rates</t>
  </si>
  <si>
    <t>Singularity has had recent success winning large insurance companies.</t>
  </si>
  <si>
    <t>Our most recent client go-live was a $75 billion-plus bank trust in the Midwest, where we replaced a competitor.</t>
  </si>
  <si>
    <t>Could you elaborate on the potential impact from the lost business, that State Street insourced the FPDR?</t>
  </si>
  <si>
    <t>a lot of acquisition activity in the space, particularly in the hedge fund and investment accounting space</t>
  </si>
  <si>
    <t>Private markets have also enjoyed the fruits of international expansion, growing 14% in Q1.</t>
  </si>
  <si>
    <t>private markets growing over 10%. Driven by the complexity of credit and hybrid funds, as well as family offices.</t>
  </si>
  <si>
    <t>They are talking 100 basis points, 200 basis points more in the private markets than what they can get in the public markets.</t>
  </si>
  <si>
    <t>Our third quarter adjusted organic revenue growth was 5.2%</t>
  </si>
  <si>
    <t>resulting in a quarterly adjusted consolidated EBITDA margin of 39.5%</t>
  </si>
  <si>
    <t>Quarterly technology services and subscription revenue was up 16% compared to a year ago.</t>
  </si>
  <si>
    <t>Annual contract value, or ACV, increased 32% year-over-year, including the Preqin acquisition. ACV growth increased 16% organically</t>
  </si>
  <si>
    <t>Quarterly technology services and subscription revenue was up 28% compared to a year ago</t>
  </si>
  <si>
    <t>Excluding Preqin technology services, revenue would have increased approximately 12% year over year.</t>
  </si>
  <si>
    <t>BlackRock already manages approximately $700 billion for the insurance industry, primarily in index, public credit strategies, and our Aladdin technology powers over 100 different insurance companies.</t>
  </si>
  <si>
    <t>Aladdin recently went live with our first client in Korea</t>
  </si>
  <si>
    <t>We recently signed our first whole portfolio technology mandate encompassing Aladdin, eFront, and Preqin as a seamless public-private workflow and data solution.</t>
  </si>
  <si>
    <t>clients are increasingly choosing to leverage the integrated capabilities of our public private market workflow and data offerings</t>
  </si>
  <si>
    <t>Preqin's more than 4,400 clients</t>
  </si>
  <si>
    <t>We expect to scale our private credit AUM to approximately $220 billion following our planned acquisition of HPS.</t>
  </si>
  <si>
    <t>The longer duration, lower risk returns of investment-grade private debt are driving increased allocations from insurance companies.</t>
  </si>
  <si>
    <t>capital markets was similar to the historic trends of somewhere between 1%-2% of net pricing after compression</t>
  </si>
  <si>
    <t>we live in a rational pricing environment</t>
  </si>
  <si>
    <t>net of any attrition, which is very low in capital markets</t>
  </si>
  <si>
    <t>there's nothing AUM related here at all</t>
  </si>
  <si>
    <t>The win is a competitive takeaway</t>
  </si>
  <si>
    <t>where we are taking our SaaS go-to-market strategy and taking share</t>
  </si>
  <si>
    <t>Recurring revenue grew 7.6%</t>
  </si>
  <si>
    <t>Private credit continues to be in high demand.</t>
  </si>
  <si>
    <t>we announced the acquisition of the Issuer Solutions business for a net enterprise value of $12 billion</t>
  </si>
  <si>
    <t>Effective once credit issuer closes, we won't be doing any tech-owned acquisitions.</t>
  </si>
  <si>
    <t>partially offset by normal pricing headwinds</t>
  </si>
  <si>
    <t>We recorded one new State Street Alpha mandate</t>
  </si>
  <si>
    <t>we reported two new Alpha mandates representing $380 billion of our AUCA wins this quarter</t>
  </si>
  <si>
    <t>we reported one new Alpha mandate win with another client going live in the quarter</t>
  </si>
  <si>
    <t>Instead of going to a single platform, they are going to be multi-platform in their front office.</t>
  </si>
  <si>
    <t>Aladdin is picking up some momentum</t>
  </si>
  <si>
    <t>you're also competing with the insourced option</t>
  </si>
  <si>
    <t>driven by higher on-premises renewals, largely associated with CRD wealth clients</t>
  </si>
  <si>
    <t>annual recurring revenue increased by approximately 13% year over year to approximately $400 million in the third quarter</t>
  </si>
  <si>
    <t>as we converted and implemented more clients onto our cloud-based SaaS platform</t>
  </si>
  <si>
    <t>We will not do something Alpha-related without some kind of back office element to it</t>
  </si>
  <si>
    <t>there's an increasing appeal for Alpha within the private space</t>
  </si>
  <si>
    <t>After experiencing lower growth in the third quarter, the ARR recovered significantly at year-end, reaching EUR 608 million.</t>
  </si>
  <si>
    <t>ARR increased 15% year-on-year at the end of the Q1 and amounted to a new record level of EUR 618 million</t>
  </si>
  <si>
    <t>The annual recurring revenue was EUR 621 million at the end of the quarter. This represents an 18% increase compared to the previous year based on constant currency.</t>
  </si>
  <si>
    <t>Our annual recurring revenue reached EUR 632 million at the end of the quarter, an 18% increase year-over-year at constant currency.</t>
  </si>
  <si>
    <t>software solutions was the key growth driver, delivering a solid 10% increase in net revenue</t>
  </si>
  <si>
    <t>a SaaS client is 2x from a value proposition compared to an on-premise client</t>
  </si>
  <si>
    <t>Driven by significant customer wins in North America, including one of the largest asset managers in the world</t>
  </si>
  <si>
    <t>This performance puts us slightly ahead of our key peers.</t>
  </si>
  <si>
    <t>we gained seven new clients in Q2</t>
  </si>
  <si>
    <t>we signed up French insurer AXA</t>
  </si>
  <si>
    <t>Growth was particularly strong in North America with 27%</t>
  </si>
  <si>
    <t>So the competition situation is intense, but it is also intense because SimCorp is making so much more progress.</t>
  </si>
  <si>
    <t>the addition of one of the largest US public pension funds to our SimCorp One SaaS solution</t>
  </si>
  <si>
    <t>SaaS revenues increased by 21%, while on-premise revenues declined by 4%</t>
  </si>
  <si>
    <t>we saw SaaS revenues grow by 22%, while on-premise revenues declined slightly by 1%</t>
  </si>
  <si>
    <t>it is not as though the SaaS solution will completely replace the on-premise</t>
  </si>
  <si>
    <t>Domos is a leading provider of technology-driven solutions for managing and administering alternative assets</t>
  </si>
  <si>
    <t>year-to-date revenue from front office solutions increasing materially relative to the prior year period</t>
  </si>
  <si>
    <t>Recent wins include the $89 billion University of Texas/Texas A&amp;M Investment Management Company</t>
  </si>
  <si>
    <t>particularly within private markets, where our technology and operational expertise have been consistent differentiators</t>
  </si>
  <si>
    <t>Wealth and investment management growth was 13%, driven by the acquisition of SIS, which more than offset a 3% decline in organic revenue growth, driven by lower license revenues.</t>
  </si>
  <si>
    <t>Wealth and investment management revenues grew 22%, driven by 5% organic growth and the impact of the SIS acquisition.</t>
  </si>
  <si>
    <t>we begin to try to work clients over to a SaaS model. That takes time.</t>
  </si>
  <si>
    <t>strong demand for Sentry, our market-leading private credit solution</t>
  </si>
  <si>
    <t>our win rate of 80%, GRR of 98%+, NPS of 60%+ are all testimony to that fact</t>
  </si>
  <si>
    <t>VKB, Germany's largest public insurer. We are replacing a leading legacy provider</t>
  </si>
  <si>
    <t>Our net revenue retention rate was 114% in Q1, which was a step down from the prior quarter's NRR of 116, as the AUM growth within our clients was less of a tailwind.</t>
  </si>
  <si>
    <t>Core NRR stands at 114%, with consolidated NRR at 110%</t>
  </si>
  <si>
    <t>Our net revenue retention rate was 108% in Q3, a slight decline from Q2's 110%, driven by a lower contribution from AUM growth and asset-based upsells</t>
  </si>
  <si>
    <t>The second element is price increases and commercial model alignment. At scale, we expect 4%-5% contribution in the long run. In the third quarter, we achieved just under 3% net increase across the entirety of the business.</t>
  </si>
  <si>
    <t>the target of that program is to roll out the new pricing model for all new clients starting January 1, 2026</t>
  </si>
  <si>
    <t>We believe that all clients will migrate to this architecture in the days and years ahead and are confident in our competitive position versus the legacy platforms most of our major competitors have.</t>
  </si>
  <si>
    <t>we have a single instance multitenant model with a single security master, our ability to deploy and use generative AI is just meaningfully different</t>
  </si>
  <si>
    <t>In this quarter, we saw a 70% increase in bookings for our core cross-sell modules, which include LPX, MLX, Prism, and Risk.</t>
  </si>
  <si>
    <t>the product we call MLX, but it's really mortgages, private credit, private debt</t>
  </si>
  <si>
    <t>Cites 'normal pricing headwinds'</t>
  </si>
  <si>
    <t>10-K FY2024, Item 1 (filed 3 Mar 2025)</t>
  </si>
  <si>
    <t>Analyst: lost FPDR to State Street insourcing; CEO: small impact</t>
  </si>
  <si>
    <t>Offers on-prem, hosted, multi-tenant or dedicated delivery</t>
  </si>
  <si>
    <t>SS&amp;C 10-K FY2024 business description</t>
  </si>
  <si>
    <t>William Stone, Chairman and CEO, SS&amp;C Technologies</t>
  </si>
  <si>
    <t>BlackRock management (unnamed in transcript)</t>
  </si>
  <si>
    <t>We offer clients the flexibility to choose from multiple software delivery options, including on premise applications and hosted, multi-tenant or dedicated applications.</t>
  </si>
  <si>
    <t>Moat tests behind the take-private thesis</t>
  </si>
  <si>
    <t>Each claim against the evidence for and against it in the filings and calls; scores are analyst judgment (1 weak to 5 strong); page numbers are PDF pages of drive copies</t>
  </si>
  <si>
    <t>SCORECARD</t>
  </si>
  <si>
    <t>Moat</t>
  </si>
  <si>
    <t>Single-instance platform</t>
  </si>
  <si>
    <t>Net revenue retention</t>
  </si>
  <si>
    <t>Switching costs</t>
  </si>
  <si>
    <t>Insurer and asset manager base</t>
  </si>
  <si>
    <t>Data and AI edge</t>
  </si>
  <si>
    <t>Average score</t>
  </si>
  <si>
    <t>MOAT DETAIL</t>
  </si>
  <si>
    <t>Item</t>
  </si>
  <si>
    <t>1. Single-instance, multi-tenant platform</t>
  </si>
  <si>
    <t>Claim</t>
  </si>
  <si>
    <t>For</t>
  </si>
  <si>
    <t>Against</t>
  </si>
  <si>
    <t>Verdict</t>
  </si>
  <si>
    <t>2. Net revenue retention</t>
  </si>
  <si>
    <t>3. Switching costs</t>
  </si>
  <si>
    <t>4. Insurer and asset manager base</t>
  </si>
  <si>
    <t>5. Data and AI edge</t>
  </si>
  <si>
    <t>SUPPORTING SCHEDULES</t>
  </si>
  <si>
    <t>A. Retention and ARR by quarter</t>
  </si>
  <si>
    <t>Quarter end</t>
  </si>
  <si>
    <t>Organic ARR, Q3'25</t>
  </si>
  <si>
    <t>Organic ARR growth</t>
  </si>
  <si>
    <t>B. Enfusion churn</t>
  </si>
  <si>
    <t>Quarter</t>
  </si>
  <si>
    <t>Q1'24</t>
  </si>
  <si>
    <t>Q2'24</t>
  </si>
  <si>
    <t>Q3'24</t>
  </si>
  <si>
    <t>Q4'24</t>
  </si>
  <si>
    <t>Q1'25</t>
  </si>
  <si>
    <t>Last four quarters</t>
  </si>
  <si>
    <t>Enfusion FY24 revenue (link)</t>
  </si>
  <si>
    <t>Churn % of revenue</t>
  </si>
  <si>
    <t>CWAN implied gross churn at Q3'25 GRR</t>
  </si>
  <si>
    <t>C. Market size and position</t>
  </si>
  <si>
    <t>Measure</t>
  </si>
  <si>
    <t>TAM, front-to-back</t>
  </si>
  <si>
    <t>Insurance TAM</t>
  </si>
  <si>
    <t>Hedge fund TAM</t>
  </si>
  <si>
    <t>CWAN revenue, 2025E</t>
  </si>
  <si>
    <t>CWAN share of TAM</t>
  </si>
  <si>
    <t>Assets on platform</t>
  </si>
  <si>
    <t>of which insurers</t>
  </si>
  <si>
    <t>of which asset managers</t>
  </si>
  <si>
    <t>of which corporations</t>
  </si>
  <si>
    <t>Insurers' share of assets</t>
  </si>
  <si>
    <t>Asset managers' share of assets</t>
  </si>
  <si>
    <t>High-grade fixed income share of assets</t>
  </si>
  <si>
    <t>TAM outside the US</t>
  </si>
  <si>
    <t>Revenue outside the US</t>
  </si>
  <si>
    <t>Holds on architecture; 'cloud-native' is no longer unique</t>
  </si>
  <si>
    <t>Weakening; recovery rests on repricing the acquired base</t>
  </si>
  <si>
    <t>Holds in behavior (98% GRR), not in contract</t>
  </si>
  <si>
    <t>Holds in US insurance; contested in asset management and abroad</t>
  </si>
  <si>
    <t>Unproven; the board treated AI as a risk to value</t>
  </si>
  <si>
    <t>Evidence</t>
  </si>
  <si>
    <t>Single instance, multi-tenant; 'no competitors' offer a cloud-native platform</t>
  </si>
  <si>
    <t>Every client enriches one security master (the 'Golden Copy')</t>
  </si>
  <si>
    <t>Daily data feeds aggregated</t>
  </si>
  <si>
    <t>Win rate in deals reaching proposal</t>
  </si>
  <si>
    <t>Core (ex-acquisition) organic revenue growth, Q2'25</t>
  </si>
  <si>
    <t>SS&amp;C organic growth, Q3'25 (link)</t>
  </si>
  <si>
    <t>BlackRock tech services ex-Preqin, Q3'25 (link)</t>
  </si>
  <si>
    <t>FIS Capital Markets revenue, Q3'25 (link)</t>
  </si>
  <si>
    <t>State Street front office software, Q3'25 (link)</t>
  </si>
  <si>
    <t>State Street books 50-70% of an on-prem sale up front: incumbents still sell licenses</t>
  </si>
  <si>
    <t>SS&amp;C institutional license revenue declined organically in 2023</t>
  </si>
  <si>
    <t>CEO: re-architecting an installed base is 'incredibly hard'</t>
  </si>
  <si>
    <t>SimCorp ARR growth at constant currency, Q3'25 (link)</t>
  </si>
  <si>
    <t>CWAN organic ARR growth, Q3'25 (schedule A)</t>
  </si>
  <si>
    <t>Aladdin is an 'end-to-end, SaaS solution' hosted on Microsoft Azure</t>
  </si>
  <si>
    <t>SimCorp SaaS revenue growth, Q3'25; on-prem -1% (link)</t>
  </si>
  <si>
    <t>State Street front office ARR growth as CRD clients move to SaaS (link)</t>
  </si>
  <si>
    <t>First post-signing 10-K drops the 'no cloud-native competitor' sentence</t>
  </si>
  <si>
    <t>Front office was bought (Enfusion, ~$1.5bn), not built</t>
  </si>
  <si>
    <t>Holds on architecture; rivals have closed the 'cloud' gap but not the single-master gap</t>
  </si>
  <si>
    <t>NRR above 100% since 2019; 110-116% through 2024; goal 115%</t>
  </si>
  <si>
    <t>NRR, Q4'24 (schedule A)</t>
  </si>
  <si>
    <t>Core NRR, Q2'25</t>
  </si>
  <si>
    <t>Cross-sell bookings growth, Q3'25 (link)</t>
  </si>
  <si>
    <t>Consolidated NRR, Q3'25 (schedule A)</t>
  </si>
  <si>
    <t>Change in NRR, Q4'24 to Q3'25</t>
  </si>
  <si>
    <t>Q3 decline driven by lower AUM growth and asset-based upsell</t>
  </si>
  <si>
    <t>Price uplift just under 3% vs 4-5% long-run contribution</t>
  </si>
  <si>
    <t>New commercial model reaches new clients only from 1 Jan 2026</t>
  </si>
  <si>
    <t>Weakening: consolidated NRR fell 8 points in three quarters as acquired books diluted the core</t>
  </si>
  <si>
    <t>98% or better gross retention in 26 of the last 27 quarters</t>
  </si>
  <si>
    <t>GRR at Q3'25, including acquired businesses</t>
  </si>
  <si>
    <t>SS&amp;C retention, Q2'25 (link): the whole industry is sticky</t>
  </si>
  <si>
    <t>FIS: Capital Markets attrition 'very low'</t>
  </si>
  <si>
    <t>Contracts cancellable on 30 days' notice without penalty</t>
  </si>
  <si>
    <t>Enfusion gross churn, Q2'24-Q1'25, % of FY24 revenue (schedule B)</t>
  </si>
  <si>
    <t>State Street client moved its front office to multi-platform</t>
  </si>
  <si>
    <t>CWAN itself replaced 'a leading legacy provider' at VKB: switching is doable</t>
  </si>
  <si>
    <t>Clients can build in-house; rivals have greater resources</t>
  </si>
  <si>
    <t>Holds in practice; the stickiness is behavioral and shared by every incumbent</t>
  </si>
  <si>
    <t>Insurers' assets on platform ($tn) of $8.8tn</t>
  </si>
  <si>
    <t>North American insurer penetration</t>
  </si>
  <si>
    <t>Insurance TAM after front-to-back expansion ($bn; was $2.8bn)</t>
  </si>
  <si>
    <t>VKB, Germany's largest public insurer, won from a legacy provider</t>
  </si>
  <si>
    <t>North American asset manager penetration: runway</t>
  </si>
  <si>
    <t>Insurers on Aladdin (link); BlackRock manages $700bn for insurers</t>
  </si>
  <si>
    <t>SS&amp;C Singularity 'winning large insurance companies'</t>
  </si>
  <si>
    <t>SimCorp signed AXA (French insurer)</t>
  </si>
  <si>
    <t>SS&amp;C lists Clearwater among its insurance competitors</t>
  </si>
  <si>
    <t>Insurance assets don't grow at the same pace'</t>
  </si>
  <si>
    <t>Revenue outside the US (46% of TAM is outside the US)</t>
  </si>
  <si>
    <t>Holds in US insurance; contested in asset management and outside the US</t>
  </si>
  <si>
    <t>AI agents on the platform; single security master trains agents faster</t>
  </si>
  <si>
    <t>Clients cite 90% less manual reconciliation effort</t>
  </si>
  <si>
    <t>Management linked the share-price decline to AI's impact on the industry</t>
  </si>
  <si>
    <t>Share price at 29 Oct 2025, down from $32.79 on 7 Nov 2024</t>
  </si>
  <si>
    <t>Special Committee listed AI among risks to the stand-alone plan</t>
  </si>
  <si>
    <t>SS&amp;C sold its first AI agent to an insurer</t>
  </si>
  <si>
    <t>Unproven; the board treated AI as a risk, not a moat</t>
  </si>
  <si>
    <t>10-K FY2024 p77-78</t>
  </si>
  <si>
    <t>Q1'25 call pdf p6</t>
  </si>
  <si>
    <t>Q2'25 call pdf p2, p5</t>
  </si>
  <si>
    <t>Q3'25 release p2</t>
  </si>
  <si>
    <t>vs ARR at Q3'24</t>
  </si>
  <si>
    <t>Q1'25 call pdf p14</t>
  </si>
  <si>
    <t>Q3'25 call pdf p2</t>
  </si>
  <si>
    <t>Investor Day pdf p9</t>
  </si>
  <si>
    <t>DEFM14A p78</t>
  </si>
  <si>
    <t>Calculated</t>
  </si>
  <si>
    <t>10-K FY2024 p11</t>
  </si>
  <si>
    <t>10-K FY2024 p19</t>
  </si>
  <si>
    <t>10-K FY2024 p73</t>
  </si>
  <si>
    <t>10-K FY2024 p21</t>
  </si>
  <si>
    <t>Score</t>
  </si>
  <si>
    <t>Metric</t>
  </si>
  <si>
    <t>Churn low ($M)</t>
  </si>
  <si>
    <t>Value</t>
  </si>
  <si>
    <t>Trend</t>
  </si>
  <si>
    <t>Narrowing</t>
  </si>
  <si>
    <t>Weakening</t>
  </si>
  <si>
    <t>Holding</t>
  </si>
  <si>
    <t>Unproven</t>
  </si>
  <si>
    <t>feeds</t>
  </si>
  <si>
    <t>pts</t>
  </si>
  <si>
    <t>GRR</t>
  </si>
  <si>
    <t>retention</t>
  </si>
  <si>
    <t>% of revenue</t>
  </si>
  <si>
    <t>$tn</t>
  </si>
  <si>
    <t>penetration</t>
  </si>
  <si>
    <t>$bn</t>
  </si>
  <si>
    <t>insurers</t>
  </si>
  <si>
    <t>agents</t>
  </si>
  <si>
    <t>$/share</t>
  </si>
  <si>
    <t>Churn high ($M)</t>
  </si>
  <si>
    <t>$M</t>
  </si>
  <si>
    <t>%</t>
  </si>
  <si>
    <t>Decisive evidence</t>
  </si>
  <si>
    <t>Rivals now sell SaaS; none claims one security master</t>
  </si>
  <si>
    <t>NRR 116% (Q4'24) to 108% (Q3'25)</t>
  </si>
  <si>
    <t>GRR 98% vs 30-day cancellation terms</t>
  </si>
  <si>
    <t>31% NA insurer vs 4% AM penetration</t>
  </si>
  <si>
    <t>Board cited AI in the share-price decline</t>
  </si>
  <si>
    <t>10-K FY2024 p11, p21; IPO prospectus p127</t>
  </si>
  <si>
    <t>10-K FY2024 p12</t>
  </si>
  <si>
    <t>Q2'25 call pdf p2</t>
  </si>
  <si>
    <t>Rival calls</t>
  </si>
  <si>
    <t>Landscape</t>
  </si>
  <si>
    <t>STT 10-K FY2024 revenue note</t>
  </si>
  <si>
    <t>SSNC 10-K FY2024 Item 7</t>
  </si>
  <si>
    <t>Investor Day pdf p31</t>
  </si>
  <si>
    <t>Q3'25 release p2; 10-K FY2024 p77</t>
  </si>
  <si>
    <t>BLK 10-K FY2024 Item 1, Item 1A</t>
  </si>
  <si>
    <t>10-K FY2025 p23</t>
  </si>
  <si>
    <t>Enfusion deal release p1; DEFM14A p87</t>
  </si>
  <si>
    <t>10-K FY2024 p12, p73</t>
  </si>
  <si>
    <t>10-K FY2024 p78</t>
  </si>
  <si>
    <t>Q3'25 call pdf p5</t>
  </si>
  <si>
    <t>Q3'25 call pdf p6</t>
  </si>
  <si>
    <t>Q3'25 call pdf p10</t>
  </si>
  <si>
    <t>Q3'25 call pdf p5; 10-K FY2024 p12</t>
  </si>
  <si>
    <t>FIS Q2'25 call</t>
  </si>
  <si>
    <t>Q1'25 call pdf p14; merger prospectus p162</t>
  </si>
  <si>
    <t>STT Q2'25 call</t>
  </si>
  <si>
    <t>Q2'25 call pdf p3</t>
  </si>
  <si>
    <t>10-K FY2024 p30</t>
  </si>
  <si>
    <t>10-K FY2024 p19, p11</t>
  </si>
  <si>
    <t>SSNC Q2'25 call</t>
  </si>
  <si>
    <t>DB1 Q2'25 call</t>
  </si>
  <si>
    <t>SSNC 10-K FY2024 Item 1</t>
  </si>
  <si>
    <t>Investor Day pdf p10</t>
  </si>
  <si>
    <t>Q3'25 release p1; Q3'25 call pdf p13</t>
  </si>
  <si>
    <t>Q3'25 release p1</t>
  </si>
  <si>
    <t>DEFM14A p42</t>
  </si>
  <si>
    <t>DEFM14A p46</t>
  </si>
  <si>
    <t>DEFM14A p70</t>
  </si>
  <si>
    <t>ARR ($M)</t>
  </si>
  <si>
    <t>Read</t>
  </si>
  <si>
    <t>&lt;&lt; Matches CWAN organic ARR growth below</t>
  </si>
  <si>
    <t>&lt;&lt; Post-signing evidence</t>
  </si>
  <si>
    <t>DEFM14A Background of the Merger as an industry map</t>
  </si>
  <si>
    <t>Pre-signing market check (Nov-Dec 2025) and go-shop (22 Dec 2025 to 23 Jan 2026); parties as the proxy names them; page numbers are DEFM14A PDF pages (printed page = PDF page less 12)</t>
  </si>
  <si>
    <t>PROCESS FUNNEL</t>
  </si>
  <si>
    <t>Stage</t>
  </si>
  <si>
    <t>2020 recapitalization</t>
  </si>
  <si>
    <t>2023 market check</t>
  </si>
  <si>
    <t>2025 process, ex-Consortium</t>
  </si>
  <si>
    <t>of which go-shop</t>
  </si>
  <si>
    <t>of which pre-signing</t>
  </si>
  <si>
    <t>Pre-signing NDAs per proxy</t>
  </si>
  <si>
    <t>Difference</t>
  </si>
  <si>
    <t>Go-shop sponsors contacted</t>
  </si>
  <si>
    <t>Go-shop strategics contacted</t>
  </si>
  <si>
    <t>PARTY LOG</t>
  </si>
  <si>
    <t>Party</t>
  </si>
  <si>
    <t>Warburg Pincus</t>
  </si>
  <si>
    <t>Permira</t>
  </si>
  <si>
    <t>Temasek</t>
  </si>
  <si>
    <t>Francisco Partners</t>
  </si>
  <si>
    <t>Welsh Carson</t>
  </si>
  <si>
    <t>Sponsor Party A</t>
  </si>
  <si>
    <t>Sponsor Party B</t>
  </si>
  <si>
    <t>Sponsor Party C</t>
  </si>
  <si>
    <t>Sponsor Party D</t>
  </si>
  <si>
    <t>Strategic Party A</t>
  </si>
  <si>
    <t>Strategic Party B</t>
  </si>
  <si>
    <t>Strategic Party C</t>
  </si>
  <si>
    <t>Strategic Party D</t>
  </si>
  <si>
    <t>Unnamed competitor</t>
  </si>
  <si>
    <t>Go-Shop Party A</t>
  </si>
  <si>
    <t>Go-Shop Party B</t>
  </si>
  <si>
    <t>Go-Shop Party C</t>
  </si>
  <si>
    <t>Go-Shop Party D</t>
  </si>
  <si>
    <t>Go-Shop Party E</t>
  </si>
  <si>
    <t>Go-Shop Party F</t>
  </si>
  <si>
    <t>BY BUYER TYPE</t>
  </si>
  <si>
    <t>Type</t>
  </si>
  <si>
    <t>Strategics</t>
  </si>
  <si>
    <t>Sponsors</t>
  </si>
  <si>
    <t>Sovereign</t>
  </si>
  <si>
    <t>PRICE PATH</t>
  </si>
  <si>
    <t>Date</t>
  </si>
  <si>
    <t>TERMS, FINANCING AND VALUATION MARKERS</t>
  </si>
  <si>
    <t>Company termination fee</t>
  </si>
  <si>
    <t>Go-shop termination fee</t>
  </si>
  <si>
    <t>Reverse termination fee</t>
  </si>
  <si>
    <t>Committed debt</t>
  </si>
  <si>
    <t>Debt / 2026E EBITDA</t>
  </si>
  <si>
    <t>Debt pricing</t>
  </si>
  <si>
    <t>TEV at $24.25 IOI</t>
  </si>
  <si>
    <t>TEV / 2026E revenue at $24.25</t>
  </si>
  <si>
    <t>TEV / 2026E adj. EBITDA at $24.25</t>
  </si>
  <si>
    <t>SimCorp to Deutsche Börse, May-23</t>
  </si>
  <si>
    <t>SimCorp FV / NTM revenue</t>
  </si>
  <si>
    <t>SimCorp FV / NTM EBITDA</t>
  </si>
  <si>
    <t>Enfusion to CWAN, Jan-25</t>
  </si>
  <si>
    <t>Enfusion FV / NTM revenue</t>
  </si>
  <si>
    <t>Sponsor required return (JPM screen)</t>
  </si>
  <si>
    <t>Management revenue CAGR 2025-30</t>
  </si>
  <si>
    <t>Management revenue growth 2026</t>
  </si>
  <si>
    <t>WHAT THE PROCESS SAYS: STRATEGICS VS SPONSORS</t>
  </si>
  <si>
    <t>Signal</t>
  </si>
  <si>
    <t>No strategic bid</t>
  </si>
  <si>
    <t>Strategics' reasons</t>
  </si>
  <si>
    <t>Sponsors capped by capital</t>
  </si>
  <si>
    <t>Insiders set the price</t>
  </si>
  <si>
    <t>Process kept narrow</t>
  </si>
  <si>
    <t>Valuation discipline</t>
  </si>
  <si>
    <t>Scope</t>
  </si>
  <si>
    <t>Two-round sponsor auction (WP and Permira invested)</t>
  </si>
  <si>
    <t>Fall 2023; 3 strategics and 1 sponsor signed NDAs</t>
  </si>
  <si>
    <t>Pre-signing check plus go-shop</t>
  </si>
  <si>
    <t>20 sponsors and 24 strategics contacted</t>
  </si>
  <si>
    <t>Calculated: 2025 process less go-shop</t>
  </si>
  <si>
    <t>Cross-check to the six NDAs listed on p53</t>
  </si>
  <si>
    <t>Calculated less listed</t>
  </si>
  <si>
    <t>Sponsor (former owner)</t>
  </si>
  <si>
    <t>Sovereign investor</t>
  </si>
  <si>
    <t>Sponsor</t>
  </si>
  <si>
    <t>Strategic</t>
  </si>
  <si>
    <t>Strategic (software)</t>
  </si>
  <si>
    <t>Basis</t>
  </si>
  <si>
    <t>Counts from the party log</t>
  </si>
  <si>
    <t>Proposal</t>
  </si>
  <si>
    <t>Unaffected close, 10 Nov 2025</t>
  </si>
  <si>
    <t>Consortium IOI</t>
  </si>
  <si>
    <t>Sponsor Party A IOI, low</t>
  </si>
  <si>
    <t>Sponsor Party A IOI, high</t>
  </si>
  <si>
    <t>Consortium</t>
  </si>
  <si>
    <t>Special Committee counter</t>
  </si>
  <si>
    <t>Special Committee counter, accepted</t>
  </si>
  <si>
    <t>Reported premium of signed price to unaffected</t>
  </si>
  <si>
    <t>Difference (calculated less reported)</t>
  </si>
  <si>
    <t>Sponsor Party A midpoint discount to signed price</t>
  </si>
  <si>
    <t>Detail</t>
  </si>
  <si>
    <t>Of transaction equity value</t>
  </si>
  <si>
    <t>Qualifying go-shop deal</t>
  </si>
  <si>
    <t>Payable by Parent incl. financing failure</t>
  </si>
  <si>
    <t>Goldman Sachs commitment</t>
  </si>
  <si>
    <t>At signing structure</t>
  </si>
  <si>
    <t>Spread over SOFR</t>
  </si>
  <si>
    <t>Management case</t>
  </si>
  <si>
    <t>Pre-SBC, management case</t>
  </si>
  <si>
    <t>Transaction value</t>
  </si>
  <si>
    <t>At announcement</t>
  </si>
  <si>
    <t>Five-year IRR in ability-to-pay test</t>
  </si>
  <si>
    <t>Financial Forecasts</t>
  </si>
  <si>
    <t>4 strategics approached pre-signing, 2 NDAs, 0 bids; 24 in go-shop, 1 NDA</t>
  </si>
  <si>
    <t>Size, competing priorities, select assets only, strategic and commercial fit</t>
  </si>
  <si>
    <t>Sponsors B, C and D cited capital or financing limits; A bid $20-22</t>
  </si>
  <si>
    <t>WP and Permira ran Bain and BCG work and held board seats</t>
  </si>
  <si>
    <t>Leak on 11 Nov 2025; outreach deferred on competitive concerns</t>
  </si>
  <si>
    <t>Signed at 8.9x 2026E revenue vs ~6x SimCorp and Enfusion</t>
  </si>
  <si>
    <t>Contacted</t>
  </si>
  <si>
    <t>Phase</t>
  </si>
  <si>
    <t>Pre-process</t>
  </si>
  <si>
    <t>Pre-signing</t>
  </si>
  <si>
    <t>2023 check, pre-signing</t>
  </si>
  <si>
    <t>Identified, not approached</t>
  </si>
  <si>
    <t>Go-shop</t>
  </si>
  <si>
    <t>Named parties</t>
  </si>
  <si>
    <t>NDAs</t>
  </si>
  <si>
    <t>First contact</t>
  </si>
  <si>
    <t>Premium</t>
  </si>
  <si>
    <t>x</t>
  </si>
  <si>
    <t>bps</t>
  </si>
  <si>
    <t>Mgmt pres.</t>
  </si>
  <si>
    <t>NDA</t>
  </si>
  <si>
    <t>Joinder</t>
  </si>
  <si>
    <t>Proposals</t>
  </si>
  <si>
    <t>Bids</t>
  </si>
  <si>
    <t>Low $/sh</t>
  </si>
  <si>
    <t>High $/sh</t>
  </si>
  <si>
    <t>Outcome</t>
  </si>
  <si>
    <t>Signed 20 Dec 2025</t>
  </si>
  <si>
    <t>Joined as equity</t>
  </si>
  <si>
    <t>Declined 25 Sep 2025</t>
  </si>
  <si>
    <t>IOI 14 Dec 2025, not competitive</t>
  </si>
  <si>
    <t>Declined 7 Dec 2025</t>
  </si>
  <si>
    <t>Financing support only</t>
  </si>
  <si>
    <t>Declined 12 Dec 2025</t>
  </si>
  <si>
    <t>Declined 19 Nov 2025</t>
  </si>
  <si>
    <t>Declined 10 Dec 2025</t>
  </si>
  <si>
    <t>Declined 24 Nov 2025</t>
  </si>
  <si>
    <t>Out</t>
  </si>
  <si>
    <t>Declined 14 Jan 2026</t>
  </si>
  <si>
    <t>Declined 23 Jan 2026</t>
  </si>
  <si>
    <t>Declined 15 Jan 2026</t>
  </si>
  <si>
    <t>Declined 21 Jan 2026</t>
  </si>
  <si>
    <t>Declined 13 Jan 2026</t>
  </si>
  <si>
    <t>Stated reason</t>
  </si>
  <si>
    <t>Lead; former owner with board seat</t>
  </si>
  <si>
    <t>Raised a take-private on 1 Aug 2025</t>
  </si>
  <si>
    <t>Potential client, investor and equity source</t>
  </si>
  <si>
    <t>Unwilling to bid alone; equity only for WP/Permira</t>
  </si>
  <si>
    <t>Not interested</t>
  </si>
  <si>
    <t>Unlikely to credibly exceed Consortium</t>
  </si>
  <si>
    <t>Capital constraints; not competitive</t>
  </si>
  <si>
    <t>Capital constraints; LP only up to $24.00</t>
  </si>
  <si>
    <t>Financing constraints</t>
  </si>
  <si>
    <t>Company's size; competing priorities</t>
  </si>
  <si>
    <t>Strategic and commercial considerations</t>
  </si>
  <si>
    <t>Interested only in select assets</t>
  </si>
  <si>
    <t>In exclusive talks for another target</t>
  </si>
  <si>
    <t>Competing priorities</t>
  </si>
  <si>
    <t>None given</t>
  </si>
  <si>
    <t>Transaction value; financing constraints</t>
  </si>
  <si>
    <t>Value, size, strategic and commercial</t>
  </si>
  <si>
    <t>p40</t>
  </si>
  <si>
    <t>p41</t>
  </si>
  <si>
    <t>p67-68</t>
  </si>
  <si>
    <t>p64-65</t>
  </si>
  <si>
    <t>p53</t>
  </si>
  <si>
    <t>p64</t>
  </si>
  <si>
    <t>p42, p47, p61</t>
  </si>
  <si>
    <t>p41, p47, p61</t>
  </si>
  <si>
    <t>p44, p47-48</t>
  </si>
  <si>
    <t>p51, p53</t>
  </si>
  <si>
    <t>p44</t>
  </si>
  <si>
    <t>p45, p53, p55, p58, p60</t>
  </si>
  <si>
    <t>p51, p53, p55, p57</t>
  </si>
  <si>
    <t>p41, p52, p54, p56, p60</t>
  </si>
  <si>
    <t>p52, p55, p57</t>
  </si>
  <si>
    <t>p51-52</t>
  </si>
  <si>
    <t>p41, p54, p56, p57</t>
  </si>
  <si>
    <t>p41, p52, p55, p57</t>
  </si>
  <si>
    <t>p54</t>
  </si>
  <si>
    <t>p43, p64-65</t>
  </si>
  <si>
    <t>p65</t>
  </si>
  <si>
    <t>Party log</t>
  </si>
  <si>
    <t>p61</t>
  </si>
  <si>
    <t>p45</t>
  </si>
  <si>
    <t>p58</t>
  </si>
  <si>
    <t>p59</t>
  </si>
  <si>
    <t>p60</t>
  </si>
  <si>
    <t>DEFM14A p60</t>
  </si>
  <si>
    <t>PJT IOI summary pdf p2</t>
  </si>
  <si>
    <t>PJT IOI summary pdf p3</t>
  </si>
  <si>
    <t>JPM 29-Oct-25 deck pdf p13</t>
  </si>
  <si>
    <t>JPM 29-Oct-25 deck pdf p10</t>
  </si>
  <si>
    <t>p51-57, p64</t>
  </si>
  <si>
    <t>p52-57, p64</t>
  </si>
  <si>
    <t>p52-58</t>
  </si>
  <si>
    <t>JPM deck pdf p3; DEFM14A p75</t>
  </si>
  <si>
    <t>p49, p52</t>
  </si>
  <si>
    <t>PJT pdf p3; JPM pdf p13</t>
  </si>
  <si>
    <t>&lt;&lt; Same sponsor universe reappeared in 2025</t>
  </si>
  <si>
    <t>&lt;&lt; Strategic B and D and Sponsor C looked twice</t>
  </si>
  <si>
    <t>&lt;&lt; One non-Consortium bid in 52 contacts</t>
  </si>
  <si>
    <t>&lt;&lt; Insider: two months of outside-in work before the 23 Oct offer</t>
  </si>
  <si>
    <t>&lt;&lt; No longer a holder when it approached</t>
  </si>
  <si>
    <t>&lt;&lt; Removed a potential rival bidder</t>
  </si>
  <si>
    <t>&lt;&lt; Named in derivative suit; recused</t>
  </si>
  <si>
    <t>&lt;&lt; Only rival bid: 9-19% below Consortium</t>
  </si>
  <si>
    <t>&lt;&lt; Ceiling below the $24.55 signed price</t>
  </si>
  <si>
    <t>&lt;&lt; Also called JPM inbound after the leak</t>
  </si>
  <si>
    <t>&lt;&lt; No follow-up diligence after mgmt pres.</t>
  </si>
  <si>
    <t>&lt;&lt; Carve-out interest only</t>
  </si>
  <si>
    <t>&lt;&lt; Busy with its own acquisition</t>
  </si>
  <si>
    <t>&lt;&lt; Met CEO in Sep-Oct 2025 before the offer</t>
  </si>
  <si>
    <t>&lt;&lt; Below its own October price</t>
  </si>
  <si>
    <t>&lt;&lt; Signed price</t>
  </si>
  <si>
    <t>Sponsor Party C ceiling as financing source</t>
  </si>
  <si>
    <t>Signed 20 Dec 2025 (bid with WP)</t>
  </si>
  <si>
    <t>&lt;&lt; Only rival bid: 10-19% below the signed price</t>
  </si>
  <si>
    <t>&lt;&lt; Would not fund above $24.00</t>
  </si>
  <si>
    <t>Consortium IOI at 8.9x 2026E revenue vs ~6x NTM for SimCorp and Enfusion</t>
  </si>
  <si>
    <t>Alpha mandates won in 9M25 (Rival calls)</t>
  </si>
  <si>
    <t>&lt;&lt; Of four rival 10-Ks read, only SS&amp;C names CWAN (insurance)</t>
  </si>
  <si>
    <t>&lt;&lt; Named in every CWAN filing; no figures disclosed</t>
  </si>
  <si>
    <t>CEO: 'insurance assets don't grow at the same pace'</t>
  </si>
  <si>
    <t>asset managers, PE, brokers, insurers</t>
  </si>
  <si>
    <t>Counts of 'Yes'; DEFM14A column counts peer and precedent references</t>
  </si>
  <si>
    <t>Low ($M)</t>
  </si>
  <si>
    <t>High ($M)</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</si>
</sst>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0.0"/>
    <numFmt numFmtId="165" formatCode="0.0%;(0.0%)"/>
    <numFmt numFmtId="166" formatCode="&quot;FY&quot;yyyy&quot;A&quot;"/>
    <numFmt numFmtId="167" formatCode="&quot;Q3'&quot;yy"/>
    <numFmt numFmtId="168" formatCode="0.0%"/>
    <numFmt numFmtId="169" formatCode="0.0&quot;x&quot;"/>
    <numFmt numFmtId="170" formatCode="0.0"/>
    <numFmt numFmtId="171" formatCode="$#,##0.00"/>
    <numFmt numFmtId="172" formatCode="d mmm yy"/>
    <numFmt numFmtId="173" formatCode="0.0;(0.0)"/>
  </numFmts>
  <fonts count="19">
    <font>
      <sz val="10"/>
      <color rgb="FF000000"/>
      <name val="Arial"/>
      <family val="2"/>
    </font>
    <font>
      <b/>
      <sz val="10"/>
      <color rgb="FF000000"/>
      <name val="Arial"/>
      <family val="2"/>
    </font>
    <font>
      <b/>
      <sz val="14"/>
      <color rgb="FF000000"/>
      <name val="Arial"/>
      <family val="2"/>
    </font>
    <font>
      <b/>
      <sz val="14"/>
      <color rgb="FF002060"/>
      <name val="Arial"/>
      <family val="2"/>
    </font>
    <font>
      <i/>
      <sz val="10"/>
      <color rgb="FF000000"/>
      <name val="Arial"/>
      <family val="2"/>
    </font>
    <font>
      <i/>
      <sz val="10"/>
      <color rgb="FF646464"/>
      <name val="Arial"/>
      <family val="2"/>
    </font>
    <font>
      <sz val="10"/>
      <color rgb="FFFFFFFF"/>
      <name val="Arial"/>
      <family val="2"/>
    </font>
    <font>
      <b/>
      <sz val="10"/>
      <color rgb="FFFFFFFF"/>
      <name val="Arial"/>
      <family val="2"/>
    </font>
    <font>
      <b/>
      <u val="singleAccounting"/>
      <sz val="10"/>
      <color rgb="FF000000"/>
      <name val="Arial"/>
      <family val="2"/>
    </font>
    <font>
      <sz val="10"/>
      <color rgb="FF0000FF"/>
      <name val="Arial"/>
      <family val="2"/>
    </font>
    <font>
      <b/>
      <i/>
      <sz val="10"/>
      <color rgb="FF000000"/>
      <name val="Arial"/>
      <family val="2"/>
    </font>
    <font>
      <b/>
      <i/>
      <sz val="10"/>
      <color rgb="FF646464"/>
      <name val="Arial"/>
      <family val="2"/>
    </font>
    <font>
      <b/>
      <sz val="10"/>
      <color rgb="FF646464"/>
      <name val="Arial"/>
      <family val="2"/>
    </font>
    <font>
      <sz val="10"/>
      <color rgb="FF002060"/>
      <name val="Arial"/>
      <family val="2"/>
    </font>
    <font>
      <b/>
      <sz val="10"/>
      <color rgb="FF002060"/>
      <name val="Arial"/>
      <family val="2"/>
    </font>
    <font>
      <b/>
      <i/>
      <sz val="10"/>
      <color rgb="FF002060"/>
      <name val="Arial"/>
      <family val="2"/>
    </font>
    <font>
      <sz val="10"/>
      <color rgb="FF008000"/>
      <name val="Arial"/>
      <family val="2"/>
    </font>
    <font>
      <b/>
      <sz val="10"/>
      <color rgb="FF0000FF"/>
      <name val="Arial"/>
      <family val="2"/>
    </font>
    <font>
      <b/>
      <i/>
      <sz val="10"/>
      <color rgb="FFFFFFFF"/>
      <name val="Arial"/>
      <family val="2"/>
    </font>
  </fonts>
  <fills count="5">
    <fill>
      <patternFill patternType="none"/>
    </fill>
    <fill>
      <patternFill patternType="gray125"/>
    </fill>
    <fill>
      <patternFill patternType="solid">
        <fgColor rgb="FF002060"/>
        <bgColor indexed="64"/>
      </patternFill>
    </fill>
    <fill>
      <patternFill patternType="solid">
        <fgColor rgb="FFB4C6E7"/>
        <bgColor indexed="64"/>
      </patternFill>
    </fill>
    <fill>
      <patternFill patternType="solid">
        <fgColor rgb="FFFFFFE0"/>
        <bgColor indexed="64"/>
      </patternFill>
    </fill>
  </fills>
  <borders count="3">
    <border>
      <left/>
      <right/>
      <top/>
      <bottom/>
      <diagonal/>
    </border>
    <border>
      <left/>
      <right/>
      <top/>
      <bottom style="thin"/>
      <diagonal/>
    </border>
    <border>
      <left/>
      <right/>
      <top style="thin"/>
      <bottom/>
      <diagonal/>
    </border>
  </borders>
  <cellStyleXfs count="1">
    <xf borderId="0" fillId="0" fontId="0" numFmtId="0" applyAlignment="1" applyFont="1" applyFill="1"/>
  </cellStyleXfs>
  <cellXfs count="52">
    <xf xfId="0" borderId="0" fillId="0" fontId="0" numFmtId="0"/>
    <xf xfId="0" borderId="0" fillId="0" fontId="0" numFmtId="0" applyAlignment="1"/>
    <xf xfId="0" borderId="0" fillId="0" fontId="1" numFmtId="0" applyAlignment="1" applyFont="1"/>
    <xf xfId="0" borderId="0" fillId="0" fontId="3" numFmtId="0" applyAlignment="1" applyFont="1"/>
    <xf xfId="0" borderId="0" fillId="0" fontId="4" numFmtId="0" applyAlignment="1" applyFont="1"/>
    <xf xfId="0" borderId="0" fillId="0" fontId="5" numFmtId="0" applyAlignment="1" applyFont="1"/>
    <xf xfId="0" borderId="0" fillId="0" fontId="0" numFmtId="164" applyAlignment="1"/>
    <xf xfId="0" borderId="0" fillId="0" fontId="0" numFmtId="165" applyAlignment="1"/>
    <xf xfId="0" borderId="0" fillId="0" fontId="0" numFmtId="3" applyAlignment="1"/>
    <xf xfId="0" borderId="0" fillId="2" fontId="7" numFmtId="0" applyAlignment="1" applyFont="1" applyFill="1"/>
    <xf xfId="0" borderId="1" fillId="0" fontId="1" numFmtId="0" applyAlignment="1" applyFont="1"/>
    <xf xfId="0" borderId="2" fillId="0" fontId="1" numFmtId="0" applyAlignment="1" applyFont="1"/>
    <xf xfId="0" borderId="0" fillId="0" fontId="8" numFmtId="0" applyAlignment="1" applyFont="1">
      <alignment horizontal="centerContinuous"/>
    </xf>
    <xf xfId="0" borderId="1" fillId="0" fontId="1" numFmtId="0" applyAlignment="1" applyFont="1">
      <alignment horizontal="center"/>
    </xf>
    <xf xfId="0" borderId="0" fillId="0" fontId="0" numFmtId="0" applyAlignment="1">
      <alignment horizontal="center"/>
    </xf>
    <xf xfId="0" borderId="2" fillId="0" fontId="1" numFmtId="3" applyAlignment="1" applyFont="1">
      <alignment horizontal="center"/>
    </xf>
    <xf xfId="0" borderId="0" fillId="0" fontId="9" numFmtId="164" applyAlignment="1" applyFont="1"/>
    <xf xfId="0" borderId="0" fillId="0" fontId="9" numFmtId="3" applyAlignment="1" applyFont="1"/>
    <xf xfId="0" borderId="0" fillId="0" fontId="9" numFmtId="165" applyAlignment="1" applyFont="1"/>
    <xf xfId="0" borderId="2" fillId="0" fontId="11" numFmtId="0" applyAlignment="1" applyFont="1"/>
    <xf xfId="0" borderId="0" fillId="0" fontId="0" numFmtId="0" quotePrefix="1" applyAlignment="1"/>
    <xf xfId="0" borderId="0" fillId="0" fontId="0" numFmtId="168" applyAlignment="1"/>
    <xf xfId="0" borderId="0" fillId="0" fontId="0" numFmtId="9" applyAlignment="1"/>
    <xf xfId="0" borderId="0" fillId="3" fontId="14" numFmtId="0" applyAlignment="1" applyFont="1" applyFill="1"/>
    <xf xfId="0" borderId="0" fillId="3" fontId="15" numFmtId="0" applyAlignment="1" applyFont="1" applyFill="1"/>
    <xf xfId="0" borderId="0" fillId="0" fontId="9" numFmtId="168" applyAlignment="1" applyFont="1"/>
    <xf xfId="0" borderId="0" fillId="0" fontId="9" numFmtId="169" applyAlignment="1" applyFont="1"/>
    <xf xfId="0" borderId="0" fillId="0" fontId="9" numFmtId="9" applyAlignment="1" applyFont="1"/>
    <xf xfId="0" borderId="0" fillId="0" fontId="0" numFmtId="171" applyAlignment="1"/>
    <xf xfId="0" borderId="0" fillId="0" fontId="0" numFmtId="17" applyAlignment="1"/>
    <xf xfId="0" borderId="2" fillId="0" fontId="1" numFmtId="164" applyAlignment="1" applyFont="1"/>
    <xf xfId="0" borderId="0" fillId="0" fontId="4" numFmtId="168" applyAlignment="1" applyFont="1"/>
    <xf xfId="0" borderId="2" fillId="0" fontId="1" numFmtId="170" applyAlignment="1" applyFont="1">
      <alignment horizontal="center"/>
    </xf>
    <xf xfId="0" borderId="2" fillId="0" fontId="1" numFmtId="0" applyAlignment="1" applyFont="1">
      <alignment horizontal="center"/>
    </xf>
    <xf xfId="0" borderId="0" fillId="0" fontId="16" numFmtId="168" applyAlignment="1" applyFont="1"/>
    <xf xfId="0" borderId="0" fillId="0" fontId="16" numFmtId="9" applyAlignment="1" applyFont="1"/>
    <xf xfId="0" borderId="0" fillId="0" fontId="17" numFmtId="170" applyAlignment="1" applyFont="1"/>
    <xf xfId="0" borderId="0" fillId="0" fontId="9" numFmtId="170" applyAlignment="1" applyFont="1"/>
    <xf xfId="0" borderId="0" fillId="0" fontId="16" numFmtId="3" applyAlignment="1" applyFont="1"/>
    <xf xfId="0" borderId="0" fillId="0" fontId="17" numFmtId="3" applyAlignment="1" applyFont="1"/>
    <xf xfId="0" borderId="0" fillId="0" fontId="9" numFmtId="171" applyAlignment="1" applyFont="1"/>
    <xf xfId="0" borderId="0" fillId="0" fontId="16" numFmtId="164" applyAlignment="1" applyFont="1"/>
    <xf xfId="0" borderId="0" fillId="2" fontId="18" numFmtId="0" applyAlignment="1" applyFont="1" applyFill="1"/>
    <xf xfId="0" borderId="0" fillId="3" fontId="11" numFmtId="0" applyAlignment="1" applyFont="1" applyFill="1"/>
    <xf xfId="0" borderId="0" fillId="0" fontId="11" numFmtId="0" applyAlignment="1" applyFont="1"/>
    <xf xfId="0" borderId="0" fillId="4" fontId="9" numFmtId="170" applyAlignment="1" applyFont="1" applyFill="1">
      <alignment horizontal="center"/>
    </xf>
    <xf xfId="0" borderId="0" fillId="0" fontId="0" numFmtId="172" applyAlignment="1"/>
    <xf xfId="0" borderId="2" fillId="0" fontId="17" numFmtId="3" applyAlignment="1" applyFont="1"/>
    <xf xfId="0" borderId="0" fillId="0" fontId="9" numFmtId="10" applyAlignment="1" applyFont="1"/>
    <xf xfId="0" borderId="1" fillId="0" fontId="8" numFmtId="166" applyAlignment="1" applyFont="1">
      <alignment horizontal="center"/>
    </xf>
    <xf xfId="0" borderId="1" fillId="0" fontId="8" numFmtId="167" applyAlignment="1" applyFont="1">
      <alignment horizontal="center"/>
    </xf>
    <xf xfId="0" borderId="0" fillId="0" fontId="0" numFmtId="173" applyAlignme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 Id="rId6" Type="http://schemas.openxmlformats.org/officeDocument/2006/relationships/sharedStrings" Target="sharedStrings.xml"/><Relationship Id="rId7"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comments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commentsDrawing2.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commentsDrawing3.vml"/></Relationships>
</file>

<file path=xl/worksheets/_rels/sheet4.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comments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W24"/>
  <sheetViews>
    <sheetView showGridLines="0" tabSelected="1" workbookViewId="0">
      <pane ySplit="7" topLeftCell="A8" activePane="bottomLeft" state="frozen"/>
      <selection pane="bottomLeft" activeCell="A1" sqref="A1"/>
    </sheetView>
  </sheetViews>
  <cols>
    <col min="1" max="1" width="2" customWidth="1"/>
    <col min="2" max="2" width="24" customWidth="1"/>
    <col min="3" max="3" width="46" customWidth="1"/>
    <col min="4" max="4" width="36" customWidth="1"/>
    <col min="5" max="7" width="9" customWidth="1"/>
    <col min="8" max="8" width="10" customWidth="1"/>
    <col min="9" max="9" width="5" customWidth="1"/>
    <col min="10" max="10" width="30" customWidth="1"/>
    <col min="11" max="12" width="10" customWidth="1"/>
    <col min="13" max="13" width="8" customWidth="1"/>
    <col min="14" max="15" width="10" customWidth="1"/>
    <col min="16" max="16" width="8" customWidth="1"/>
    <col min="17" max="17" width="10" customWidth="1"/>
    <col min="18" max="18" width="8" customWidth="1"/>
    <col min="19" max="19" width="28" customWidth="1"/>
    <col min="20" max="20" width="9" customWidth="1"/>
    <col min="21" max="21" width="34" customWidth="1"/>
    <col min="22" max="22" width="56" customWidth="1"/>
    <col min="23" max="23" width="14" customWidth="1"/>
  </cols>
  <sheetData>
    <row r="2">
      <c r="B2" t="s" s="3">
        <v>0</v>
      </c>
      <c r="C2" s="1"/>
      <c r="D2" s="1"/>
      <c r="E2" s="1"/>
      <c r="F2" s="1"/>
      <c r="G2" s="1"/>
      <c r="H2" s="1"/>
      <c r="I2" s="1"/>
      <c r="J2" s="1"/>
      <c r="K2" s="1"/>
      <c r="L2" s="1"/>
      <c r="M2" s="1"/>
      <c r="N2" s="1"/>
      <c r="O2" s="1"/>
      <c r="P2" s="1"/>
      <c r="Q2" s="1"/>
      <c r="R2" s="1"/>
      <c r="S2" s="1"/>
      <c r="T2" s="1"/>
      <c r="U2" s="1"/>
      <c r="V2" s="1"/>
      <c r="W2" s="1"/>
    </row>
    <row r="3">
      <c r="B3" t="s" s="5">
        <v>1</v>
      </c>
      <c r="C3" s="1"/>
      <c r="D3" s="1"/>
      <c r="E3" s="1"/>
      <c r="F3" s="1"/>
      <c r="G3" s="1"/>
      <c r="H3" s="1"/>
      <c r="I3" s="1"/>
      <c r="J3" s="1"/>
      <c r="K3" s="1"/>
      <c r="L3" s="1"/>
      <c r="M3" s="1"/>
      <c r="N3" s="1"/>
      <c r="O3" s="1"/>
      <c r="P3" s="1"/>
      <c r="Q3" s="1"/>
      <c r="R3" s="1"/>
      <c r="S3" s="1"/>
      <c r="T3" s="1"/>
      <c r="U3" s="1"/>
      <c r="V3" s="1"/>
      <c r="W3" s="1"/>
    </row>
    <row r="4">
      <c r="B4" s="1"/>
      <c r="C4" s="1"/>
      <c r="D4" s="1"/>
      <c r="E4" s="1"/>
      <c r="F4" s="1"/>
      <c r="G4" s="1"/>
      <c r="H4" s="1"/>
      <c r="I4" s="1"/>
      <c r="J4" s="1"/>
      <c r="K4" s="1"/>
      <c r="L4" s="1"/>
      <c r="M4" s="1"/>
      <c r="N4" s="1"/>
      <c r="O4" s="1"/>
      <c r="P4" s="1"/>
      <c r="Q4" s="1"/>
      <c r="R4" s="1"/>
      <c r="S4" s="1"/>
      <c r="T4" s="1"/>
      <c r="U4" s="1"/>
      <c r="V4" s="1"/>
      <c r="W4" s="1"/>
    </row>
    <row r="5">
      <c r="B5" t="s" s="9">
        <v>2</v>
      </c>
      <c r="C5" s="9"/>
      <c r="D5" s="9"/>
      <c r="E5" s="9"/>
      <c r="F5" s="9"/>
      <c r="G5" s="9"/>
      <c r="H5" s="9"/>
      <c r="I5" s="9"/>
      <c r="J5" s="9"/>
      <c r="K5" s="9"/>
      <c r="L5" s="9"/>
      <c r="M5" s="9"/>
      <c r="N5" s="9"/>
      <c r="O5" s="9"/>
      <c r="P5" s="9"/>
      <c r="Q5" s="9"/>
      <c r="R5" s="9"/>
      <c r="S5" s="9"/>
      <c r="T5" s="9"/>
      <c r="U5" s="9"/>
      <c r="V5" s="9"/>
      <c r="W5" s="9"/>
    </row>
    <row r="6">
      <c r="B6" s="1"/>
      <c r="C6" s="1"/>
      <c r="D6" s="1"/>
      <c r="E6" t="s" s="12">
        <v>46</v>
      </c>
      <c r="F6" s="12"/>
      <c r="G6" s="12"/>
      <c r="H6" s="12"/>
      <c r="I6" s="1"/>
      <c r="J6" s="1"/>
      <c r="K6" t="s" s="12">
        <v>71</v>
      </c>
      <c r="L6" s="12"/>
      <c r="M6" s="12"/>
      <c r="N6" t="s" s="12">
        <v>73</v>
      </c>
      <c r="O6" s="12"/>
      <c r="P6" s="12"/>
      <c r="Q6" t="s" s="12">
        <v>74</v>
      </c>
      <c r="R6" s="12"/>
      <c r="S6" s="12"/>
      <c r="T6" t="s" s="12">
        <v>82</v>
      </c>
      <c r="U6" s="12"/>
      <c r="V6" s="1"/>
      <c r="W6" s="5"/>
    </row>
    <row r="7">
      <c r="B7" t="s" s="10">
        <v>3</v>
      </c>
      <c r="C7" t="s" s="10">
        <v>20</v>
      </c>
      <c r="D7" t="s" s="10">
        <v>32</v>
      </c>
      <c r="E7" t="s" s="13">
        <v>47</v>
      </c>
      <c r="F7" t="s" s="13">
        <v>50</v>
      </c>
      <c r="G7" t="s" s="13">
        <v>51</v>
      </c>
      <c r="H7" t="s" s="13">
        <v>53</v>
      </c>
      <c r="I7" t="s" s="13">
        <v>57</v>
      </c>
      <c r="J7" t="s" s="10">
        <v>60</v>
      </c>
      <c r="K7" s="49">
        <f>DATE(2023,12,31)</f>
        <v>45291</v>
      </c>
      <c r="L7" s="49">
        <f>DATE(2024,12,31)</f>
        <v>45657</v>
      </c>
      <c r="M7" t="s" s="13">
        <v>72</v>
      </c>
      <c r="N7" s="50">
        <f>DATE(2024,9,30)</f>
        <v>45565</v>
      </c>
      <c r="O7" s="50">
        <f>DATE(2025,9,30)</f>
        <v>45930</v>
      </c>
      <c r="P7" t="s" s="13">
        <v>72</v>
      </c>
      <c r="Q7" t="s" s="13">
        <v>75</v>
      </c>
      <c r="R7" t="s" s="13">
        <v>76</v>
      </c>
      <c r="S7" t="s" s="13">
        <v>77</v>
      </c>
      <c r="T7" t="s" s="13">
        <v>83</v>
      </c>
      <c r="U7" t="s" s="10">
        <v>84</v>
      </c>
      <c r="V7" t="s" s="10">
        <v>92</v>
      </c>
      <c r="W7" t="s" s="10">
        <v>106</v>
      </c>
    </row>
    <row r="8">
      <c r="B8" t="s" s="1">
        <v>4</v>
      </c>
      <c r="C8" t="s" s="1">
        <v>21</v>
      </c>
      <c r="D8" t="s" s="1">
        <v>33</v>
      </c>
      <c r="E8" t="s" s="14">
        <v>48</v>
      </c>
      <c r="F8" t="s" s="14">
        <v>48</v>
      </c>
      <c r="G8" t="s" s="14">
        <v>48</v>
      </c>
      <c r="H8" t="s" s="14">
        <v>54</v>
      </c>
      <c r="I8" t="s" s="14">
        <v>58</v>
      </c>
      <c r="J8" t="s" s="1">
        <v>61</v>
      </c>
      <c r="K8" s="16">
        <v>368.168</v>
      </c>
      <c r="L8" s="16">
        <v>451.803</v>
      </c>
      <c r="M8" s="7">
        <f>L8/K8-1</f>
        <v>0.22716531583407562</v>
      </c>
      <c r="N8" s="16">
        <v>115.8</v>
      </c>
      <c r="O8" s="16">
        <v>205.1</v>
      </c>
      <c r="P8" s="7">
        <f>O8/N8-1</f>
        <v>0.7711571675302245</v>
      </c>
      <c r="Q8" s="16">
        <v>145.674</v>
      </c>
      <c r="R8" s="7">
        <f>Q8/L8</f>
        <v>0.322428137927371</v>
      </c>
      <c r="S8" t="s" s="1">
        <v>78</v>
      </c>
      <c r="T8" s="17">
        <v>1400</v>
      </c>
      <c r="U8" t="s" s="1">
        <v>85</v>
      </c>
      <c r="V8" t="s" s="1">
        <v>93</v>
      </c>
      <c r="W8" t="s" s="5">
        <v>107</v>
      </c>
    </row>
    <row r="9">
      <c r="B9" t="s" s="1">
        <v>5</v>
      </c>
      <c r="C9" t="s" s="1">
        <v>22</v>
      </c>
      <c r="D9" t="s" s="1">
        <v>34</v>
      </c>
      <c r="E9" t="s" s="14">
        <v>49</v>
      </c>
      <c r="F9" t="s" s="14">
        <v>49</v>
      </c>
      <c r="G9" t="s" s="14">
        <v>49</v>
      </c>
      <c r="H9" t="s" s="14">
        <v>55</v>
      </c>
      <c r="I9" t="s" s="14">
        <v>58</v>
      </c>
      <c r="J9" t="s" s="1">
        <v>62</v>
      </c>
      <c r="K9" s="16">
        <v>5502.8</v>
      </c>
      <c r="L9" s="16">
        <v>5882</v>
      </c>
      <c r="M9" s="7">
        <f>L9/K9-1</f>
        <v>0.0689103729010685</v>
      </c>
      <c r="N9" s="16">
        <v>1465.8</v>
      </c>
      <c r="O9" s="16">
        <v>1568</v>
      </c>
      <c r="P9" s="7">
        <f>O9/N9-1</f>
        <v>0.06972301814708692</v>
      </c>
      <c r="Q9" s="16">
        <v>1343.5</v>
      </c>
      <c r="R9" s="7">
        <f>Q9/L9</f>
        <v>0.22840870452227133</v>
      </c>
      <c r="S9" t="s" s="1">
        <v>79</v>
      </c>
      <c r="T9" s="17">
        <v>22000</v>
      </c>
      <c r="U9" t="s" s="1">
        <v>86</v>
      </c>
      <c r="V9" t="s" s="1">
        <v>94</v>
      </c>
      <c r="W9" t="s" s="5">
        <v>856</v>
      </c>
    </row>
    <row r="10">
      <c r="B10" t="s" s="1">
        <v>6</v>
      </c>
      <c r="C10" t="s" s="1">
        <v>23</v>
      </c>
      <c r="D10" t="s" s="1">
        <v>35</v>
      </c>
      <c r="E10" t="s" s="14">
        <v>49</v>
      </c>
      <c r="F10" t="s" s="14">
        <v>49</v>
      </c>
      <c r="G10" t="s" s="14">
        <v>49</v>
      </c>
      <c r="H10" t="s" s="14">
        <v>48</v>
      </c>
      <c r="I10" t="s" s="14">
        <v>58</v>
      </c>
      <c r="J10" t="s" s="1">
        <v>63</v>
      </c>
      <c r="K10" s="16">
        <v>1485</v>
      </c>
      <c r="L10" s="16">
        <v>1603</v>
      </c>
      <c r="M10" s="7">
        <f>L10/K10-1</f>
        <v>0.07946127946127945</v>
      </c>
      <c r="N10" s="16">
        <v>403</v>
      </c>
      <c r="O10" s="16">
        <v>515</v>
      </c>
      <c r="P10" s="7">
        <f>O10/N10-1</f>
        <v>0.2779156327543424</v>
      </c>
      <c r="Q10" s="6"/>
      <c r="R10" s="7"/>
      <c r="S10" t="s" s="1">
        <v>45</v>
      </c>
      <c r="T10" s="17">
        <v>100</v>
      </c>
      <c r="U10" t="s" s="1">
        <v>87</v>
      </c>
      <c r="V10" t="s" s="1">
        <v>95</v>
      </c>
      <c r="W10" t="s" s="5">
        <v>109</v>
      </c>
    </row>
    <row r="11">
      <c r="B11" t="s" s="1">
        <v>7</v>
      </c>
      <c r="C11" t="s" s="1">
        <v>24</v>
      </c>
      <c r="D11" t="s" s="1">
        <v>36</v>
      </c>
      <c r="E11" t="s" s="14">
        <v>49</v>
      </c>
      <c r="F11" t="s" s="14">
        <v>49</v>
      </c>
      <c r="G11" t="s" s="14">
        <v>49</v>
      </c>
      <c r="H11" t="s" s="14">
        <v>48</v>
      </c>
      <c r="I11" t="s" s="14">
        <v>58</v>
      </c>
      <c r="J11" t="s" s="1">
        <v>64</v>
      </c>
      <c r="K11" s="16">
        <v>2766</v>
      </c>
      <c r="L11" s="16">
        <v>2979</v>
      </c>
      <c r="M11" s="7">
        <f>L11/K11-1</f>
        <v>0.07700650759219085</v>
      </c>
      <c r="N11" s="16">
        <v>730</v>
      </c>
      <c r="O11" s="16">
        <v>783</v>
      </c>
      <c r="P11" s="7">
        <f>O11/N11-1</f>
        <v>0.07260273972602738</v>
      </c>
      <c r="Q11" s="16">
        <v>1519</v>
      </c>
      <c r="R11" s="7">
        <f>Q11/L11</f>
        <v>0.5099026518966095</v>
      </c>
      <c r="S11" t="s" s="1">
        <v>80</v>
      </c>
      <c r="T11" s="8"/>
      <c r="U11" t="s" s="1">
        <v>859</v>
      </c>
      <c r="V11" t="s" s="1">
        <v>96</v>
      </c>
      <c r="W11" t="s" s="5">
        <v>110</v>
      </c>
    </row>
    <row r="12">
      <c r="B12" t="s" s="1">
        <v>8</v>
      </c>
      <c r="C12" t="s" s="1">
        <v>25</v>
      </c>
      <c r="D12" t="s" s="1">
        <v>37</v>
      </c>
      <c r="E12" t="s" s="14">
        <v>49</v>
      </c>
      <c r="F12" t="s" s="14">
        <v>49</v>
      </c>
      <c r="G12" t="s" s="14">
        <v>49</v>
      </c>
      <c r="H12" t="s" s="14">
        <v>48</v>
      </c>
      <c r="I12" t="s" s="14">
        <v>58</v>
      </c>
      <c r="J12" t="s" s="1">
        <v>65</v>
      </c>
      <c r="K12" s="16">
        <v>580</v>
      </c>
      <c r="L12" s="16">
        <v>639</v>
      </c>
      <c r="M12" s="7">
        <f>L12/K12-1</f>
        <v>0.10172413793103452</v>
      </c>
      <c r="N12" s="16">
        <v>146</v>
      </c>
      <c r="O12" s="16">
        <v>167</v>
      </c>
      <c r="P12" s="7">
        <f>O12/N12-1</f>
        <v>0.14383561643835607</v>
      </c>
      <c r="Q12" s="6"/>
      <c r="R12" s="7"/>
      <c r="S12" t="s" s="1">
        <v>45</v>
      </c>
      <c r="T12" s="8">
        <f>SUM('Rival calls'!E57:E59)</f>
        <v>4</v>
      </c>
      <c r="U12" t="s" s="1">
        <v>855</v>
      </c>
      <c r="V12" t="s" s="1">
        <v>97</v>
      </c>
      <c r="W12" t="s" s="5">
        <v>111</v>
      </c>
    </row>
    <row r="13">
      <c r="B13" t="s" s="1">
        <v>9</v>
      </c>
      <c r="C13" t="s" s="1">
        <v>26</v>
      </c>
      <c r="D13" t="s" s="1">
        <v>38</v>
      </c>
      <c r="E13" t="s" s="14">
        <v>49</v>
      </c>
      <c r="F13" t="s" s="14">
        <v>49</v>
      </c>
      <c r="G13" t="s" s="14">
        <v>49</v>
      </c>
      <c r="H13" t="s" s="14">
        <v>56</v>
      </c>
      <c r="I13" t="s" s="14">
        <v>59</v>
      </c>
      <c r="J13" t="s" s="1">
        <v>66</v>
      </c>
      <c r="K13" s="6"/>
      <c r="L13" s="16">
        <v>608</v>
      </c>
      <c r="M13" s="18">
        <v>0.17</v>
      </c>
      <c r="N13" s="6"/>
      <c r="O13" s="16">
        <v>632</v>
      </c>
      <c r="P13" s="18">
        <v>0.18</v>
      </c>
      <c r="Q13" s="6"/>
      <c r="R13" s="18">
        <v>0.24</v>
      </c>
      <c r="S13" t="s" s="1">
        <v>81</v>
      </c>
      <c r="T13" s="17">
        <v>7</v>
      </c>
      <c r="U13" t="s" s="1">
        <v>90</v>
      </c>
      <c r="V13" t="s" s="1">
        <v>98</v>
      </c>
      <c r="W13" t="s" s="5">
        <v>112</v>
      </c>
    </row>
    <row r="14">
      <c r="B14" t="s" s="1">
        <v>10</v>
      </c>
      <c r="C14" t="s" s="1">
        <v>27</v>
      </c>
      <c r="D14" t="s" s="1">
        <v>39</v>
      </c>
      <c r="E14" t="s" s="14">
        <v>48</v>
      </c>
      <c r="F14" t="s" s="14">
        <v>48</v>
      </c>
      <c r="G14" t="s" s="14">
        <v>48</v>
      </c>
      <c r="H14" t="s" s="14">
        <v>56</v>
      </c>
      <c r="I14" t="s" s="14">
        <v>58</v>
      </c>
      <c r="J14" t="s" s="1">
        <v>67</v>
      </c>
      <c r="K14" s="6"/>
      <c r="L14" s="16">
        <v>201.611</v>
      </c>
      <c r="M14" s="7"/>
      <c r="N14" s="6"/>
      <c r="O14" s="6"/>
      <c r="P14" s="7"/>
      <c r="Q14" s="16">
        <v>6.155</v>
      </c>
      <c r="R14" s="7">
        <f>Q14/L14</f>
        <v>0.03052908819459256</v>
      </c>
      <c r="S14" t="s" s="1">
        <v>79</v>
      </c>
      <c r="T14" s="17">
        <v>850</v>
      </c>
      <c r="U14" t="s" s="1">
        <v>91</v>
      </c>
      <c r="V14" t="s" s="1">
        <v>99</v>
      </c>
      <c r="W14" t="s" s="5">
        <v>113</v>
      </c>
    </row>
    <row r="15">
      <c r="B15" t="s" s="1">
        <v>11</v>
      </c>
      <c r="C15" t="s" s="1">
        <v>28</v>
      </c>
      <c r="D15" t="s" s="1">
        <v>40</v>
      </c>
      <c r="E15" t="s" s="14">
        <v>49</v>
      </c>
      <c r="F15" t="s" s="14">
        <v>49</v>
      </c>
      <c r="G15" t="s" s="14">
        <v>49</v>
      </c>
      <c r="H15" t="s" s="14">
        <v>48</v>
      </c>
      <c r="I15" t="s" s="14">
        <v>58</v>
      </c>
      <c r="J15" t="s" s="1">
        <v>68</v>
      </c>
      <c r="K15" s="6"/>
      <c r="L15" s="6"/>
      <c r="M15" s="7"/>
      <c r="N15" s="6"/>
      <c r="O15" s="6"/>
      <c r="P15" s="7"/>
      <c r="Q15" s="6"/>
      <c r="R15" s="7"/>
      <c r="S15" t="s" s="1">
        <v>48</v>
      </c>
      <c r="T15" s="8"/>
      <c r="U15" t="s" s="1">
        <v>48</v>
      </c>
      <c r="V15" t="s" s="1">
        <v>100</v>
      </c>
      <c r="W15" t="s" s="5">
        <v>114</v>
      </c>
    </row>
    <row r="16">
      <c r="B16" t="s" s="1">
        <v>12</v>
      </c>
      <c r="C16" t="s" s="1">
        <v>29</v>
      </c>
      <c r="D16" t="s" s="1">
        <v>41</v>
      </c>
      <c r="E16" t="s" s="14">
        <v>49</v>
      </c>
      <c r="F16" t="s" s="14">
        <v>49</v>
      </c>
      <c r="G16" t="s" s="14">
        <v>49</v>
      </c>
      <c r="H16" t="s" s="14">
        <v>48</v>
      </c>
      <c r="I16" t="s" s="14">
        <v>58</v>
      </c>
      <c r="J16" t="s" s="1">
        <v>68</v>
      </c>
      <c r="K16" s="6"/>
      <c r="L16" s="6"/>
      <c r="M16" s="7"/>
      <c r="N16" s="6"/>
      <c r="O16" s="6"/>
      <c r="P16" s="7"/>
      <c r="Q16" s="6"/>
      <c r="R16" s="7"/>
      <c r="S16" t="s" s="1">
        <v>48</v>
      </c>
      <c r="T16" s="8"/>
      <c r="U16" t="s" s="1">
        <v>48</v>
      </c>
      <c r="V16" t="s" s="1">
        <v>101</v>
      </c>
      <c r="W16" t="s" s="5">
        <v>115</v>
      </c>
    </row>
    <row r="17">
      <c r="B17" t="s" s="1">
        <v>13</v>
      </c>
      <c r="C17" t="s" s="1">
        <v>30</v>
      </c>
      <c r="D17" t="s" s="1">
        <v>42</v>
      </c>
      <c r="E17" t="s" s="14">
        <v>48</v>
      </c>
      <c r="F17" t="s" s="14">
        <v>48</v>
      </c>
      <c r="G17" t="s" s="14">
        <v>49</v>
      </c>
      <c r="H17" t="s" s="14">
        <v>48</v>
      </c>
      <c r="I17" t="s" s="14">
        <v>58</v>
      </c>
      <c r="J17" t="s" s="1">
        <v>69</v>
      </c>
      <c r="K17" s="6"/>
      <c r="L17" s="6"/>
      <c r="M17" s="7"/>
      <c r="N17" s="6"/>
      <c r="O17" s="6"/>
      <c r="P17" s="18">
        <v>0.22</v>
      </c>
      <c r="Q17" s="6"/>
      <c r="R17" s="7"/>
      <c r="S17" t="s" s="1">
        <v>48</v>
      </c>
      <c r="T17" s="8"/>
      <c r="U17" t="s" s="1">
        <v>48</v>
      </c>
      <c r="V17" t="s" s="1">
        <v>102</v>
      </c>
      <c r="W17" t="s" s="5">
        <v>116</v>
      </c>
    </row>
    <row r="18">
      <c r="B18" t="s" s="1">
        <v>14</v>
      </c>
      <c r="C18" t="s" s="1">
        <v>31</v>
      </c>
      <c r="D18" t="s" s="1">
        <v>43</v>
      </c>
      <c r="E18" t="s" s="14">
        <v>49</v>
      </c>
      <c r="F18" t="s" s="14">
        <v>49</v>
      </c>
      <c r="G18" t="s" s="14">
        <v>49</v>
      </c>
      <c r="H18" t="s" s="14">
        <v>48</v>
      </c>
      <c r="I18" t="s" s="14">
        <v>48</v>
      </c>
      <c r="J18" t="s" s="1">
        <v>68</v>
      </c>
      <c r="K18" s="6"/>
      <c r="L18" s="6"/>
      <c r="M18" s="7"/>
      <c r="N18" s="6"/>
      <c r="O18" s="6"/>
      <c r="P18" s="7"/>
      <c r="Q18" s="6"/>
      <c r="R18" s="7"/>
      <c r="S18" t="s" s="1">
        <v>48</v>
      </c>
      <c r="T18" s="8"/>
      <c r="U18" t="s" s="1">
        <v>48</v>
      </c>
      <c r="V18" t="s" s="1">
        <v>100</v>
      </c>
      <c r="W18" t="s" s="5">
        <v>857</v>
      </c>
    </row>
    <row r="19">
      <c r="B19" t="s" s="1">
        <v>15</v>
      </c>
      <c r="C19" t="s" s="1">
        <v>31</v>
      </c>
      <c r="D19" t="s" s="1">
        <v>44</v>
      </c>
      <c r="E19" t="s" s="14">
        <v>48</v>
      </c>
      <c r="F19" t="s" s="14">
        <v>48</v>
      </c>
      <c r="G19" t="s" s="14">
        <v>49</v>
      </c>
      <c r="H19" t="s" s="14">
        <v>48</v>
      </c>
      <c r="I19" t="s" s="14">
        <v>48</v>
      </c>
      <c r="J19" t="s" s="1">
        <v>68</v>
      </c>
      <c r="K19" s="6"/>
      <c r="L19" s="6"/>
      <c r="M19" s="7"/>
      <c r="N19" s="6"/>
      <c r="O19" s="6"/>
      <c r="P19" s="7"/>
      <c r="Q19" s="6"/>
      <c r="R19" s="7"/>
      <c r="S19" t="s" s="1">
        <v>48</v>
      </c>
      <c r="T19" s="8"/>
      <c r="U19" t="s" s="1">
        <v>48</v>
      </c>
      <c r="V19" t="s" s="1">
        <v>103</v>
      </c>
      <c r="W19" t="s" s="5">
        <v>118</v>
      </c>
    </row>
    <row r="20">
      <c r="B20" t="s" s="1">
        <v>16</v>
      </c>
      <c r="C20" t="s" s="1">
        <v>31</v>
      </c>
      <c r="D20" t="s" s="1">
        <v>45</v>
      </c>
      <c r="E20" t="s" s="14">
        <v>48</v>
      </c>
      <c r="F20" t="s" s="14">
        <v>48</v>
      </c>
      <c r="G20" t="s" s="14">
        <v>49</v>
      </c>
      <c r="H20" t="s" s="14">
        <v>48</v>
      </c>
      <c r="I20" t="s" s="14">
        <v>48</v>
      </c>
      <c r="J20" t="s" s="1">
        <v>70</v>
      </c>
      <c r="K20" s="6"/>
      <c r="L20" s="6"/>
      <c r="M20" s="7"/>
      <c r="N20" s="6"/>
      <c r="O20" s="6"/>
      <c r="P20" s="7"/>
      <c r="Q20" s="6"/>
      <c r="R20" s="7"/>
      <c r="S20" t="s" s="1">
        <v>48</v>
      </c>
      <c r="T20" s="8"/>
      <c r="U20" t="s" s="1">
        <v>48</v>
      </c>
      <c r="V20" t="s" s="1">
        <v>103</v>
      </c>
      <c r="W20" t="s" s="5">
        <v>118</v>
      </c>
    </row>
    <row r="21">
      <c r="B21" t="s" s="1">
        <v>17</v>
      </c>
      <c r="C21" t="s" s="1">
        <v>31</v>
      </c>
      <c r="D21" t="s" s="1">
        <v>45</v>
      </c>
      <c r="E21" t="s" s="14">
        <v>48</v>
      </c>
      <c r="F21" t="s" s="14">
        <v>48</v>
      </c>
      <c r="G21" t="s" s="14">
        <v>49</v>
      </c>
      <c r="H21" t="s" s="14">
        <v>48</v>
      </c>
      <c r="I21" t="s" s="14">
        <v>48</v>
      </c>
      <c r="J21" t="s" s="1">
        <v>70</v>
      </c>
      <c r="K21" s="6"/>
      <c r="L21" s="6"/>
      <c r="M21" s="7"/>
      <c r="N21" s="6"/>
      <c r="O21" s="6"/>
      <c r="P21" s="7"/>
      <c r="Q21" s="6"/>
      <c r="R21" s="7"/>
      <c r="S21" t="s" s="1">
        <v>48</v>
      </c>
      <c r="T21" s="8"/>
      <c r="U21" t="s" s="1">
        <v>48</v>
      </c>
      <c r="V21" t="s" s="1">
        <v>103</v>
      </c>
      <c r="W21" t="s" s="5">
        <v>118</v>
      </c>
    </row>
    <row r="22">
      <c r="B22" s="1"/>
      <c r="C22" s="1"/>
      <c r="D22" s="1"/>
      <c r="E22" s="14"/>
      <c r="F22" s="14"/>
      <c r="G22" s="14"/>
      <c r="H22" s="14"/>
      <c r="I22" s="1"/>
      <c r="J22" s="1"/>
      <c r="K22" s="1"/>
      <c r="L22" s="1"/>
      <c r="M22" s="1"/>
      <c r="N22" s="1"/>
      <c r="O22" s="1"/>
      <c r="P22" s="1"/>
      <c r="Q22" s="1"/>
      <c r="R22" s="1"/>
      <c r="S22" s="1"/>
      <c r="T22" s="1"/>
      <c r="U22" s="1"/>
      <c r="V22" s="1"/>
      <c r="W22" s="5"/>
    </row>
    <row r="23">
      <c r="B23" t="s" s="11">
        <v>18</v>
      </c>
      <c r="C23" s="11"/>
      <c r="D23" s="11"/>
      <c r="E23" s="15">
        <f>COUNTIF(E8:E21,"Yes")</f>
        <v>8</v>
      </c>
      <c r="F23" s="15">
        <f>COUNTIF(F8:F21,"Yes")</f>
        <v>8</v>
      </c>
      <c r="G23" s="15">
        <f>COUNTIF(G8:G21,"Yes")</f>
        <v>12</v>
      </c>
      <c r="H23" s="15">
        <f>COUNTIF(H8:H21,"Peer")+COUNTIF(H8:H21,"Precedent")</f>
        <v>3</v>
      </c>
      <c r="I23" s="11"/>
      <c r="J23" s="11"/>
      <c r="K23" s="11"/>
      <c r="L23" s="11"/>
      <c r="M23" s="11"/>
      <c r="N23" s="11"/>
      <c r="O23" s="11"/>
      <c r="P23" s="11"/>
      <c r="Q23" s="11"/>
      <c r="R23" s="11"/>
      <c r="S23" s="11"/>
      <c r="T23" s="11"/>
      <c r="U23" s="11"/>
      <c r="V23" t="s" s="11">
        <v>860</v>
      </c>
      <c r="W23" s="19"/>
    </row>
    <row r="24">
      <c r="B24" t="s" s="1">
        <v>19</v>
      </c>
      <c r="C24" s="1"/>
      <c r="D24" s="1"/>
      <c r="E24" t="s" s="14">
        <v>49</v>
      </c>
      <c r="F24" t="s" s="14">
        <v>49</v>
      </c>
      <c r="G24" t="s" s="14">
        <v>52</v>
      </c>
      <c r="H24" t="s" s="14">
        <v>48</v>
      </c>
      <c r="I24" s="1"/>
      <c r="J24" s="1"/>
      <c r="K24" s="1"/>
      <c r="L24" s="1"/>
      <c r="M24" s="1"/>
      <c r="N24" s="1"/>
      <c r="O24" s="1"/>
      <c r="P24" s="1"/>
      <c r="Q24" s="1"/>
      <c r="R24" s="1"/>
      <c r="S24" s="1"/>
      <c r="T24" s="1"/>
      <c r="U24" s="1"/>
      <c r="V24" t="s" s="1">
        <v>105</v>
      </c>
      <c r="W24" t="s" s="5">
        <v>119</v>
      </c>
    </row>
  </sheetData>
  <pageMargins left="0.7" right="0.7" top="0.75" bottom="0.75" header="0.3" footer="0.3"/>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108"/>
  <sheetViews>
    <sheetView showGridLines="0" workbookViewId="0">
      <selection activeCell="A1" sqref="A1"/>
    </sheetView>
  </sheetViews>
  <cols>
    <col min="1" max="1" width="2" customWidth="1"/>
    <col min="2" max="2" width="26" customWidth="1"/>
    <col min="3" max="6" width="34" customWidth="1"/>
    <col min="7" max="7" width="58" customWidth="1"/>
    <col min="8" max="8" width="46" customWidth="1"/>
    <col min="9" max="9" width="14" customWidth="1"/>
  </cols>
  <sheetData>
    <row r="2">
      <c r="B2" t="s" s="3">
        <v>120</v>
      </c>
      <c r="C2" s="1"/>
      <c r="D2" s="1"/>
      <c r="E2" s="1"/>
      <c r="F2" s="1"/>
      <c r="G2" s="1"/>
      <c r="H2" s="1"/>
      <c r="I2" s="1"/>
    </row>
    <row r="3">
      <c r="B3" t="s" s="5">
        <v>121</v>
      </c>
      <c r="C3" s="1"/>
      <c r="D3" s="1"/>
      <c r="E3" s="1"/>
      <c r="F3" s="1"/>
      <c r="G3" s="1"/>
      <c r="H3" s="1"/>
      <c r="I3" s="1"/>
    </row>
    <row r="4">
      <c r="B4" s="1"/>
      <c r="C4" s="1"/>
      <c r="D4" s="1"/>
      <c r="E4" s="1"/>
      <c r="F4" s="1"/>
      <c r="G4" s="1"/>
      <c r="H4" s="1"/>
      <c r="I4" s="1"/>
    </row>
    <row r="5">
      <c r="B5" t="s" s="9">
        <v>122</v>
      </c>
      <c r="C5" s="9"/>
      <c r="D5" s="9"/>
      <c r="E5" s="9"/>
      <c r="F5" s="9"/>
      <c r="G5" s="9"/>
      <c r="H5" s="9"/>
      <c r="I5" s="9"/>
    </row>
    <row r="6">
      <c r="B6" t="s" s="10">
        <v>123</v>
      </c>
      <c r="C6" t="s" s="10">
        <v>126</v>
      </c>
      <c r="D6" t="s" s="10">
        <v>159</v>
      </c>
      <c r="E6" t="s" s="10">
        <v>168</v>
      </c>
      <c r="F6" t="s" s="10">
        <v>169</v>
      </c>
      <c r="G6" s="10"/>
      <c r="H6" s="10"/>
      <c r="I6" s="10"/>
    </row>
    <row r="7">
      <c r="B7" t="s" s="1">
        <v>5</v>
      </c>
      <c r="C7" t="s" s="1">
        <v>127</v>
      </c>
      <c r="D7" t="s" s="1">
        <v>160</v>
      </c>
      <c r="E7" t="s" s="1">
        <v>174</v>
      </c>
      <c r="F7" t="s" s="1">
        <v>182</v>
      </c>
      <c r="G7" s="1"/>
      <c r="H7" s="1"/>
      <c r="I7" s="1"/>
    </row>
    <row r="8">
      <c r="B8" t="s" s="1">
        <v>6</v>
      </c>
      <c r="C8" t="s" s="1">
        <v>128</v>
      </c>
      <c r="D8" t="s" s="1">
        <v>161</v>
      </c>
      <c r="E8" t="s" s="1">
        <v>175</v>
      </c>
      <c r="F8" t="s" s="1">
        <v>183</v>
      </c>
      <c r="G8" s="1"/>
      <c r="H8" s="1"/>
      <c r="I8" s="1"/>
    </row>
    <row r="9">
      <c r="B9" t="s" s="1">
        <v>7</v>
      </c>
      <c r="C9" t="s" s="1">
        <v>129</v>
      </c>
      <c r="D9" t="s" s="1">
        <v>162</v>
      </c>
      <c r="E9" t="s" s="1">
        <v>176</v>
      </c>
      <c r="F9" t="s" s="1">
        <v>184</v>
      </c>
      <c r="G9" s="1"/>
      <c r="H9" s="1"/>
      <c r="I9" s="1"/>
    </row>
    <row r="10">
      <c r="B10" t="s" s="1">
        <v>8</v>
      </c>
      <c r="C10" t="s" s="20">
        <v>422</v>
      </c>
      <c r="D10" t="str" s="1">
        <f>SUM(E57,E58,E59)&amp;" Alpha mandates in 9M25"</f>
        <v>4 Alpha mandates in 9M25</v>
      </c>
      <c r="E10" t="s" s="1">
        <v>177</v>
      </c>
      <c r="F10" t="s" s="1">
        <v>185</v>
      </c>
      <c r="G10" s="1"/>
      <c r="H10" s="1"/>
      <c r="I10" s="1"/>
    </row>
    <row r="11">
      <c r="B11" t="s" s="1">
        <v>9</v>
      </c>
      <c r="C11" t="s" s="1">
        <v>131</v>
      </c>
      <c r="D11" t="s" s="1">
        <v>163</v>
      </c>
      <c r="E11" t="s" s="1">
        <v>178</v>
      </c>
      <c r="F11" t="s" s="1">
        <v>186</v>
      </c>
      <c r="G11" s="1"/>
      <c r="H11" s="1"/>
      <c r="I11" s="1"/>
    </row>
    <row r="12">
      <c r="B12" t="s" s="1">
        <v>12</v>
      </c>
      <c r="C12" t="s" s="1">
        <v>132</v>
      </c>
      <c r="D12" t="s" s="1">
        <v>164</v>
      </c>
      <c r="E12" t="s" s="1">
        <v>132</v>
      </c>
      <c r="F12" t="s" s="1">
        <v>187</v>
      </c>
      <c r="G12" s="1"/>
      <c r="H12" s="1"/>
      <c r="I12" s="1"/>
    </row>
    <row r="13">
      <c r="B13" t="s" s="1">
        <v>13</v>
      </c>
      <c r="C13" t="s" s="1">
        <v>132</v>
      </c>
      <c r="D13" t="s" s="1">
        <v>165</v>
      </c>
      <c r="E13" t="s" s="1">
        <v>179</v>
      </c>
      <c r="F13" t="s" s="1">
        <v>188</v>
      </c>
      <c r="G13" s="1"/>
      <c r="H13" s="1"/>
      <c r="I13" s="1"/>
    </row>
    <row r="14">
      <c r="B14" t="s" s="1">
        <v>11</v>
      </c>
      <c r="C14" t="s" s="1">
        <v>133</v>
      </c>
      <c r="D14" t="s" s="1">
        <v>133</v>
      </c>
      <c r="E14" t="s" s="1">
        <v>133</v>
      </c>
      <c r="F14" t="s" s="1">
        <v>133</v>
      </c>
      <c r="G14" s="1"/>
      <c r="H14" s="1"/>
      <c r="I14" s="1"/>
    </row>
    <row r="15">
      <c r="B15" t="s" s="1">
        <v>124</v>
      </c>
      <c r="C15" t="s" s="1">
        <v>134</v>
      </c>
      <c r="D15" t="s" s="1">
        <v>166</v>
      </c>
      <c r="E15" t="s" s="1">
        <v>180</v>
      </c>
      <c r="F15" t="s" s="1">
        <v>189</v>
      </c>
      <c r="G15" s="1"/>
      <c r="H15" s="1"/>
      <c r="I15" s="1"/>
    </row>
    <row r="16">
      <c r="B16" s="1"/>
      <c r="C16" s="1"/>
      <c r="D16" s="1"/>
      <c r="E16" s="1"/>
      <c r="F16" s="1"/>
      <c r="G16" s="1"/>
      <c r="H16" s="1"/>
      <c r="I16" s="1"/>
    </row>
    <row r="17">
      <c r="B17" t="s" s="9">
        <v>125</v>
      </c>
      <c r="C17" s="9"/>
      <c r="D17" s="9"/>
      <c r="E17" s="9"/>
      <c r="F17" s="9"/>
      <c r="G17" s="9"/>
      <c r="H17" s="9"/>
      <c r="I17" s="9"/>
    </row>
    <row r="18">
      <c r="B18" t="s" s="10">
        <v>123</v>
      </c>
      <c r="C18" t="s" s="10">
        <v>135</v>
      </c>
      <c r="D18" t="s" s="10">
        <v>167</v>
      </c>
      <c r="E18" t="s" s="10">
        <v>181</v>
      </c>
      <c r="F18" t="s" s="10">
        <v>190</v>
      </c>
      <c r="G18" t="s" s="10">
        <v>221</v>
      </c>
      <c r="H18" t="s" s="10">
        <v>302</v>
      </c>
      <c r="I18" t="s" s="10">
        <v>341</v>
      </c>
    </row>
    <row r="19">
      <c r="B19" t="s" s="23">
        <v>5</v>
      </c>
      <c r="C19" s="23"/>
      <c r="D19" s="23"/>
      <c r="E19" s="23"/>
      <c r="F19" s="23"/>
      <c r="G19" s="23"/>
      <c r="H19" s="23"/>
      <c r="I19" s="24"/>
    </row>
    <row r="20">
      <c r="B20" t="s" s="1">
        <v>5</v>
      </c>
      <c r="C20" t="s" s="1">
        <v>136</v>
      </c>
      <c r="D20" t="s" s="1">
        <v>126</v>
      </c>
      <c r="E20" s="1"/>
      <c r="F20" s="1"/>
      <c r="G20" t="s" s="1">
        <v>222</v>
      </c>
      <c r="H20" t="s" s="1">
        <v>303</v>
      </c>
      <c r="I20" t="s" s="4">
        <v>342</v>
      </c>
    </row>
    <row r="21">
      <c r="B21" t="s" s="1">
        <v>5</v>
      </c>
      <c r="C21" t="s" s="1">
        <v>136</v>
      </c>
      <c r="D21" t="s" s="1">
        <v>159</v>
      </c>
      <c r="E21" s="25">
        <v>0.97</v>
      </c>
      <c r="F21" t="s" s="1">
        <v>191</v>
      </c>
      <c r="G21" t="s" s="1">
        <v>223</v>
      </c>
      <c r="H21" t="s" s="1">
        <v>303</v>
      </c>
      <c r="I21" t="s" s="4">
        <v>343</v>
      </c>
    </row>
    <row r="22">
      <c r="B22" t="s" s="1">
        <v>5</v>
      </c>
      <c r="C22" t="s" s="1">
        <v>136</v>
      </c>
      <c r="D22" t="s" s="1">
        <v>159</v>
      </c>
      <c r="E22" s="1"/>
      <c r="F22" s="1"/>
      <c r="G22" t="s" s="1">
        <v>224</v>
      </c>
      <c r="H22" t="s" s="1">
        <v>303</v>
      </c>
      <c r="I22" t="s" s="4">
        <v>344</v>
      </c>
    </row>
    <row r="23">
      <c r="B23" t="s" s="1">
        <v>5</v>
      </c>
      <c r="C23" t="s" s="1">
        <v>136</v>
      </c>
      <c r="D23" t="s" s="1">
        <v>159</v>
      </c>
      <c r="E23" s="1"/>
      <c r="F23" s="1"/>
      <c r="G23" t="s" s="1">
        <v>225</v>
      </c>
      <c r="H23" t="s" s="1">
        <v>304</v>
      </c>
      <c r="I23" t="s" s="4">
        <v>345</v>
      </c>
    </row>
    <row r="24">
      <c r="B24" t="s" s="1">
        <v>5</v>
      </c>
      <c r="C24" t="s" s="1">
        <v>136</v>
      </c>
      <c r="D24" t="s" s="1">
        <v>159</v>
      </c>
      <c r="E24" s="17">
        <v>75</v>
      </c>
      <c r="F24" t="s" s="1">
        <v>192</v>
      </c>
      <c r="G24" t="s" s="1">
        <v>226</v>
      </c>
      <c r="H24" t="s" s="1">
        <v>304</v>
      </c>
      <c r="I24" t="s" s="4">
        <v>346</v>
      </c>
    </row>
    <row r="25">
      <c r="B25" t="s" s="1">
        <v>5</v>
      </c>
      <c r="C25" t="s" s="1">
        <v>137</v>
      </c>
      <c r="D25" t="s" s="1">
        <v>159</v>
      </c>
      <c r="E25" s="1"/>
      <c r="F25" s="1"/>
      <c r="G25" t="s" s="1">
        <v>424</v>
      </c>
      <c r="H25" t="s" s="1">
        <v>305</v>
      </c>
      <c r="I25" t="s" s="4">
        <v>347</v>
      </c>
    </row>
    <row r="26">
      <c r="B26" t="s" s="1">
        <v>5</v>
      </c>
      <c r="C26" t="s" s="1">
        <v>423</v>
      </c>
      <c r="D26" t="s" s="1">
        <v>168</v>
      </c>
      <c r="E26" s="1"/>
      <c r="F26" s="1"/>
      <c r="G26" t="s" s="1">
        <v>425</v>
      </c>
      <c r="H26" t="s" s="1">
        <v>426</v>
      </c>
      <c r="I26" t="s" s="4">
        <v>429</v>
      </c>
    </row>
    <row r="27">
      <c r="B27" t="s" s="1">
        <v>5</v>
      </c>
      <c r="C27" t="s" s="1">
        <v>138</v>
      </c>
      <c r="D27" t="s" s="1">
        <v>169</v>
      </c>
      <c r="E27" s="25">
        <v>0.14</v>
      </c>
      <c r="F27" t="s" s="1">
        <v>193</v>
      </c>
      <c r="G27" t="s" s="1">
        <v>229</v>
      </c>
      <c r="H27" t="s" s="1">
        <v>427</v>
      </c>
      <c r="I27" t="s" s="4">
        <v>349</v>
      </c>
    </row>
    <row r="28">
      <c r="B28" t="s" s="1">
        <v>5</v>
      </c>
      <c r="C28" t="s" s="1">
        <v>136</v>
      </c>
      <c r="D28" t="s" s="1">
        <v>169</v>
      </c>
      <c r="E28" s="25">
        <v>0.1</v>
      </c>
      <c r="F28" t="s" s="1">
        <v>193</v>
      </c>
      <c r="G28" t="s" s="1">
        <v>230</v>
      </c>
      <c r="H28" t="s" s="1">
        <v>304</v>
      </c>
      <c r="I28" t="s" s="4">
        <v>350</v>
      </c>
    </row>
    <row r="29">
      <c r="B29" t="s" s="1">
        <v>5</v>
      </c>
      <c r="C29" t="s" s="1">
        <v>137</v>
      </c>
      <c r="D29" t="s" s="1">
        <v>169</v>
      </c>
      <c r="E29" s="17">
        <v>200</v>
      </c>
      <c r="F29" t="s" s="1">
        <v>194</v>
      </c>
      <c r="G29" t="s" s="1">
        <v>231</v>
      </c>
      <c r="H29" t="s" s="1">
        <v>303</v>
      </c>
      <c r="I29" t="s" s="4">
        <v>351</v>
      </c>
    </row>
    <row r="30">
      <c r="B30" t="s" s="1">
        <v>5</v>
      </c>
      <c r="C30" t="s" s="1">
        <v>137</v>
      </c>
      <c r="D30" t="s" s="1">
        <v>170</v>
      </c>
      <c r="E30" s="25">
        <v>0.052</v>
      </c>
      <c r="F30" t="s" s="1">
        <v>195</v>
      </c>
      <c r="G30" t="s" s="1">
        <v>232</v>
      </c>
      <c r="H30" t="s" s="1">
        <v>303</v>
      </c>
      <c r="I30" t="s" s="4">
        <v>352</v>
      </c>
    </row>
    <row r="31">
      <c r="B31" t="s" s="1">
        <v>5</v>
      </c>
      <c r="C31" t="s" s="1">
        <v>137</v>
      </c>
      <c r="D31" t="s" s="1">
        <v>170</v>
      </c>
      <c r="E31" s="25">
        <v>0.395</v>
      </c>
      <c r="F31" t="s" s="1">
        <v>196</v>
      </c>
      <c r="G31" t="s" s="1">
        <v>233</v>
      </c>
      <c r="H31" t="s" s="1">
        <v>303</v>
      </c>
      <c r="I31" t="s" s="4">
        <v>353</v>
      </c>
    </row>
    <row r="32">
      <c r="B32" t="s" s="23">
        <v>6</v>
      </c>
      <c r="C32" s="23"/>
      <c r="D32" s="23"/>
      <c r="E32" s="23"/>
      <c r="F32" s="23"/>
      <c r="G32" s="23"/>
      <c r="H32" s="23"/>
      <c r="I32" s="24"/>
    </row>
    <row r="33">
      <c r="B33" t="s" s="1">
        <v>6</v>
      </c>
      <c r="C33" t="s" s="1">
        <v>139</v>
      </c>
      <c r="D33" t="s" s="1">
        <v>170</v>
      </c>
      <c r="E33" s="25">
        <v>0.16</v>
      </c>
      <c r="F33" t="s" s="1">
        <v>197</v>
      </c>
      <c r="G33" t="s" s="1">
        <v>234</v>
      </c>
      <c r="H33" t="s" s="1">
        <v>308</v>
      </c>
      <c r="I33" t="s" s="4">
        <v>354</v>
      </c>
    </row>
    <row r="34">
      <c r="B34" t="s" s="1">
        <v>6</v>
      </c>
      <c r="C34" t="s" s="1">
        <v>140</v>
      </c>
      <c r="D34" t="s" s="1">
        <v>170</v>
      </c>
      <c r="E34" s="25">
        <v>0.16</v>
      </c>
      <c r="F34" t="s" s="1">
        <v>198</v>
      </c>
      <c r="G34" t="s" s="1">
        <v>235</v>
      </c>
      <c r="H34" t="s" s="1">
        <v>309</v>
      </c>
      <c r="I34" t="s" s="4">
        <v>355</v>
      </c>
    </row>
    <row r="35">
      <c r="B35" t="s" s="1">
        <v>6</v>
      </c>
      <c r="C35" t="s" s="1">
        <v>141</v>
      </c>
      <c r="D35" t="s" s="1">
        <v>170</v>
      </c>
      <c r="E35" s="25">
        <v>0.28</v>
      </c>
      <c r="F35" t="s" s="1">
        <v>197</v>
      </c>
      <c r="G35" t="s" s="1">
        <v>236</v>
      </c>
      <c r="H35" t="s" s="1">
        <v>428</v>
      </c>
      <c r="I35" t="s" s="4">
        <v>356</v>
      </c>
    </row>
    <row r="36">
      <c r="B36" t="s" s="1">
        <v>6</v>
      </c>
      <c r="C36" t="s" s="1">
        <v>141</v>
      </c>
      <c r="D36" t="s" s="1">
        <v>170</v>
      </c>
      <c r="E36" s="25">
        <v>0.12</v>
      </c>
      <c r="F36" t="s" s="1">
        <v>199</v>
      </c>
      <c r="G36" t="s" s="1">
        <v>237</v>
      </c>
      <c r="H36" t="s" s="1">
        <v>428</v>
      </c>
      <c r="I36" t="s" s="4">
        <v>357</v>
      </c>
    </row>
    <row r="37">
      <c r="B37" t="s" s="1">
        <v>6</v>
      </c>
      <c r="C37" t="s" s="1">
        <v>139</v>
      </c>
      <c r="D37" t="s" s="1">
        <v>159</v>
      </c>
      <c r="E37" s="17">
        <v>100</v>
      </c>
      <c r="F37" t="s" s="1">
        <v>87</v>
      </c>
      <c r="G37" t="s" s="1">
        <v>238</v>
      </c>
      <c r="H37" t="s" s="1">
        <v>311</v>
      </c>
      <c r="I37" t="s" s="4">
        <v>358</v>
      </c>
    </row>
    <row r="38">
      <c r="B38" t="s" s="1">
        <v>6</v>
      </c>
      <c r="C38" t="s" s="1">
        <v>139</v>
      </c>
      <c r="D38" t="s" s="1">
        <v>159</v>
      </c>
      <c r="E38" s="1"/>
      <c r="F38" s="1"/>
      <c r="G38" t="s" s="1">
        <v>239</v>
      </c>
      <c r="H38" t="s" s="1">
        <v>311</v>
      </c>
      <c r="I38" t="s" s="4">
        <v>359</v>
      </c>
    </row>
    <row r="39">
      <c r="B39" t="s" s="1">
        <v>6</v>
      </c>
      <c r="C39" t="s" s="1">
        <v>141</v>
      </c>
      <c r="D39" t="s" s="1">
        <v>168</v>
      </c>
      <c r="E39" s="1"/>
      <c r="F39" s="1"/>
      <c r="G39" t="s" s="1">
        <v>240</v>
      </c>
      <c r="H39" t="s" s="1">
        <v>428</v>
      </c>
      <c r="I39" t="s" s="4">
        <v>360</v>
      </c>
    </row>
    <row r="40">
      <c r="B40" t="s" s="1">
        <v>6</v>
      </c>
      <c r="C40" t="s" s="1">
        <v>139</v>
      </c>
      <c r="D40" t="s" s="1">
        <v>168</v>
      </c>
      <c r="E40" s="1"/>
      <c r="F40" s="1"/>
      <c r="G40" t="s" s="1">
        <v>241</v>
      </c>
      <c r="H40" t="s" s="1">
        <v>311</v>
      </c>
      <c r="I40" t="s" s="4">
        <v>361</v>
      </c>
    </row>
    <row r="41">
      <c r="B41" t="s" s="1">
        <v>6</v>
      </c>
      <c r="C41" t="s" s="1">
        <v>139</v>
      </c>
      <c r="D41" t="s" s="1">
        <v>169</v>
      </c>
      <c r="E41" s="17">
        <v>4400</v>
      </c>
      <c r="F41" t="s" s="1">
        <v>200</v>
      </c>
      <c r="G41" t="s" s="1">
        <v>242</v>
      </c>
      <c r="H41" t="s" s="1">
        <v>311</v>
      </c>
      <c r="I41" t="s" s="4">
        <v>362</v>
      </c>
    </row>
    <row r="42">
      <c r="B42" t="s" s="1">
        <v>6</v>
      </c>
      <c r="C42" t="s" s="1">
        <v>139</v>
      </c>
      <c r="D42" t="s" s="1">
        <v>169</v>
      </c>
      <c r="E42" s="17">
        <v>220</v>
      </c>
      <c r="F42" t="s" s="1">
        <v>201</v>
      </c>
      <c r="G42" t="s" s="1">
        <v>243</v>
      </c>
      <c r="H42" t="s" s="1">
        <v>311</v>
      </c>
      <c r="I42" t="s" s="4">
        <v>363</v>
      </c>
    </row>
    <row r="43">
      <c r="B43" t="s" s="1">
        <v>6</v>
      </c>
      <c r="C43" t="s" s="1">
        <v>139</v>
      </c>
      <c r="D43" t="s" s="1">
        <v>169</v>
      </c>
      <c r="E43" s="1"/>
      <c r="F43" s="1"/>
      <c r="G43" t="s" s="1">
        <v>244</v>
      </c>
      <c r="H43" t="s" s="1">
        <v>311</v>
      </c>
      <c r="I43" t="s" s="4">
        <v>364</v>
      </c>
    </row>
    <row r="44">
      <c r="B44" t="s" s="23">
        <v>7</v>
      </c>
      <c r="C44" s="23"/>
      <c r="D44" s="23"/>
      <c r="E44" s="23"/>
      <c r="F44" s="23"/>
      <c r="G44" s="23"/>
      <c r="H44" s="23"/>
      <c r="I44" s="24"/>
    </row>
    <row r="45">
      <c r="B45" t="s" s="1">
        <v>7</v>
      </c>
      <c r="C45" t="s" s="1">
        <v>142</v>
      </c>
      <c r="D45" t="s" s="1">
        <v>126</v>
      </c>
      <c r="E45" s="1"/>
      <c r="F45" s="1"/>
      <c r="G45" t="s" s="1">
        <v>245</v>
      </c>
      <c r="H45" t="s" s="1">
        <v>313</v>
      </c>
      <c r="I45" t="s" s="4">
        <v>365</v>
      </c>
    </row>
    <row r="46">
      <c r="B46" t="s" s="1">
        <v>7</v>
      </c>
      <c r="C46" t="s" s="1">
        <v>143</v>
      </c>
      <c r="D46" t="s" s="1">
        <v>126</v>
      </c>
      <c r="E46" s="1"/>
      <c r="F46" s="1"/>
      <c r="G46" t="s" s="1">
        <v>246</v>
      </c>
      <c r="H46" t="s" s="1">
        <v>314</v>
      </c>
      <c r="I46" t="s" s="4">
        <v>366</v>
      </c>
    </row>
    <row r="47">
      <c r="B47" t="s" s="1">
        <v>7</v>
      </c>
      <c r="C47" t="s" s="1">
        <v>142</v>
      </c>
      <c r="D47" t="s" s="1">
        <v>159</v>
      </c>
      <c r="E47" s="1"/>
      <c r="F47" s="1"/>
      <c r="G47" t="s" s="1">
        <v>247</v>
      </c>
      <c r="H47" t="s" s="1">
        <v>315</v>
      </c>
      <c r="I47" t="s" s="4">
        <v>367</v>
      </c>
    </row>
    <row r="48">
      <c r="B48" t="s" s="1">
        <v>7</v>
      </c>
      <c r="C48" t="s" s="1">
        <v>142</v>
      </c>
      <c r="D48" t="s" s="1">
        <v>159</v>
      </c>
      <c r="E48" s="1"/>
      <c r="F48" s="1"/>
      <c r="G48" t="s" s="1">
        <v>248</v>
      </c>
      <c r="H48" t="s" s="1">
        <v>315</v>
      </c>
      <c r="I48" t="s" s="4">
        <v>368</v>
      </c>
    </row>
    <row r="49">
      <c r="B49" t="s" s="1">
        <v>7</v>
      </c>
      <c r="C49" t="s" s="1">
        <v>144</v>
      </c>
      <c r="D49" t="s" s="1">
        <v>159</v>
      </c>
      <c r="E49" s="1"/>
      <c r="F49" s="1"/>
      <c r="G49" t="s" s="1">
        <v>249</v>
      </c>
      <c r="H49" t="s" s="1">
        <v>314</v>
      </c>
      <c r="I49" t="s" s="4">
        <v>369</v>
      </c>
    </row>
    <row r="50">
      <c r="B50" t="s" s="1">
        <v>7</v>
      </c>
      <c r="C50" t="s" s="1">
        <v>142</v>
      </c>
      <c r="D50" t="s" s="1">
        <v>168</v>
      </c>
      <c r="E50" s="1"/>
      <c r="F50" s="1"/>
      <c r="G50" t="s" s="1">
        <v>176</v>
      </c>
      <c r="H50" t="s" s="1">
        <v>315</v>
      </c>
      <c r="I50" t="s" s="4">
        <v>370</v>
      </c>
    </row>
    <row r="51">
      <c r="B51" t="s" s="1">
        <v>7</v>
      </c>
      <c r="C51" t="s" s="1">
        <v>143</v>
      </c>
      <c r="D51" t="s" s="1">
        <v>170</v>
      </c>
      <c r="E51" s="25">
        <v>0.076</v>
      </c>
      <c r="F51" t="s" s="1">
        <v>202</v>
      </c>
      <c r="G51" t="s" s="1">
        <v>250</v>
      </c>
      <c r="H51" t="s" s="1">
        <v>316</v>
      </c>
      <c r="I51" t="s" s="4">
        <v>371</v>
      </c>
    </row>
    <row r="52">
      <c r="B52" t="s" s="1">
        <v>7</v>
      </c>
      <c r="C52" t="s" s="1">
        <v>143</v>
      </c>
      <c r="D52" t="s" s="1">
        <v>169</v>
      </c>
      <c r="E52" s="1"/>
      <c r="F52" s="1"/>
      <c r="G52" t="s" s="1">
        <v>251</v>
      </c>
      <c r="H52" t="s" s="1">
        <v>314</v>
      </c>
      <c r="I52" t="s" s="4">
        <v>372</v>
      </c>
    </row>
    <row r="53">
      <c r="B53" t="s" s="1">
        <v>7</v>
      </c>
      <c r="C53" t="s" s="1">
        <v>144</v>
      </c>
      <c r="D53" t="s" s="1">
        <v>171</v>
      </c>
      <c r="E53" s="17">
        <v>12</v>
      </c>
      <c r="F53" t="s" s="1">
        <v>203</v>
      </c>
      <c r="G53" t="s" s="1">
        <v>252</v>
      </c>
      <c r="H53" t="s" s="1">
        <v>314</v>
      </c>
      <c r="I53" t="s" s="4">
        <v>373</v>
      </c>
    </row>
    <row r="54">
      <c r="B54" t="s" s="1">
        <v>7</v>
      </c>
      <c r="C54" t="s" s="1">
        <v>143</v>
      </c>
      <c r="D54" t="s" s="1">
        <v>171</v>
      </c>
      <c r="E54" s="1"/>
      <c r="F54" s="1"/>
      <c r="G54" t="s" s="1">
        <v>253</v>
      </c>
      <c r="H54" t="s" s="1">
        <v>316</v>
      </c>
      <c r="I54" t="s" s="4">
        <v>374</v>
      </c>
    </row>
    <row r="55">
      <c r="B55" t="s" s="23">
        <v>8</v>
      </c>
      <c r="C55" s="23"/>
      <c r="D55" s="23"/>
      <c r="E55" s="23"/>
      <c r="F55" s="23"/>
      <c r="G55" s="23"/>
      <c r="H55" s="23"/>
      <c r="I55" s="24"/>
    </row>
    <row r="56">
      <c r="B56" t="s" s="1">
        <v>8</v>
      </c>
      <c r="C56" t="s" s="1">
        <v>145</v>
      </c>
      <c r="D56" t="s" s="1">
        <v>126</v>
      </c>
      <c r="E56" s="1"/>
      <c r="F56" s="1"/>
      <c r="G56" t="s" s="1">
        <v>254</v>
      </c>
      <c r="H56" t="s" s="1">
        <v>317</v>
      </c>
      <c r="I56" t="s" s="4">
        <v>375</v>
      </c>
    </row>
    <row r="57">
      <c r="B57" t="s" s="1">
        <v>8</v>
      </c>
      <c r="C57" t="s" s="1">
        <v>145</v>
      </c>
      <c r="D57" t="s" s="1">
        <v>159</v>
      </c>
      <c r="E57" s="17">
        <v>1</v>
      </c>
      <c r="F57" t="s" s="1">
        <v>204</v>
      </c>
      <c r="G57" t="s" s="1">
        <v>255</v>
      </c>
      <c r="H57" t="s" s="1">
        <v>318</v>
      </c>
      <c r="I57" t="s" s="4">
        <v>376</v>
      </c>
    </row>
    <row r="58">
      <c r="B58" t="s" s="1">
        <v>8</v>
      </c>
      <c r="C58" t="s" s="1">
        <v>140</v>
      </c>
      <c r="D58" t="s" s="1">
        <v>159</v>
      </c>
      <c r="E58" s="17">
        <v>2</v>
      </c>
      <c r="F58" t="s" s="1">
        <v>204</v>
      </c>
      <c r="G58" t="s" s="1">
        <v>256</v>
      </c>
      <c r="H58" t="s" s="1">
        <v>317</v>
      </c>
      <c r="I58" t="s" s="4">
        <v>377</v>
      </c>
    </row>
    <row r="59">
      <c r="B59" t="s" s="1">
        <v>8</v>
      </c>
      <c r="C59" t="s" s="1">
        <v>146</v>
      </c>
      <c r="D59" t="s" s="1">
        <v>159</v>
      </c>
      <c r="E59" s="17">
        <v>1</v>
      </c>
      <c r="F59" t="s" s="1">
        <v>204</v>
      </c>
      <c r="G59" t="s" s="1">
        <v>257</v>
      </c>
      <c r="H59" t="s" s="1">
        <v>319</v>
      </c>
      <c r="I59" t="s" s="4">
        <v>378</v>
      </c>
    </row>
    <row r="60">
      <c r="B60" t="s" s="1">
        <v>8</v>
      </c>
      <c r="C60" t="s" s="1">
        <v>140</v>
      </c>
      <c r="D60" t="s" s="1">
        <v>159</v>
      </c>
      <c r="E60" s="1"/>
      <c r="F60" s="1"/>
      <c r="G60" t="s" s="1">
        <v>258</v>
      </c>
      <c r="H60" t="s" s="1">
        <v>318</v>
      </c>
      <c r="I60" t="s" s="4">
        <v>379</v>
      </c>
    </row>
    <row r="61">
      <c r="B61" t="s" s="1">
        <v>8</v>
      </c>
      <c r="C61" t="s" s="1">
        <v>146</v>
      </c>
      <c r="D61" t="s" s="1">
        <v>159</v>
      </c>
      <c r="E61" s="1"/>
      <c r="F61" s="1"/>
      <c r="G61" t="s" s="1">
        <v>259</v>
      </c>
      <c r="H61" t="s" s="1">
        <v>320</v>
      </c>
      <c r="I61" t="s" s="4">
        <v>380</v>
      </c>
    </row>
    <row r="62">
      <c r="B62" t="s" s="1">
        <v>8</v>
      </c>
      <c r="C62" t="s" s="1">
        <v>146</v>
      </c>
      <c r="D62" t="s" s="1">
        <v>159</v>
      </c>
      <c r="E62" s="1"/>
      <c r="F62" s="1"/>
      <c r="G62" t="s" s="1">
        <v>260</v>
      </c>
      <c r="H62" t="s" s="1">
        <v>321</v>
      </c>
      <c r="I62" t="s" s="4">
        <v>381</v>
      </c>
    </row>
    <row r="63">
      <c r="B63" t="s" s="1">
        <v>8</v>
      </c>
      <c r="C63" t="s" s="1">
        <v>140</v>
      </c>
      <c r="D63" t="s" s="1">
        <v>168</v>
      </c>
      <c r="E63" s="1"/>
      <c r="F63" s="1"/>
      <c r="G63" t="s" s="1">
        <v>261</v>
      </c>
      <c r="H63" t="s" s="1">
        <v>317</v>
      </c>
      <c r="I63" t="s" s="4">
        <v>382</v>
      </c>
    </row>
    <row r="64">
      <c r="B64" t="s" s="1">
        <v>8</v>
      </c>
      <c r="C64" t="s" s="1">
        <v>146</v>
      </c>
      <c r="D64" t="s" s="1">
        <v>168</v>
      </c>
      <c r="E64" s="25">
        <v>0.13</v>
      </c>
      <c r="F64" t="s" s="1">
        <v>205</v>
      </c>
      <c r="G64" t="s" s="1">
        <v>262</v>
      </c>
      <c r="H64" t="s" s="1">
        <v>319</v>
      </c>
      <c r="I64" t="s" s="4">
        <v>383</v>
      </c>
    </row>
    <row r="65">
      <c r="B65" t="s" s="1">
        <v>8</v>
      </c>
      <c r="C65" t="s" s="1">
        <v>146</v>
      </c>
      <c r="D65" t="s" s="1">
        <v>168</v>
      </c>
      <c r="E65" s="1"/>
      <c r="F65" s="1"/>
      <c r="G65" t="s" s="1">
        <v>263</v>
      </c>
      <c r="H65" t="s" s="1">
        <v>319</v>
      </c>
      <c r="I65" t="s" s="4">
        <v>384</v>
      </c>
    </row>
    <row r="66">
      <c r="B66" t="s" s="1">
        <v>8</v>
      </c>
      <c r="C66" t="s" s="1">
        <v>140</v>
      </c>
      <c r="D66" t="s" s="1">
        <v>168</v>
      </c>
      <c r="E66" s="1"/>
      <c r="F66" s="1"/>
      <c r="G66" t="s" s="1">
        <v>264</v>
      </c>
      <c r="H66" t="s" s="1">
        <v>318</v>
      </c>
      <c r="I66" t="s" s="4">
        <v>385</v>
      </c>
    </row>
    <row r="67">
      <c r="B67" t="s" s="1">
        <v>8</v>
      </c>
      <c r="C67" t="s" s="1">
        <v>140</v>
      </c>
      <c r="D67" t="s" s="1">
        <v>169</v>
      </c>
      <c r="E67" s="1"/>
      <c r="F67" s="1"/>
      <c r="G67" t="s" s="1">
        <v>265</v>
      </c>
      <c r="H67" t="s" s="1">
        <v>318</v>
      </c>
      <c r="I67" t="s" s="4">
        <v>386</v>
      </c>
    </row>
    <row r="68">
      <c r="B68" t="s" s="23">
        <v>9</v>
      </c>
      <c r="C68" s="23"/>
      <c r="D68" s="23"/>
      <c r="E68" s="23"/>
      <c r="F68" s="23"/>
      <c r="G68" s="23"/>
      <c r="H68" s="23"/>
      <c r="I68" s="24"/>
    </row>
    <row r="69">
      <c r="B69" t="s" s="1">
        <v>9</v>
      </c>
      <c r="C69" t="s" s="1">
        <v>147</v>
      </c>
      <c r="D69" t="s" s="1">
        <v>170</v>
      </c>
      <c r="E69" s="17">
        <v>608</v>
      </c>
      <c r="F69" t="s" s="1">
        <v>206</v>
      </c>
      <c r="G69" t="s" s="1">
        <v>266</v>
      </c>
      <c r="H69" t="s" s="1">
        <v>322</v>
      </c>
      <c r="I69" t="s" s="4">
        <v>387</v>
      </c>
    </row>
    <row r="70">
      <c r="B70" t="s" s="1">
        <v>9</v>
      </c>
      <c r="C70" t="s" s="1">
        <v>148</v>
      </c>
      <c r="D70" t="s" s="1">
        <v>170</v>
      </c>
      <c r="E70" s="25">
        <v>0.15</v>
      </c>
      <c r="F70" t="s" s="1">
        <v>207</v>
      </c>
      <c r="G70" t="s" s="1">
        <v>267</v>
      </c>
      <c r="H70" t="s" s="1">
        <v>323</v>
      </c>
      <c r="I70" t="s" s="4">
        <v>388</v>
      </c>
    </row>
    <row r="71">
      <c r="B71" t="s" s="1">
        <v>9</v>
      </c>
      <c r="C71" t="s" s="1">
        <v>149</v>
      </c>
      <c r="D71" t="s" s="1">
        <v>170</v>
      </c>
      <c r="E71" s="25">
        <v>0.18</v>
      </c>
      <c r="F71" t="s" s="1">
        <v>208</v>
      </c>
      <c r="G71" t="s" s="1">
        <v>268</v>
      </c>
      <c r="H71" t="s" s="1">
        <v>324</v>
      </c>
      <c r="I71" t="s" s="4">
        <v>389</v>
      </c>
    </row>
    <row r="72">
      <c r="B72" t="s" s="1">
        <v>9</v>
      </c>
      <c r="C72" t="s" s="1">
        <v>150</v>
      </c>
      <c r="D72" t="s" s="1">
        <v>170</v>
      </c>
      <c r="E72" s="25">
        <v>0.18</v>
      </c>
      <c r="F72" t="s" s="1">
        <v>208</v>
      </c>
      <c r="G72" t="s" s="1">
        <v>269</v>
      </c>
      <c r="H72" t="s" s="1">
        <v>325</v>
      </c>
      <c r="I72" t="s" s="4">
        <v>390</v>
      </c>
    </row>
    <row r="73">
      <c r="B73" t="s" s="1">
        <v>9</v>
      </c>
      <c r="C73" t="s" s="1">
        <v>150</v>
      </c>
      <c r="D73" t="s" s="1">
        <v>170</v>
      </c>
      <c r="E73" s="25">
        <v>0.1</v>
      </c>
      <c r="F73" t="s" s="1">
        <v>209</v>
      </c>
      <c r="G73" t="s" s="1">
        <v>270</v>
      </c>
      <c r="H73" t="s" s="1">
        <v>326</v>
      </c>
      <c r="I73" t="s" s="4">
        <v>391</v>
      </c>
    </row>
    <row r="74">
      <c r="B74" t="s" s="1">
        <v>9</v>
      </c>
      <c r="C74" t="s" s="1">
        <v>148</v>
      </c>
      <c r="D74" t="s" s="1">
        <v>126</v>
      </c>
      <c r="E74" s="26">
        <v>2</v>
      </c>
      <c r="F74" t="s" s="1">
        <v>210</v>
      </c>
      <c r="G74" t="s" s="1">
        <v>271</v>
      </c>
      <c r="H74" t="s" s="1">
        <v>322</v>
      </c>
      <c r="I74" t="s" s="4">
        <v>392</v>
      </c>
    </row>
    <row r="75">
      <c r="B75" t="s" s="1">
        <v>9</v>
      </c>
      <c r="C75" t="s" s="1">
        <v>148</v>
      </c>
      <c r="D75" t="s" s="1">
        <v>159</v>
      </c>
      <c r="E75" s="1"/>
      <c r="F75" s="1"/>
      <c r="G75" t="s" s="1">
        <v>272</v>
      </c>
      <c r="H75" t="s" s="1">
        <v>323</v>
      </c>
      <c r="I75" t="s" s="4">
        <v>393</v>
      </c>
    </row>
    <row r="76">
      <c r="B76" t="s" s="1">
        <v>9</v>
      </c>
      <c r="C76" t="s" s="1">
        <v>148</v>
      </c>
      <c r="D76" t="s" s="1">
        <v>159</v>
      </c>
      <c r="E76" s="1"/>
      <c r="F76" s="1"/>
      <c r="G76" t="s" s="1">
        <v>273</v>
      </c>
      <c r="H76" t="s" s="1">
        <v>323</v>
      </c>
      <c r="I76" t="s" s="4">
        <v>394</v>
      </c>
    </row>
    <row r="77">
      <c r="B77" t="s" s="1">
        <v>9</v>
      </c>
      <c r="C77" t="s" s="1">
        <v>149</v>
      </c>
      <c r="D77" t="s" s="1">
        <v>159</v>
      </c>
      <c r="E77" s="17">
        <v>7</v>
      </c>
      <c r="F77" t="s" s="1">
        <v>211</v>
      </c>
      <c r="G77" t="s" s="1">
        <v>274</v>
      </c>
      <c r="H77" t="s" s="1">
        <v>326</v>
      </c>
      <c r="I77" t="s" s="4">
        <v>395</v>
      </c>
    </row>
    <row r="78">
      <c r="B78" t="s" s="1">
        <v>9</v>
      </c>
      <c r="C78" t="s" s="1">
        <v>149</v>
      </c>
      <c r="D78" t="s" s="1">
        <v>159</v>
      </c>
      <c r="E78" s="1"/>
      <c r="F78" s="1"/>
      <c r="G78" t="s" s="1">
        <v>275</v>
      </c>
      <c r="H78" t="s" s="1">
        <v>326</v>
      </c>
      <c r="I78" t="s" s="4">
        <v>396</v>
      </c>
    </row>
    <row r="79">
      <c r="B79" t="s" s="1">
        <v>9</v>
      </c>
      <c r="C79" t="s" s="1">
        <v>150</v>
      </c>
      <c r="D79" t="s" s="1">
        <v>159</v>
      </c>
      <c r="E79" s="25">
        <v>0.27</v>
      </c>
      <c r="F79" t="s" s="1">
        <v>212</v>
      </c>
      <c r="G79" t="s" s="1">
        <v>276</v>
      </c>
      <c r="H79" t="s" s="1">
        <v>325</v>
      </c>
      <c r="I79" t="s" s="4">
        <v>397</v>
      </c>
    </row>
    <row r="80">
      <c r="B80" t="s" s="1">
        <v>9</v>
      </c>
      <c r="C80" t="s" s="1">
        <v>147</v>
      </c>
      <c r="D80" t="s" s="1">
        <v>159</v>
      </c>
      <c r="E80" s="1"/>
      <c r="F80" s="1"/>
      <c r="G80" t="s" s="1">
        <v>277</v>
      </c>
      <c r="H80" t="s" s="1">
        <v>323</v>
      </c>
      <c r="I80" t="s" s="4">
        <v>398</v>
      </c>
    </row>
    <row r="81">
      <c r="B81" t="s" s="1">
        <v>9</v>
      </c>
      <c r="C81" t="s" s="1">
        <v>148</v>
      </c>
      <c r="D81" t="s" s="1">
        <v>168</v>
      </c>
      <c r="E81" s="1"/>
      <c r="F81" s="1"/>
      <c r="G81" t="s" s="1">
        <v>278</v>
      </c>
      <c r="H81" t="s" s="1">
        <v>323</v>
      </c>
      <c r="I81" t="s" s="4">
        <v>399</v>
      </c>
    </row>
    <row r="82">
      <c r="B82" t="s" s="1">
        <v>9</v>
      </c>
      <c r="C82" t="s" s="1">
        <v>149</v>
      </c>
      <c r="D82" t="s" s="1">
        <v>168</v>
      </c>
      <c r="E82" s="25">
        <v>0.21</v>
      </c>
      <c r="F82" t="s" s="1">
        <v>213</v>
      </c>
      <c r="G82" t="s" s="1">
        <v>279</v>
      </c>
      <c r="H82" t="s" s="1">
        <v>324</v>
      </c>
      <c r="I82" t="s" s="4">
        <v>400</v>
      </c>
    </row>
    <row r="83">
      <c r="B83" t="s" s="1">
        <v>9</v>
      </c>
      <c r="C83" t="s" s="1">
        <v>150</v>
      </c>
      <c r="D83" t="s" s="1">
        <v>168</v>
      </c>
      <c r="E83" s="25">
        <v>0.22</v>
      </c>
      <c r="F83" t="s" s="1">
        <v>213</v>
      </c>
      <c r="G83" t="s" s="1">
        <v>280</v>
      </c>
      <c r="H83" t="s" s="1">
        <v>325</v>
      </c>
      <c r="I83" t="s" s="4">
        <v>401</v>
      </c>
    </row>
    <row r="84">
      <c r="B84" t="s" s="1">
        <v>9</v>
      </c>
      <c r="C84" t="s" s="1">
        <v>148</v>
      </c>
      <c r="D84" t="s" s="1">
        <v>168</v>
      </c>
      <c r="E84" s="1"/>
      <c r="F84" s="1"/>
      <c r="G84" t="s" s="1">
        <v>281</v>
      </c>
      <c r="H84" t="s" s="1">
        <v>323</v>
      </c>
      <c r="I84" t="s" s="4">
        <v>402</v>
      </c>
    </row>
    <row r="85">
      <c r="B85" t="s" s="1">
        <v>9</v>
      </c>
      <c r="C85" t="s" s="1">
        <v>150</v>
      </c>
      <c r="D85" t="s" s="1">
        <v>169</v>
      </c>
      <c r="E85" s="1"/>
      <c r="F85" s="1"/>
      <c r="G85" t="s" s="1">
        <v>282</v>
      </c>
      <c r="H85" t="s" s="1">
        <v>326</v>
      </c>
      <c r="I85" t="s" s="4">
        <v>403</v>
      </c>
    </row>
    <row r="86">
      <c r="B86" t="s" s="23">
        <v>12</v>
      </c>
      <c r="C86" s="23"/>
      <c r="D86" s="23"/>
      <c r="E86" s="23"/>
      <c r="F86" s="23"/>
      <c r="G86" s="23"/>
      <c r="H86" s="23"/>
      <c r="I86" s="24"/>
    </row>
    <row r="87">
      <c r="B87" t="s" s="1">
        <v>12</v>
      </c>
      <c r="C87" t="s" s="1">
        <v>151</v>
      </c>
      <c r="D87" t="s" s="1">
        <v>159</v>
      </c>
      <c r="E87" s="1"/>
      <c r="F87" s="1"/>
      <c r="G87" t="s" s="1">
        <v>283</v>
      </c>
      <c r="H87" t="s" s="1">
        <v>327</v>
      </c>
      <c r="I87" t="s" s="4">
        <v>404</v>
      </c>
    </row>
    <row r="88">
      <c r="B88" t="s" s="1">
        <v>12</v>
      </c>
      <c r="C88" t="s" s="1">
        <v>136</v>
      </c>
      <c r="D88" t="s" s="1">
        <v>159</v>
      </c>
      <c r="E88" s="17">
        <v>89</v>
      </c>
      <c r="F88" t="s" s="1">
        <v>214</v>
      </c>
      <c r="G88" t="s" s="1">
        <v>284</v>
      </c>
      <c r="H88" t="s" s="1">
        <v>328</v>
      </c>
      <c r="I88" t="s" s="4">
        <v>405</v>
      </c>
    </row>
    <row r="89">
      <c r="B89" t="s" s="1">
        <v>12</v>
      </c>
      <c r="C89" t="s" s="1">
        <v>152</v>
      </c>
      <c r="D89" t="s" s="1">
        <v>169</v>
      </c>
      <c r="E89" s="1"/>
      <c r="F89" s="1"/>
      <c r="G89" t="s" s="1">
        <v>285</v>
      </c>
      <c r="H89" t="s" s="1">
        <v>329</v>
      </c>
      <c r="I89" t="s" s="4">
        <v>406</v>
      </c>
    </row>
    <row r="90">
      <c r="B90" t="s" s="23">
        <v>13</v>
      </c>
      <c r="C90" s="23"/>
      <c r="D90" s="23"/>
      <c r="E90" s="23"/>
      <c r="F90" s="23"/>
      <c r="G90" s="23"/>
      <c r="H90" s="23"/>
      <c r="I90" s="24"/>
    </row>
    <row r="91">
      <c r="B91" t="s" s="1">
        <v>13</v>
      </c>
      <c r="C91" t="s" s="1">
        <v>153</v>
      </c>
      <c r="D91" t="s" s="1">
        <v>159</v>
      </c>
      <c r="E91" s="18">
        <v>-0.03</v>
      </c>
      <c r="F91" t="s" s="1">
        <v>215</v>
      </c>
      <c r="G91" t="s" s="1">
        <v>286</v>
      </c>
      <c r="H91" t="s" s="1">
        <v>330</v>
      </c>
      <c r="I91" t="s" s="4">
        <v>407</v>
      </c>
    </row>
    <row r="92">
      <c r="B92" t="s" s="1">
        <v>13</v>
      </c>
      <c r="C92" t="s" s="1">
        <v>154</v>
      </c>
      <c r="D92" t="s" s="1">
        <v>170</v>
      </c>
      <c r="E92" s="25">
        <v>0.22</v>
      </c>
      <c r="F92" t="s" s="1">
        <v>216</v>
      </c>
      <c r="G92" t="s" s="1">
        <v>287</v>
      </c>
      <c r="H92" t="s" s="1">
        <v>330</v>
      </c>
      <c r="I92" t="s" s="4">
        <v>408</v>
      </c>
    </row>
    <row r="93">
      <c r="B93" t="s" s="1">
        <v>13</v>
      </c>
      <c r="C93" t="s" s="1">
        <v>153</v>
      </c>
      <c r="D93" t="s" s="1">
        <v>168</v>
      </c>
      <c r="E93" s="1"/>
      <c r="F93" s="1"/>
      <c r="G93" t="s" s="1">
        <v>288</v>
      </c>
      <c r="H93" t="s" s="1">
        <v>331</v>
      </c>
      <c r="I93" t="s" s="4">
        <v>409</v>
      </c>
    </row>
    <row r="94">
      <c r="B94" t="s" s="1">
        <v>13</v>
      </c>
      <c r="C94" t="s" s="1">
        <v>155</v>
      </c>
      <c r="D94" t="s" s="1">
        <v>169</v>
      </c>
      <c r="E94" s="1"/>
      <c r="F94" s="1"/>
      <c r="G94" t="s" s="1">
        <v>289</v>
      </c>
      <c r="H94" t="s" s="1">
        <v>332</v>
      </c>
      <c r="I94" t="s" s="4">
        <v>410</v>
      </c>
    </row>
    <row r="95">
      <c r="B95" t="s" s="23">
        <v>11</v>
      </c>
      <c r="C95" s="23"/>
      <c r="D95" s="23"/>
      <c r="E95" s="23"/>
      <c r="F95" s="23"/>
      <c r="G95" s="23"/>
      <c r="H95" s="23"/>
      <c r="I95" s="24"/>
    </row>
    <row r="96">
      <c r="B96" t="s" s="1">
        <v>11</v>
      </c>
      <c r="C96" t="s" s="1">
        <v>156</v>
      </c>
      <c r="D96" t="s" s="1">
        <v>172</v>
      </c>
      <c r="E96" s="1"/>
      <c r="F96" s="1"/>
      <c r="G96" t="s" s="1">
        <v>290</v>
      </c>
      <c r="H96" t="s" s="1">
        <v>333</v>
      </c>
      <c r="I96" s="4"/>
    </row>
    <row r="97">
      <c r="B97" t="s" s="23">
        <v>124</v>
      </c>
      <c r="C97" s="23"/>
      <c r="D97" s="23"/>
      <c r="E97" s="23"/>
      <c r="F97" s="23"/>
      <c r="G97" s="23"/>
      <c r="H97" s="23"/>
      <c r="I97" s="24"/>
    </row>
    <row r="98">
      <c r="B98" t="s" s="1">
        <v>124</v>
      </c>
      <c r="C98" t="s" s="1">
        <v>157</v>
      </c>
      <c r="D98" t="s" s="1">
        <v>159</v>
      </c>
      <c r="E98" s="27">
        <v>0.8</v>
      </c>
      <c r="F98" t="s" s="1">
        <v>217</v>
      </c>
      <c r="G98" t="s" s="1">
        <v>291</v>
      </c>
      <c r="H98" t="s" s="1">
        <v>334</v>
      </c>
      <c r="I98" t="s" s="4">
        <v>411</v>
      </c>
    </row>
    <row r="99">
      <c r="B99" t="s" s="1">
        <v>124</v>
      </c>
      <c r="C99" t="s" s="1">
        <v>158</v>
      </c>
      <c r="D99" t="s" s="1">
        <v>159</v>
      </c>
      <c r="E99" s="1"/>
      <c r="F99" s="1"/>
      <c r="G99" t="s" s="1">
        <v>292</v>
      </c>
      <c r="H99" t="s" s="1">
        <v>335</v>
      </c>
      <c r="I99" t="s" s="4">
        <v>412</v>
      </c>
    </row>
    <row r="100">
      <c r="B100" t="s" s="1">
        <v>124</v>
      </c>
      <c r="C100" t="s" s="1">
        <v>157</v>
      </c>
      <c r="D100" t="s" s="1">
        <v>173</v>
      </c>
      <c r="E100" s="27">
        <v>1.14</v>
      </c>
      <c r="F100" t="s" s="1">
        <v>218</v>
      </c>
      <c r="G100" t="s" s="1">
        <v>293</v>
      </c>
      <c r="H100" t="s" s="1">
        <v>336</v>
      </c>
      <c r="I100" t="s" s="4">
        <v>413</v>
      </c>
    </row>
    <row r="101">
      <c r="B101" t="s" s="1">
        <v>124</v>
      </c>
      <c r="C101" t="s" s="1">
        <v>158</v>
      </c>
      <c r="D101" t="s" s="1">
        <v>173</v>
      </c>
      <c r="E101" s="27">
        <v>1.1</v>
      </c>
      <c r="F101" t="s" s="1">
        <v>219</v>
      </c>
      <c r="G101" t="s" s="1">
        <v>294</v>
      </c>
      <c r="H101" t="s" s="1">
        <v>334</v>
      </c>
      <c r="I101" t="s" s="4">
        <v>414</v>
      </c>
    </row>
    <row r="102">
      <c r="B102" t="s" s="1">
        <v>124</v>
      </c>
      <c r="C102" t="s" s="1">
        <v>143</v>
      </c>
      <c r="D102" t="s" s="1">
        <v>173</v>
      </c>
      <c r="E102" s="27">
        <v>1.08</v>
      </c>
      <c r="F102" t="s" s="1">
        <v>218</v>
      </c>
      <c r="G102" t="s" s="1">
        <v>295</v>
      </c>
      <c r="H102" t="s" s="1">
        <v>337</v>
      </c>
      <c r="I102" t="s" s="4">
        <v>415</v>
      </c>
    </row>
    <row r="103">
      <c r="B103" t="s" s="1">
        <v>124</v>
      </c>
      <c r="C103" t="s" s="1">
        <v>143</v>
      </c>
      <c r="D103" t="s" s="1">
        <v>126</v>
      </c>
      <c r="E103" s="1"/>
      <c r="F103" s="1"/>
      <c r="G103" t="s" s="1">
        <v>296</v>
      </c>
      <c r="H103" t="s" s="1">
        <v>336</v>
      </c>
      <c r="I103" t="s" s="4">
        <v>416</v>
      </c>
    </row>
    <row r="104">
      <c r="B104" t="s" s="1">
        <v>124</v>
      </c>
      <c r="C104" t="s" s="1">
        <v>143</v>
      </c>
      <c r="D104" t="s" s="1">
        <v>126</v>
      </c>
      <c r="E104" s="1"/>
      <c r="F104" s="1"/>
      <c r="G104" t="s" s="1">
        <v>297</v>
      </c>
      <c r="H104" t="s" s="1">
        <v>338</v>
      </c>
      <c r="I104" t="s" s="4">
        <v>417</v>
      </c>
    </row>
    <row r="105">
      <c r="B105" t="s" s="1">
        <v>124</v>
      </c>
      <c r="C105" t="s" s="1">
        <v>157</v>
      </c>
      <c r="D105" t="s" s="1">
        <v>168</v>
      </c>
      <c r="E105" s="1"/>
      <c r="F105" s="1"/>
      <c r="G105" t="s" s="1">
        <v>298</v>
      </c>
      <c r="H105" t="s" s="1">
        <v>334</v>
      </c>
      <c r="I105" t="s" s="4">
        <v>418</v>
      </c>
    </row>
    <row r="106">
      <c r="B106" t="s" s="1">
        <v>124</v>
      </c>
      <c r="C106" t="s" s="1">
        <v>143</v>
      </c>
      <c r="D106" t="s" s="1">
        <v>168</v>
      </c>
      <c r="E106" s="1"/>
      <c r="F106" s="1"/>
      <c r="G106" t="s" s="1">
        <v>299</v>
      </c>
      <c r="H106" t="s" s="1">
        <v>339</v>
      </c>
      <c r="I106" t="s" s="4">
        <v>419</v>
      </c>
    </row>
    <row r="107">
      <c r="B107" t="s" s="1">
        <v>124</v>
      </c>
      <c r="C107" t="s" s="1">
        <v>143</v>
      </c>
      <c r="D107" t="s" s="1">
        <v>169</v>
      </c>
      <c r="E107" s="27">
        <v>0.7</v>
      </c>
      <c r="F107" t="s" s="1">
        <v>220</v>
      </c>
      <c r="G107" t="s" s="1">
        <v>300</v>
      </c>
      <c r="H107" t="s" s="1">
        <v>336</v>
      </c>
      <c r="I107" t="s" s="4">
        <v>420</v>
      </c>
    </row>
    <row r="108">
      <c r="B108" t="s" s="1">
        <v>124</v>
      </c>
      <c r="C108" t="s" s="1">
        <v>143</v>
      </c>
      <c r="D108" t="s" s="1">
        <v>169</v>
      </c>
      <c r="E108" s="1"/>
      <c r="F108" s="1"/>
      <c r="G108" t="s" s="1">
        <v>301</v>
      </c>
      <c r="H108" t="s" s="1">
        <v>340</v>
      </c>
      <c r="I108" t="s" s="4">
        <v>421</v>
      </c>
    </row>
  </sheetData>
  <pageMargins left="0.7" right="0.7" top="0.75" bottom="0.75" header="0.3" footer="0.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129"/>
  <sheetViews>
    <sheetView showGridLines="0" workbookViewId="0">
      <selection activeCell="A1" sqref="A1"/>
    </sheetView>
  </sheetViews>
  <cols>
    <col min="1" max="1" width="2" customWidth="1"/>
    <col min="2" max="2" width="34" customWidth="1"/>
    <col min="3" max="3" width="72" customWidth="1"/>
    <col min="4" max="4" width="11" customWidth="1"/>
    <col min="5" max="5" width="14" customWidth="1"/>
    <col min="6" max="6" width="42" customWidth="1"/>
    <col min="7" max="7" width="14" customWidth="1"/>
  </cols>
  <sheetData>
    <row r="2">
      <c r="B2" t="s" s="3">
        <v>430</v>
      </c>
      <c r="C2" s="1"/>
      <c r="D2" s="1"/>
      <c r="E2" s="1"/>
      <c r="F2" s="1"/>
      <c r="G2" s="1"/>
    </row>
    <row r="3">
      <c r="B3" t="s" s="5">
        <v>431</v>
      </c>
      <c r="C3" s="1"/>
      <c r="D3" s="1"/>
      <c r="E3" s="1"/>
      <c r="F3" s="1"/>
      <c r="G3" s="1"/>
    </row>
    <row r="4">
      <c r="B4" s="1"/>
      <c r="C4" s="1"/>
      <c r="D4" s="1"/>
      <c r="E4" s="1"/>
      <c r="F4" s="1"/>
      <c r="G4" s="1"/>
    </row>
    <row r="5">
      <c r="B5" t="s" s="9">
        <v>432</v>
      </c>
      <c r="C5" s="9"/>
      <c r="D5" s="9"/>
      <c r="E5" s="9"/>
      <c r="F5" s="9"/>
      <c r="G5" s="9"/>
    </row>
    <row r="6">
      <c r="B6" t="s" s="10">
        <v>433</v>
      </c>
      <c r="C6" t="s" s="10">
        <v>446</v>
      </c>
      <c r="D6" t="s" s="13">
        <v>562</v>
      </c>
      <c r="E6" t="s" s="13">
        <v>566</v>
      </c>
      <c r="F6" t="s" s="10">
        <v>585</v>
      </c>
      <c r="G6" s="10"/>
    </row>
    <row r="7">
      <c r="B7" t="s" s="1">
        <v>434</v>
      </c>
      <c r="C7" t="s" s="1">
        <v>483</v>
      </c>
      <c r="D7" s="45">
        <v>4</v>
      </c>
      <c r="E7" t="s" s="14">
        <v>567</v>
      </c>
      <c r="F7" t="s" s="1">
        <v>586</v>
      </c>
      <c r="G7" s="5"/>
    </row>
    <row r="8">
      <c r="B8" t="s" s="1">
        <v>435</v>
      </c>
      <c r="C8" t="s" s="1">
        <v>484</v>
      </c>
      <c r="D8" s="45">
        <v>2</v>
      </c>
      <c r="E8" t="s" s="14">
        <v>568</v>
      </c>
      <c r="F8" t="s" s="1">
        <v>587</v>
      </c>
      <c r="G8" s="5"/>
    </row>
    <row r="9">
      <c r="B9" t="s" s="1">
        <v>436</v>
      </c>
      <c r="C9" t="s" s="1">
        <v>485</v>
      </c>
      <c r="D9" s="45">
        <v>4</v>
      </c>
      <c r="E9" t="s" s="14">
        <v>569</v>
      </c>
      <c r="F9" t="s" s="1">
        <v>588</v>
      </c>
      <c r="G9" s="5"/>
    </row>
    <row r="10">
      <c r="B10" t="s" s="1">
        <v>437</v>
      </c>
      <c r="C10" t="s" s="1">
        <v>486</v>
      </c>
      <c r="D10" s="45">
        <v>3</v>
      </c>
      <c r="E10" t="s" s="14">
        <v>569</v>
      </c>
      <c r="F10" t="s" s="1">
        <v>589</v>
      </c>
      <c r="G10" s="5"/>
    </row>
    <row r="11">
      <c r="B11" t="s" s="1">
        <v>438</v>
      </c>
      <c r="C11" t="s" s="1">
        <v>487</v>
      </c>
      <c r="D11" s="45">
        <v>2</v>
      </c>
      <c r="E11" t="s" s="14">
        <v>570</v>
      </c>
      <c r="F11" t="s" s="1">
        <v>590</v>
      </c>
      <c r="G11" s="5"/>
    </row>
    <row r="12">
      <c r="B12" t="s" s="11">
        <v>439</v>
      </c>
      <c r="C12" s="11"/>
      <c r="D12" s="32">
        <f>AVERAGE(D7:D11)</f>
        <v>3</v>
      </c>
      <c r="E12" s="33"/>
      <c r="F12" s="11"/>
      <c r="G12" s="19"/>
    </row>
    <row r="13">
      <c r="B13" s="1"/>
      <c r="C13" s="1"/>
      <c r="D13" s="1"/>
      <c r="E13" s="1"/>
      <c r="F13" s="1"/>
      <c r="G13" s="5"/>
    </row>
    <row r="14">
      <c r="B14" t="s" s="9">
        <v>440</v>
      </c>
      <c r="C14" s="9"/>
      <c r="D14" s="9"/>
      <c r="E14" s="9"/>
      <c r="F14" s="9"/>
      <c r="G14" s="42"/>
    </row>
    <row r="15">
      <c r="B15" t="s" s="10">
        <v>441</v>
      </c>
      <c r="C15" t="s" s="10">
        <v>488</v>
      </c>
      <c r="D15" t="s" s="10">
        <v>563</v>
      </c>
      <c r="E15" t="s" s="10">
        <v>190</v>
      </c>
      <c r="F15" t="s" s="10">
        <v>92</v>
      </c>
      <c r="G15" t="s" s="10">
        <v>625</v>
      </c>
    </row>
    <row r="16">
      <c r="B16" t="s" s="23">
        <v>442</v>
      </c>
      <c r="C16" s="23"/>
      <c r="D16" s="23"/>
      <c r="E16" s="23"/>
      <c r="F16" s="23"/>
      <c r="G16" s="43"/>
    </row>
    <row r="17">
      <c r="B17" t="s" s="2">
        <v>443</v>
      </c>
      <c r="C17" t="s" s="2">
        <v>489</v>
      </c>
      <c r="D17" s="2"/>
      <c r="E17" s="2"/>
      <c r="F17" t="s" s="2">
        <v>591</v>
      </c>
      <c r="G17" s="44"/>
    </row>
    <row r="18">
      <c r="B18" t="s" s="1">
        <v>444</v>
      </c>
      <c r="C18" t="s" s="1">
        <v>490</v>
      </c>
      <c r="D18" s="1"/>
      <c r="E18" s="1"/>
      <c r="F18" t="s" s="1">
        <v>592</v>
      </c>
      <c r="G18" s="5"/>
    </row>
    <row r="19">
      <c r="B19" t="s" s="1">
        <v>444</v>
      </c>
      <c r="C19" t="s" s="1">
        <v>491</v>
      </c>
      <c r="D19" s="17">
        <v>4100</v>
      </c>
      <c r="E19" t="s" s="1">
        <v>571</v>
      </c>
      <c r="F19" t="s" s="1">
        <v>592</v>
      </c>
      <c r="G19" s="5"/>
    </row>
    <row r="20">
      <c r="B20" t="s" s="1">
        <v>444</v>
      </c>
      <c r="C20" t="s" s="1">
        <v>492</v>
      </c>
      <c r="D20" s="27">
        <v>0.8</v>
      </c>
      <c r="E20" t="s" s="1">
        <v>217</v>
      </c>
      <c r="F20" t="s" s="1">
        <v>559</v>
      </c>
      <c r="G20" s="5"/>
    </row>
    <row r="21">
      <c r="B21" t="s" s="1">
        <v>444</v>
      </c>
      <c r="C21" t="s" s="1">
        <v>493</v>
      </c>
      <c r="D21" s="27">
        <v>0.22</v>
      </c>
      <c r="E21" t="s" s="1">
        <v>72</v>
      </c>
      <c r="F21" t="s" s="1">
        <v>593</v>
      </c>
      <c r="G21" s="5"/>
    </row>
    <row r="22">
      <c r="B22" t="s" s="1">
        <v>444</v>
      </c>
      <c r="C22" t="s" s="1">
        <v>494</v>
      </c>
      <c r="D22" s="34">
        <f>'Rival calls'!E30</f>
        <v>0.052</v>
      </c>
      <c r="E22" t="s" s="1">
        <v>72</v>
      </c>
      <c r="F22" t="s" s="1">
        <v>594</v>
      </c>
      <c r="G22" s="5"/>
    </row>
    <row r="23">
      <c r="B23" t="s" s="1">
        <v>444</v>
      </c>
      <c r="C23" t="s" s="1">
        <v>495</v>
      </c>
      <c r="D23" s="34">
        <f>'Rival calls'!E36</f>
        <v>0.12</v>
      </c>
      <c r="E23" t="s" s="1">
        <v>72</v>
      </c>
      <c r="F23" t="s" s="1">
        <v>594</v>
      </c>
      <c r="G23" s="5"/>
    </row>
    <row r="24">
      <c r="B24" t="s" s="1">
        <v>444</v>
      </c>
      <c r="C24" t="s" s="1">
        <v>496</v>
      </c>
      <c r="D24" s="34">
        <f>Landscape!P11</f>
        <v>0.07260273972602738</v>
      </c>
      <c r="E24" t="s" s="1">
        <v>72</v>
      </c>
      <c r="F24" t="s" s="1">
        <v>595</v>
      </c>
      <c r="G24" s="5"/>
    </row>
    <row r="25">
      <c r="B25" t="s" s="1">
        <v>444</v>
      </c>
      <c r="C25" t="s" s="1">
        <v>497</v>
      </c>
      <c r="D25" s="34">
        <f>Landscape!P12</f>
        <v>0.14383561643835607</v>
      </c>
      <c r="E25" t="s" s="1">
        <v>72</v>
      </c>
      <c r="F25" t="s" s="1">
        <v>595</v>
      </c>
      <c r="G25" s="5"/>
    </row>
    <row r="26">
      <c r="B26" t="s" s="1">
        <v>444</v>
      </c>
      <c r="C26" t="s" s="1">
        <v>498</v>
      </c>
      <c r="D26" s="1"/>
      <c r="E26" s="1"/>
      <c r="F26" t="s" s="1">
        <v>596</v>
      </c>
      <c r="G26" s="5"/>
    </row>
    <row r="27">
      <c r="B27" t="s" s="1">
        <v>444</v>
      </c>
      <c r="C27" t="s" s="1">
        <v>499</v>
      </c>
      <c r="D27" s="1"/>
      <c r="E27" s="1"/>
      <c r="F27" t="s" s="1">
        <v>597</v>
      </c>
      <c r="G27" s="5"/>
    </row>
    <row r="28">
      <c r="B28" t="s" s="1">
        <v>444</v>
      </c>
      <c r="C28" t="s" s="1">
        <v>500</v>
      </c>
      <c r="D28" s="1"/>
      <c r="E28" s="1"/>
      <c r="F28" t="s" s="1">
        <v>598</v>
      </c>
      <c r="G28" s="5"/>
    </row>
    <row r="29">
      <c r="B29" t="s" s="1">
        <v>445</v>
      </c>
      <c r="C29" t="s" s="1">
        <v>501</v>
      </c>
      <c r="D29" s="35">
        <f>'Rival calls'!E72</f>
        <v>0.18</v>
      </c>
      <c r="E29" t="s" s="1">
        <v>72</v>
      </c>
      <c r="F29" t="s" s="1">
        <v>594</v>
      </c>
      <c r="G29" t="s" s="5">
        <v>626</v>
      </c>
    </row>
    <row r="30">
      <c r="B30" t="s" s="1">
        <v>445</v>
      </c>
      <c r="C30" t="s" s="1">
        <v>502</v>
      </c>
      <c r="D30" s="21">
        <f>F100</f>
        <v>0.1695164145918182</v>
      </c>
      <c r="E30" t="s" s="1">
        <v>72</v>
      </c>
      <c r="F30" t="s" s="1">
        <v>599</v>
      </c>
      <c r="G30" s="5"/>
    </row>
    <row r="31">
      <c r="B31" t="s" s="1">
        <v>445</v>
      </c>
      <c r="C31" t="s" s="1">
        <v>503</v>
      </c>
      <c r="D31" s="1"/>
      <c r="E31" s="1"/>
      <c r="F31" t="s" s="1">
        <v>600</v>
      </c>
      <c r="G31" s="5"/>
    </row>
    <row r="32">
      <c r="B32" t="s" s="1">
        <v>445</v>
      </c>
      <c r="C32" t="s" s="1">
        <v>504</v>
      </c>
      <c r="D32" s="35">
        <f>'Rival calls'!E83</f>
        <v>0.22</v>
      </c>
      <c r="E32" t="s" s="1">
        <v>72</v>
      </c>
      <c r="F32" t="s" s="1">
        <v>594</v>
      </c>
      <c r="G32" s="5"/>
    </row>
    <row r="33">
      <c r="B33" t="s" s="1">
        <v>445</v>
      </c>
      <c r="C33" t="s" s="1">
        <v>505</v>
      </c>
      <c r="D33" s="35">
        <f>'Rival calls'!E64</f>
        <v>0.13</v>
      </c>
      <c r="E33" t="s" s="1">
        <v>72</v>
      </c>
      <c r="F33" t="s" s="1">
        <v>594</v>
      </c>
      <c r="G33" s="5"/>
    </row>
    <row r="34">
      <c r="B34" t="s" s="1">
        <v>445</v>
      </c>
      <c r="C34" t="s" s="1">
        <v>506</v>
      </c>
      <c r="D34" s="1"/>
      <c r="E34" s="1"/>
      <c r="F34" t="s" s="1">
        <v>601</v>
      </c>
      <c r="G34" t="s" s="5">
        <v>627</v>
      </c>
    </row>
    <row r="35">
      <c r="B35" t="s" s="1">
        <v>445</v>
      </c>
      <c r="C35" t="s" s="1">
        <v>507</v>
      </c>
      <c r="D35" s="1"/>
      <c r="E35" s="1"/>
      <c r="F35" t="s" s="1">
        <v>602</v>
      </c>
      <c r="G35" s="5"/>
    </row>
    <row r="36">
      <c r="B36" t="s" s="2">
        <v>446</v>
      </c>
      <c r="C36" t="s" s="2">
        <v>508</v>
      </c>
      <c r="D36" s="2"/>
      <c r="E36" s="2"/>
      <c r="F36" s="2"/>
      <c r="G36" s="44"/>
    </row>
    <row r="37">
      <c r="B37" t="s" s="23">
        <v>447</v>
      </c>
      <c r="C37" s="23"/>
      <c r="D37" s="23"/>
      <c r="E37" s="23"/>
      <c r="F37" s="23"/>
      <c r="G37" s="43"/>
    </row>
    <row r="38">
      <c r="B38" t="s" s="2">
        <v>443</v>
      </c>
      <c r="C38" t="s" s="2">
        <v>509</v>
      </c>
      <c r="D38" s="2"/>
      <c r="E38" s="2"/>
      <c r="F38" t="s" s="2">
        <v>603</v>
      </c>
      <c r="G38" s="44"/>
    </row>
    <row r="39">
      <c r="B39" t="s" s="1">
        <v>444</v>
      </c>
      <c r="C39" t="s" s="1">
        <v>510</v>
      </c>
      <c r="D39" s="22">
        <f>D95</f>
        <v>1.16</v>
      </c>
      <c r="E39" t="s" s="1">
        <v>218</v>
      </c>
      <c r="F39" t="s" s="1">
        <v>604</v>
      </c>
      <c r="G39" s="5"/>
    </row>
    <row r="40">
      <c r="B40" t="s" s="1">
        <v>444</v>
      </c>
      <c r="C40" t="s" s="1">
        <v>511</v>
      </c>
      <c r="D40" s="27">
        <v>1.14</v>
      </c>
      <c r="E40" t="s" s="1">
        <v>218</v>
      </c>
      <c r="F40" t="s" s="1">
        <v>593</v>
      </c>
      <c r="G40" s="5"/>
    </row>
    <row r="41">
      <c r="B41" t="s" s="1">
        <v>444</v>
      </c>
      <c r="C41" t="s" s="1">
        <v>512</v>
      </c>
      <c r="D41" s="35">
        <f>'Rival calls'!E107</f>
        <v>0.7</v>
      </c>
      <c r="E41" t="s" s="1">
        <v>72</v>
      </c>
      <c r="F41" t="s" s="1">
        <v>594</v>
      </c>
      <c r="G41" s="5"/>
    </row>
    <row r="42">
      <c r="B42" t="s" s="1">
        <v>445</v>
      </c>
      <c r="C42" t="s" s="1">
        <v>513</v>
      </c>
      <c r="D42" s="22">
        <f>D98</f>
        <v>1.08</v>
      </c>
      <c r="E42" t="s" s="1">
        <v>218</v>
      </c>
      <c r="F42" t="s" s="1">
        <v>551</v>
      </c>
      <c r="G42" s="5"/>
    </row>
    <row r="43">
      <c r="B43" t="s" s="1">
        <v>445</v>
      </c>
      <c r="C43" t="s" s="1">
        <v>514</v>
      </c>
      <c r="D43" s="51">
        <f>(D98-D95)*100</f>
        <v>-7.999999999999985</v>
      </c>
      <c r="E43" t="s" s="1">
        <v>572</v>
      </c>
      <c r="F43" t="s" s="1">
        <v>557</v>
      </c>
      <c r="G43" s="5"/>
    </row>
    <row r="44">
      <c r="B44" t="s" s="1">
        <v>445</v>
      </c>
      <c r="C44" t="s" s="1">
        <v>515</v>
      </c>
      <c r="D44" s="1"/>
      <c r="E44" s="1"/>
      <c r="F44" t="s" s="1">
        <v>605</v>
      </c>
      <c r="G44" s="5"/>
    </row>
    <row r="45">
      <c r="B45" t="s" s="1">
        <v>445</v>
      </c>
      <c r="C45" t="s" s="1">
        <v>516</v>
      </c>
      <c r="D45" s="1"/>
      <c r="E45" s="1"/>
      <c r="F45" t="s" s="1">
        <v>606</v>
      </c>
      <c r="G45" s="5"/>
    </row>
    <row r="46">
      <c r="B46" t="s" s="1">
        <v>445</v>
      </c>
      <c r="C46" t="s" s="1">
        <v>517</v>
      </c>
      <c r="D46" s="1"/>
      <c r="E46" s="1"/>
      <c r="F46" t="s" s="1">
        <v>607</v>
      </c>
      <c r="G46" s="5"/>
    </row>
    <row r="47">
      <c r="B47" t="s" s="2">
        <v>446</v>
      </c>
      <c r="C47" t="s" s="2">
        <v>518</v>
      </c>
      <c r="D47" s="2"/>
      <c r="E47" s="2"/>
      <c r="F47" s="2"/>
      <c r="G47" s="44"/>
    </row>
    <row r="48">
      <c r="B48" t="s" s="23">
        <v>448</v>
      </c>
      <c r="C48" s="23"/>
      <c r="D48" s="23"/>
      <c r="E48" s="23"/>
      <c r="F48" s="23"/>
      <c r="G48" s="43"/>
    </row>
    <row r="49">
      <c r="B49" t="s" s="2">
        <v>443</v>
      </c>
      <c r="C49" t="s" s="2">
        <v>519</v>
      </c>
      <c r="D49" s="2"/>
      <c r="E49" s="2"/>
      <c r="F49" t="s" s="2">
        <v>608</v>
      </c>
      <c r="G49" s="44"/>
    </row>
    <row r="50">
      <c r="B50" t="s" s="1">
        <v>444</v>
      </c>
      <c r="C50" t="s" s="1">
        <v>520</v>
      </c>
      <c r="D50" s="27">
        <v>0.98</v>
      </c>
      <c r="E50" t="s" s="1">
        <v>573</v>
      </c>
      <c r="F50" t="s" s="1">
        <v>551</v>
      </c>
      <c r="G50" s="5"/>
    </row>
    <row r="51">
      <c r="B51" t="s" s="1">
        <v>444</v>
      </c>
      <c r="C51" t="s" s="1">
        <v>521</v>
      </c>
      <c r="D51" s="35">
        <f>'Rival calls'!E21</f>
        <v>0.97</v>
      </c>
      <c r="E51" t="s" s="1">
        <v>574</v>
      </c>
      <c r="F51" t="s" s="1">
        <v>594</v>
      </c>
      <c r="G51" s="5"/>
    </row>
    <row r="52">
      <c r="B52" t="s" s="1">
        <v>444</v>
      </c>
      <c r="C52" t="s" s="1">
        <v>522</v>
      </c>
      <c r="D52" s="1"/>
      <c r="E52" s="1"/>
      <c r="F52" t="s" s="1">
        <v>609</v>
      </c>
      <c r="G52" s="5"/>
    </row>
    <row r="53">
      <c r="B53" t="s" s="1">
        <v>445</v>
      </c>
      <c r="C53" t="s" s="1">
        <v>523</v>
      </c>
      <c r="D53" s="1"/>
      <c r="E53" s="1"/>
      <c r="F53" t="s" s="1">
        <v>560</v>
      </c>
      <c r="G53" s="5"/>
    </row>
    <row r="54">
      <c r="B54" t="s" s="1">
        <v>445</v>
      </c>
      <c r="C54" t="s" s="1">
        <v>524</v>
      </c>
      <c r="D54" s="21">
        <f>D111</f>
        <v>0.059520561874104094</v>
      </c>
      <c r="E54" t="s" s="1">
        <v>575</v>
      </c>
      <c r="F54" t="s" s="1">
        <v>610</v>
      </c>
      <c r="G54" s="5"/>
    </row>
    <row r="55">
      <c r="B55" t="s" s="1">
        <v>445</v>
      </c>
      <c r="C55" t="s" s="1">
        <v>525</v>
      </c>
      <c r="D55" s="1"/>
      <c r="E55" s="1"/>
      <c r="F55" t="s" s="1">
        <v>611</v>
      </c>
      <c r="G55" s="5"/>
    </row>
    <row r="56">
      <c r="B56" t="s" s="1">
        <v>445</v>
      </c>
      <c r="C56" t="s" s="1">
        <v>526</v>
      </c>
      <c r="D56" s="1"/>
      <c r="E56" s="1"/>
      <c r="F56" t="s" s="1">
        <v>612</v>
      </c>
      <c r="G56" s="5"/>
    </row>
    <row r="57">
      <c r="B57" t="s" s="1">
        <v>445</v>
      </c>
      <c r="C57" t="s" s="1">
        <v>527</v>
      </c>
      <c r="D57" s="1"/>
      <c r="E57" s="1"/>
      <c r="F57" t="s" s="1">
        <v>613</v>
      </c>
      <c r="G57" s="5"/>
    </row>
    <row r="58">
      <c r="B58" t="s" s="2">
        <v>446</v>
      </c>
      <c r="C58" t="s" s="2">
        <v>528</v>
      </c>
      <c r="D58" s="2"/>
      <c r="E58" s="2"/>
      <c r="F58" s="2"/>
      <c r="G58" s="44"/>
    </row>
    <row r="59">
      <c r="B59" t="s" s="23">
        <v>449</v>
      </c>
      <c r="C59" s="23"/>
      <c r="D59" s="23"/>
      <c r="E59" s="23"/>
      <c r="F59" s="23"/>
      <c r="G59" s="43"/>
    </row>
    <row r="60">
      <c r="B60" t="s" s="2">
        <v>443</v>
      </c>
      <c r="C60" t="s" s="2">
        <v>529</v>
      </c>
      <c r="D60" s="36">
        <v>4.4</v>
      </c>
      <c r="E60" t="s" s="2">
        <v>576</v>
      </c>
      <c r="F60" t="s" s="2">
        <v>614</v>
      </c>
      <c r="G60" s="44"/>
    </row>
    <row r="61">
      <c r="B61" t="s" s="1">
        <v>444</v>
      </c>
      <c r="C61" t="s" s="1">
        <v>530</v>
      </c>
      <c r="D61" s="27">
        <v>0.31</v>
      </c>
      <c r="E61" t="s" s="1">
        <v>577</v>
      </c>
      <c r="F61" t="s" s="1">
        <v>559</v>
      </c>
      <c r="G61" s="5"/>
    </row>
    <row r="62">
      <c r="B62" t="s" s="1">
        <v>444</v>
      </c>
      <c r="C62" t="s" s="1">
        <v>531</v>
      </c>
      <c r="D62" s="37">
        <v>6.3</v>
      </c>
      <c r="E62" t="s" s="1">
        <v>578</v>
      </c>
      <c r="F62" t="s" s="1">
        <v>555</v>
      </c>
      <c r="G62" s="5"/>
    </row>
    <row r="63">
      <c r="B63" t="s" s="1">
        <v>444</v>
      </c>
      <c r="C63" t="s" s="1">
        <v>532</v>
      </c>
      <c r="D63" s="1"/>
      <c r="E63" s="1"/>
      <c r="F63" t="s" s="1">
        <v>612</v>
      </c>
      <c r="G63" s="5"/>
    </row>
    <row r="64">
      <c r="B64" t="s" s="1">
        <v>444</v>
      </c>
      <c r="C64" t="s" s="1">
        <v>533</v>
      </c>
      <c r="D64" s="27">
        <v>0.04</v>
      </c>
      <c r="E64" t="s" s="1">
        <v>577</v>
      </c>
      <c r="F64" t="s" s="1">
        <v>559</v>
      </c>
      <c r="G64" s="5"/>
    </row>
    <row r="65">
      <c r="B65" t="s" s="1">
        <v>445</v>
      </c>
      <c r="C65" t="s" s="1">
        <v>534</v>
      </c>
      <c r="D65" s="38">
        <f>'Rival calls'!E37</f>
        <v>100</v>
      </c>
      <c r="E65" t="s" s="1">
        <v>579</v>
      </c>
      <c r="F65" t="s" s="1">
        <v>594</v>
      </c>
      <c r="G65" s="5"/>
    </row>
    <row r="66">
      <c r="B66" t="s" s="1">
        <v>445</v>
      </c>
      <c r="C66" t="s" s="1">
        <v>535</v>
      </c>
      <c r="D66" s="1"/>
      <c r="E66" s="1"/>
      <c r="F66" t="s" s="1">
        <v>615</v>
      </c>
      <c r="G66" s="5"/>
    </row>
    <row r="67">
      <c r="B67" t="s" s="1">
        <v>445</v>
      </c>
      <c r="C67" t="s" s="1">
        <v>536</v>
      </c>
      <c r="D67" s="1"/>
      <c r="E67" s="1"/>
      <c r="F67" t="s" s="1">
        <v>616</v>
      </c>
      <c r="G67" s="5"/>
    </row>
    <row r="68">
      <c r="B68" t="s" s="1">
        <v>445</v>
      </c>
      <c r="C68" t="s" s="1">
        <v>537</v>
      </c>
      <c r="D68" s="1"/>
      <c r="E68" s="1"/>
      <c r="F68" t="s" s="1">
        <v>617</v>
      </c>
      <c r="G68" s="5"/>
    </row>
    <row r="69">
      <c r="B69" t="s" s="1">
        <v>445</v>
      </c>
      <c r="C69" t="s" s="20">
        <v>858</v>
      </c>
      <c r="D69" s="1"/>
      <c r="E69" s="1"/>
      <c r="F69" t="s" s="1">
        <v>618</v>
      </c>
      <c r="G69" s="5"/>
    </row>
    <row r="70">
      <c r="B70" t="s" s="1">
        <v>445</v>
      </c>
      <c r="C70" t="s" s="1">
        <v>539</v>
      </c>
      <c r="D70" s="27">
        <v>0.18</v>
      </c>
      <c r="E70" t="s" s="1">
        <v>575</v>
      </c>
      <c r="F70" t="s" s="1">
        <v>561</v>
      </c>
      <c r="G70" s="5"/>
    </row>
    <row r="71">
      <c r="B71" t="s" s="2">
        <v>446</v>
      </c>
      <c r="C71" t="s" s="2">
        <v>540</v>
      </c>
      <c r="D71" s="2"/>
      <c r="E71" s="2"/>
      <c r="F71" s="2"/>
      <c r="G71" s="44"/>
    </row>
    <row r="72">
      <c r="B72" t="s" s="23">
        <v>450</v>
      </c>
      <c r="C72" s="23"/>
      <c r="D72" s="23"/>
      <c r="E72" s="23"/>
      <c r="F72" s="23"/>
      <c r="G72" s="43"/>
    </row>
    <row r="73">
      <c r="B73" t="s" s="2">
        <v>443</v>
      </c>
      <c r="C73" t="s" s="2">
        <v>541</v>
      </c>
      <c r="D73" s="39">
        <v>800</v>
      </c>
      <c r="E73" t="s" s="2">
        <v>580</v>
      </c>
      <c r="F73" t="s" s="2">
        <v>619</v>
      </c>
      <c r="G73" s="44"/>
    </row>
    <row r="74">
      <c r="B74" t="s" s="1">
        <v>444</v>
      </c>
      <c r="C74" t="s" s="1">
        <v>542</v>
      </c>
      <c r="D74" s="1"/>
      <c r="E74" s="1"/>
      <c r="F74" t="s" s="1">
        <v>620</v>
      </c>
      <c r="G74" s="5"/>
    </row>
    <row r="75">
      <c r="B75" t="s" s="1">
        <v>445</v>
      </c>
      <c r="C75" t="s" s="1">
        <v>543</v>
      </c>
      <c r="D75" s="1"/>
      <c r="E75" s="1"/>
      <c r="F75" t="s" s="1">
        <v>621</v>
      </c>
      <c r="G75" s="5"/>
    </row>
    <row r="76">
      <c r="B76" t="s" s="1">
        <v>445</v>
      </c>
      <c r="C76" t="s" s="1">
        <v>544</v>
      </c>
      <c r="D76" s="40">
        <v>18.09</v>
      </c>
      <c r="E76" t="s" s="1">
        <v>581</v>
      </c>
      <c r="F76" t="s" s="1">
        <v>622</v>
      </c>
      <c r="G76" s="5"/>
    </row>
    <row r="77">
      <c r="B77" t="s" s="1">
        <v>445</v>
      </c>
      <c r="C77" t="s" s="1">
        <v>545</v>
      </c>
      <c r="D77" s="1"/>
      <c r="E77" s="1"/>
      <c r="F77" t="s" s="1">
        <v>623</v>
      </c>
      <c r="G77" s="5"/>
    </row>
    <row r="78">
      <c r="B78" t="s" s="1">
        <v>445</v>
      </c>
      <c r="C78" t="s" s="1">
        <v>546</v>
      </c>
      <c r="D78" s="1"/>
      <c r="E78" s="1"/>
      <c r="F78" t="s" s="1">
        <v>615</v>
      </c>
      <c r="G78" s="5"/>
    </row>
    <row r="79">
      <c r="B79" t="s" s="2">
        <v>446</v>
      </c>
      <c r="C79" t="s" s="2">
        <v>547</v>
      </c>
      <c r="D79" s="2"/>
      <c r="E79" s="2"/>
      <c r="F79" s="2"/>
      <c r="G79" s="44"/>
    </row>
    <row r="80">
      <c r="B80" s="1"/>
      <c r="C80" s="1"/>
      <c r="D80" s="1"/>
      <c r="E80" s="1"/>
      <c r="F80" s="1"/>
      <c r="G80" s="5"/>
    </row>
    <row r="81">
      <c r="B81" t="s" s="9">
        <v>451</v>
      </c>
      <c r="C81" s="9"/>
      <c r="D81" s="9"/>
      <c r="E81" s="9"/>
      <c r="F81" s="9"/>
      <c r="G81" s="42"/>
    </row>
    <row r="82">
      <c r="B82" t="s" s="23">
        <v>452</v>
      </c>
      <c r="C82" s="23"/>
      <c r="D82" s="23"/>
      <c r="E82" s="23"/>
      <c r="F82" s="23"/>
      <c r="G82" s="43"/>
    </row>
    <row r="83">
      <c r="B83" t="s" s="10">
        <v>453</v>
      </c>
      <c r="C83" t="s" s="10">
        <v>92</v>
      </c>
      <c r="D83" t="s" s="10">
        <v>218</v>
      </c>
      <c r="E83" t="s" s="10">
        <v>573</v>
      </c>
      <c r="F83" t="s" s="10">
        <v>624</v>
      </c>
      <c r="G83" s="10"/>
    </row>
    <row r="84">
      <c r="B84" s="29">
        <f>DATE(2022,3,31)</f>
        <v>44651</v>
      </c>
      <c r="C84" t="s" s="1">
        <v>548</v>
      </c>
      <c r="D84" s="27">
        <v>1.07</v>
      </c>
      <c r="E84" s="27">
        <v>0.98</v>
      </c>
      <c r="F84" s="16">
        <v>287.137</v>
      </c>
      <c r="G84" s="5"/>
    </row>
    <row r="85">
      <c r="B85" s="29">
        <f>DATE(2022,6,30)</f>
        <v>44742</v>
      </c>
      <c r="C85" t="s" s="1">
        <v>548</v>
      </c>
      <c r="D85" s="27">
        <v>1.04</v>
      </c>
      <c r="E85" s="27">
        <v>0.98</v>
      </c>
      <c r="F85" s="16">
        <v>290.354</v>
      </c>
      <c r="G85" s="5"/>
    </row>
    <row r="86">
      <c r="B86" s="29">
        <f>DATE(2022,9,30)</f>
        <v>44834</v>
      </c>
      <c r="C86" t="s" s="1">
        <v>548</v>
      </c>
      <c r="D86" s="27">
        <v>1.03</v>
      </c>
      <c r="E86" s="27">
        <v>0.98</v>
      </c>
      <c r="F86" s="16">
        <v>303.56</v>
      </c>
      <c r="G86" s="5"/>
    </row>
    <row r="87">
      <c r="B87" s="29">
        <f>DATE(2022,12,31)</f>
        <v>44926</v>
      </c>
      <c r="C87" t="s" s="1">
        <v>548</v>
      </c>
      <c r="D87" s="27">
        <v>1.06</v>
      </c>
      <c r="E87" s="27">
        <v>0.98</v>
      </c>
      <c r="F87" s="16">
        <v>323.461</v>
      </c>
      <c r="G87" s="5"/>
    </row>
    <row r="88">
      <c r="B88" s="29">
        <f>DATE(2023,3,31)</f>
        <v>45016</v>
      </c>
      <c r="C88" t="s" s="1">
        <v>548</v>
      </c>
      <c r="D88" s="27">
        <v>1.06</v>
      </c>
      <c r="E88" s="27">
        <v>0.97</v>
      </c>
      <c r="F88" s="16">
        <v>337.366</v>
      </c>
      <c r="G88" s="5"/>
    </row>
    <row r="89">
      <c r="B89" s="29">
        <f>DATE(2023,6,30)</f>
        <v>45107</v>
      </c>
      <c r="C89" t="s" s="1">
        <v>548</v>
      </c>
      <c r="D89" s="27">
        <v>1.09</v>
      </c>
      <c r="E89" s="27">
        <v>0.98</v>
      </c>
      <c r="F89" s="16">
        <v>349.536</v>
      </c>
      <c r="G89" s="5"/>
    </row>
    <row r="90">
      <c r="B90" s="29">
        <f>DATE(2023,9,30)</f>
        <v>45199</v>
      </c>
      <c r="C90" t="s" s="1">
        <v>548</v>
      </c>
      <c r="D90" s="27">
        <v>1.08</v>
      </c>
      <c r="E90" s="27">
        <v>0.98</v>
      </c>
      <c r="F90" s="16">
        <v>362.442</v>
      </c>
      <c r="G90" s="5"/>
    </row>
    <row r="91">
      <c r="B91" s="29">
        <f>DATE(2023,12,31)</f>
        <v>45291</v>
      </c>
      <c r="C91" t="s" s="1">
        <v>548</v>
      </c>
      <c r="D91" s="27">
        <v>1.07</v>
      </c>
      <c r="E91" s="27">
        <v>0.98</v>
      </c>
      <c r="F91" s="16">
        <v>379.096</v>
      </c>
      <c r="G91" s="5"/>
    </row>
    <row r="92">
      <c r="B92" s="29">
        <f>DATE(2024,3,31)</f>
        <v>45382</v>
      </c>
      <c r="C92" t="s" s="1">
        <v>548</v>
      </c>
      <c r="D92" s="27">
        <v>1.1</v>
      </c>
      <c r="E92" s="27">
        <v>0.99</v>
      </c>
      <c r="F92" s="16">
        <v>402.326</v>
      </c>
      <c r="G92" s="5"/>
    </row>
    <row r="93">
      <c r="B93" s="29">
        <f>DATE(2024,6,30)</f>
        <v>45473</v>
      </c>
      <c r="C93" t="s" s="1">
        <v>548</v>
      </c>
      <c r="D93" s="27">
        <v>1.1</v>
      </c>
      <c r="E93" s="27">
        <v>0.99</v>
      </c>
      <c r="F93" s="16">
        <v>427.189</v>
      </c>
      <c r="G93" s="5"/>
    </row>
    <row r="94">
      <c r="B94" s="29">
        <f>DATE(2024,9,30)</f>
        <v>45565</v>
      </c>
      <c r="C94" t="s" s="1">
        <v>548</v>
      </c>
      <c r="D94" s="27">
        <v>1.14</v>
      </c>
      <c r="E94" s="27">
        <v>0.99</v>
      </c>
      <c r="F94" s="16">
        <v>456.941</v>
      </c>
      <c r="G94" s="5"/>
    </row>
    <row r="95">
      <c r="B95" s="29">
        <f>DATE(2024,12,31)</f>
        <v>45657</v>
      </c>
      <c r="C95" t="s" s="1">
        <v>548</v>
      </c>
      <c r="D95" s="27">
        <v>1.16</v>
      </c>
      <c r="E95" s="27">
        <v>0.98</v>
      </c>
      <c r="F95" s="16">
        <v>474.924</v>
      </c>
      <c r="G95" s="5"/>
    </row>
    <row r="96">
      <c r="B96" s="29">
        <f>DATE(2025,3,31)</f>
        <v>45747</v>
      </c>
      <c r="C96" t="s" s="1">
        <v>549</v>
      </c>
      <c r="D96" s="27">
        <v>1.14</v>
      </c>
      <c r="E96" s="22"/>
      <c r="F96" s="6"/>
      <c r="G96" s="5"/>
    </row>
    <row r="97">
      <c r="B97" s="29">
        <f>DATE(2025,6,30)</f>
        <v>45838</v>
      </c>
      <c r="C97" t="s" s="1">
        <v>550</v>
      </c>
      <c r="D97" s="27">
        <v>1.1</v>
      </c>
      <c r="E97" s="27">
        <v>0.98</v>
      </c>
      <c r="F97" s="6"/>
      <c r="G97" s="5"/>
    </row>
    <row r="98">
      <c r="B98" s="29">
        <f>DATE(2025,9,30)</f>
        <v>45930</v>
      </c>
      <c r="C98" t="s" s="1">
        <v>551</v>
      </c>
      <c r="D98" s="27">
        <v>1.08</v>
      </c>
      <c r="E98" s="27">
        <v>0.98</v>
      </c>
      <c r="F98" s="16">
        <v>807.5</v>
      </c>
      <c r="G98" s="5"/>
    </row>
    <row r="99">
      <c r="B99" t="s" s="1">
        <v>454</v>
      </c>
      <c r="C99" t="s" s="1">
        <v>551</v>
      </c>
      <c r="D99" s="1"/>
      <c r="E99" s="1"/>
      <c r="F99" s="16">
        <v>534.4</v>
      </c>
      <c r="G99" s="5"/>
    </row>
    <row r="100">
      <c r="B100" t="s" s="4">
        <v>455</v>
      </c>
      <c r="C100" t="s" s="4">
        <v>552</v>
      </c>
      <c r="D100" s="4"/>
      <c r="E100" s="4"/>
      <c r="F100" s="31">
        <f>F99/F94-1</f>
        <v>0.1695164145918182</v>
      </c>
      <c r="G100" s="5"/>
    </row>
    <row r="101">
      <c r="B101" s="1"/>
      <c r="C101" s="1"/>
      <c r="D101" s="1"/>
      <c r="E101" s="1"/>
      <c r="F101" s="1"/>
      <c r="G101" s="5"/>
    </row>
    <row r="102">
      <c r="B102" t="s" s="23">
        <v>456</v>
      </c>
      <c r="C102" s="23"/>
      <c r="D102" s="23"/>
      <c r="E102" s="23"/>
      <c r="F102" s="23"/>
      <c r="G102" s="43"/>
    </row>
    <row r="103">
      <c r="B103" t="s" s="10">
        <v>457</v>
      </c>
      <c r="C103" t="s" s="10">
        <v>92</v>
      </c>
      <c r="D103" t="s" s="10">
        <v>861</v>
      </c>
      <c r="E103" t="s" s="10">
        <v>862</v>
      </c>
      <c r="F103" s="10"/>
      <c r="G103" s="10"/>
    </row>
    <row r="104">
      <c r="B104" t="s" s="1">
        <v>458</v>
      </c>
      <c r="C104" t="s" s="1">
        <v>553</v>
      </c>
      <c r="D104" s="16">
        <v>4</v>
      </c>
      <c r="E104" s="16">
        <v>4</v>
      </c>
      <c r="F104" s="1"/>
      <c r="G104" s="5"/>
    </row>
    <row r="105">
      <c r="B105" t="s" s="1">
        <v>459</v>
      </c>
      <c r="C105" t="s" s="1">
        <v>553</v>
      </c>
      <c r="D105" s="16">
        <v>3.5</v>
      </c>
      <c r="E105" s="16">
        <v>4</v>
      </c>
      <c r="F105" s="1"/>
      <c r="G105" s="5"/>
    </row>
    <row r="106">
      <c r="B106" t="s" s="1">
        <v>460</v>
      </c>
      <c r="C106" t="s" s="1">
        <v>553</v>
      </c>
      <c r="D106" s="16">
        <v>3</v>
      </c>
      <c r="E106" s="16">
        <v>3</v>
      </c>
      <c r="F106" s="1"/>
      <c r="G106" s="5"/>
    </row>
    <row r="107">
      <c r="B107" t="s" s="1">
        <v>461</v>
      </c>
      <c r="C107" t="s" s="1">
        <v>553</v>
      </c>
      <c r="D107" s="16">
        <v>2.5</v>
      </c>
      <c r="E107" s="16">
        <v>2.5</v>
      </c>
      <c r="F107" s="1"/>
      <c r="G107" s="5"/>
    </row>
    <row r="108">
      <c r="B108" t="s" s="1">
        <v>462</v>
      </c>
      <c r="C108" t="s" s="1">
        <v>553</v>
      </c>
      <c r="D108" s="16">
        <v>3</v>
      </c>
      <c r="E108" s="16">
        <v>3</v>
      </c>
      <c r="F108" s="1"/>
      <c r="G108" s="5"/>
    </row>
    <row r="109">
      <c r="B109" t="s" s="11">
        <v>463</v>
      </c>
      <c r="C109" s="11"/>
      <c r="D109" s="30">
        <f>SUM(D105:D108)</f>
        <v>12</v>
      </c>
      <c r="E109" s="30">
        <f>SUM(E105:E108)</f>
        <v>12.5</v>
      </c>
      <c r="F109" s="11"/>
      <c r="G109" s="19"/>
    </row>
    <row r="110">
      <c r="B110" t="s" s="1">
        <v>464</v>
      </c>
      <c r="C110" s="1"/>
      <c r="D110" s="41">
        <f>Landscape!L14</f>
        <v>201.611</v>
      </c>
      <c r="E110" s="41">
        <f>Landscape!L14</f>
        <v>201.611</v>
      </c>
      <c r="F110" s="1"/>
      <c r="G110" s="5"/>
    </row>
    <row r="111">
      <c r="B111" t="s" s="4">
        <v>465</v>
      </c>
      <c r="C111" s="4"/>
      <c r="D111" s="31">
        <f>D109/D110</f>
        <v>0.059520561874104094</v>
      </c>
      <c r="E111" s="31">
        <f>E109/E110</f>
        <v>0.0620005852855251</v>
      </c>
      <c r="F111" s="4"/>
      <c r="G111" s="5"/>
    </row>
    <row r="112">
      <c r="B112" t="s" s="4">
        <v>466</v>
      </c>
      <c r="C112" s="4"/>
      <c r="D112" s="31">
        <f>1-E98</f>
        <v>0.020000000000000018</v>
      </c>
      <c r="E112" s="4"/>
      <c r="F112" s="4"/>
      <c r="G112" s="5"/>
    </row>
    <row r="113">
      <c r="B113" s="1"/>
      <c r="C113" s="1"/>
      <c r="D113" s="1"/>
      <c r="E113" s="1"/>
      <c r="F113" s="1"/>
      <c r="G113" s="5"/>
    </row>
    <row r="114">
      <c r="B114" t="s" s="23">
        <v>467</v>
      </c>
      <c r="C114" s="23"/>
      <c r="D114" s="23"/>
      <c r="E114" s="23"/>
      <c r="F114" s="23"/>
      <c r="G114" s="43"/>
    </row>
    <row r="115">
      <c r="B115" t="s" s="10">
        <v>468</v>
      </c>
      <c r="C115" t="s" s="10">
        <v>92</v>
      </c>
      <c r="D115" t="s" s="10">
        <v>565</v>
      </c>
      <c r="E115" t="s" s="10">
        <v>190</v>
      </c>
      <c r="F115" s="10"/>
      <c r="G115" s="10"/>
    </row>
    <row r="116">
      <c r="B116" t="s" s="1">
        <v>469</v>
      </c>
      <c r="C116" t="s" s="1">
        <v>554</v>
      </c>
      <c r="D116" s="16">
        <v>23</v>
      </c>
      <c r="E116" t="s" s="1">
        <v>578</v>
      </c>
      <c r="F116" s="1"/>
      <c r="G116" s="5"/>
    </row>
    <row r="117">
      <c r="B117" t="s" s="1">
        <v>470</v>
      </c>
      <c r="C117" t="s" s="1">
        <v>555</v>
      </c>
      <c r="D117" s="16">
        <v>6.3</v>
      </c>
      <c r="E117" t="s" s="1">
        <v>578</v>
      </c>
      <c r="F117" s="1"/>
      <c r="G117" s="5"/>
    </row>
    <row r="118">
      <c r="B118" t="s" s="1">
        <v>471</v>
      </c>
      <c r="C118" t="s" s="1">
        <v>555</v>
      </c>
      <c r="D118" s="16">
        <v>3.2</v>
      </c>
      <c r="E118" t="s" s="1">
        <v>578</v>
      </c>
      <c r="F118" s="1"/>
      <c r="G118" s="5"/>
    </row>
    <row r="119">
      <c r="B119" t="s" s="1">
        <v>472</v>
      </c>
      <c r="C119" t="s" s="1">
        <v>556</v>
      </c>
      <c r="D119" s="17">
        <v>730</v>
      </c>
      <c r="E119" t="s" s="1">
        <v>583</v>
      </c>
      <c r="F119" s="1"/>
      <c r="G119" s="5"/>
    </row>
    <row r="120">
      <c r="B120" t="s" s="1">
        <v>473</v>
      </c>
      <c r="C120" t="s" s="1">
        <v>557</v>
      </c>
      <c r="D120" s="21">
        <f>D119/(D116*1000)</f>
        <v>0.03173913043478261</v>
      </c>
      <c r="E120" t="s" s="1">
        <v>584</v>
      </c>
      <c r="F120" s="1"/>
      <c r="G120" s="5"/>
    </row>
    <row r="121">
      <c r="B121" t="s" s="1">
        <v>474</v>
      </c>
      <c r="C121" t="s" s="1">
        <v>558</v>
      </c>
      <c r="D121" s="37">
        <v>8.8</v>
      </c>
      <c r="E121" t="s" s="1">
        <v>576</v>
      </c>
      <c r="F121" s="1"/>
      <c r="G121" s="5"/>
    </row>
    <row r="122">
      <c r="B122" t="s" s="1">
        <v>475</v>
      </c>
      <c r="C122" t="s" s="1">
        <v>559</v>
      </c>
      <c r="D122" s="37">
        <v>4.4</v>
      </c>
      <c r="E122" t="s" s="1">
        <v>576</v>
      </c>
      <c r="F122" s="1"/>
      <c r="G122" s="5"/>
    </row>
    <row r="123">
      <c r="B123" t="s" s="1">
        <v>476</v>
      </c>
      <c r="C123" t="s" s="1">
        <v>559</v>
      </c>
      <c r="D123" s="37">
        <v>2.7</v>
      </c>
      <c r="E123" t="s" s="1">
        <v>576</v>
      </c>
      <c r="F123" s="1"/>
      <c r="G123" s="5"/>
    </row>
    <row r="124">
      <c r="B124" t="s" s="1">
        <v>477</v>
      </c>
      <c r="C124" t="s" s="1">
        <v>559</v>
      </c>
      <c r="D124" s="37">
        <v>1.1</v>
      </c>
      <c r="E124" t="s" s="1">
        <v>576</v>
      </c>
      <c r="F124" s="1"/>
      <c r="G124" s="5"/>
    </row>
    <row r="125">
      <c r="B125" t="s" s="1">
        <v>478</v>
      </c>
      <c r="C125" t="s" s="1">
        <v>557</v>
      </c>
      <c r="D125" s="22">
        <f>D122/D121</f>
        <v>0.5</v>
      </c>
      <c r="E125" t="s" s="1">
        <v>584</v>
      </c>
      <c r="F125" s="1"/>
      <c r="G125" s="5"/>
    </row>
    <row r="126">
      <c r="B126" t="s" s="1">
        <v>479</v>
      </c>
      <c r="C126" t="s" s="1">
        <v>557</v>
      </c>
      <c r="D126" s="22">
        <f>D123/D121</f>
        <v>0.3068181818181818</v>
      </c>
      <c r="E126" t="s" s="1">
        <v>584</v>
      </c>
      <c r="F126" s="1"/>
      <c r="G126" s="5"/>
    </row>
    <row r="127">
      <c r="B127" t="s" s="1">
        <v>480</v>
      </c>
      <c r="C127" t="s" s="1">
        <v>560</v>
      </c>
      <c r="D127" s="27">
        <v>0.77</v>
      </c>
      <c r="E127" t="s" s="1">
        <v>584</v>
      </c>
      <c r="F127" s="1"/>
      <c r="G127" s="5"/>
    </row>
    <row r="128">
      <c r="B128" t="s" s="1">
        <v>481</v>
      </c>
      <c r="C128" t="s" s="1">
        <v>561</v>
      </c>
      <c r="D128" s="27">
        <v>0.46</v>
      </c>
      <c r="E128" t="s" s="1">
        <v>584</v>
      </c>
      <c r="F128" s="1"/>
      <c r="G128" s="5"/>
    </row>
    <row r="129">
      <c r="B129" t="s" s="1">
        <v>482</v>
      </c>
      <c r="C129" t="s" s="1">
        <v>561</v>
      </c>
      <c r="D129" s="27">
        <v>0.18</v>
      </c>
      <c r="E129" t="s" s="1">
        <v>584</v>
      </c>
      <c r="F129" s="1"/>
      <c r="G129" s="5"/>
    </row>
  </sheetData>
  <pageMargins left="0.7" right="0.7" top="0.75" bottom="0.75" header="0.3" footer="0.3"/>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89"/>
  <sheetViews>
    <sheetView showGridLines="0" workbookViewId="0">
      <selection activeCell="A1" sqref="A1"/>
    </sheetView>
  </sheetViews>
  <cols>
    <col min="1" max="1" width="2" customWidth="1"/>
    <col min="2" max="2" width="34" customWidth="1"/>
    <col min="3" max="3" width="44" customWidth="1"/>
    <col min="4" max="4" width="22" customWidth="1"/>
    <col min="5" max="7" width="12" customWidth="1"/>
    <col min="8" max="9" width="10" customWidth="1"/>
    <col min="10" max="10" width="30" customWidth="1"/>
    <col min="11" max="11" width="42" customWidth="1"/>
    <col min="12" max="12" width="26" customWidth="1"/>
    <col min="13" max="13" width="14" customWidth="1"/>
  </cols>
  <sheetData>
    <row r="2">
      <c r="B2" t="s" s="3">
        <v>628</v>
      </c>
      <c r="C2" s="1"/>
      <c r="D2" s="1"/>
      <c r="E2" s="1"/>
      <c r="F2" s="1"/>
      <c r="G2" s="1"/>
      <c r="H2" s="1"/>
      <c r="I2" s="1"/>
      <c r="J2" s="1"/>
      <c r="K2" s="1"/>
      <c r="L2" s="1"/>
      <c r="M2" s="1"/>
    </row>
    <row r="3">
      <c r="B3" t="s" s="5">
        <v>629</v>
      </c>
      <c r="C3" s="1"/>
      <c r="D3" s="1"/>
      <c r="E3" s="1"/>
      <c r="F3" s="1"/>
      <c r="G3" s="1"/>
      <c r="H3" s="1"/>
      <c r="I3" s="1"/>
      <c r="J3" s="1"/>
      <c r="K3" s="1"/>
      <c r="L3" s="1"/>
      <c r="M3" s="1"/>
    </row>
    <row r="4">
      <c r="B4" s="1"/>
      <c r="C4" s="1"/>
      <c r="D4" s="1"/>
      <c r="E4" s="1"/>
      <c r="F4" s="1"/>
      <c r="G4" s="1"/>
      <c r="H4" s="1"/>
      <c r="I4" s="1"/>
      <c r="J4" s="1"/>
      <c r="K4" s="1"/>
      <c r="L4" s="1"/>
      <c r="M4" s="1"/>
    </row>
    <row r="5">
      <c r="B5" t="s" s="9">
        <v>630</v>
      </c>
      <c r="C5" s="9"/>
      <c r="D5" s="9"/>
      <c r="E5" s="9"/>
      <c r="F5" s="9"/>
      <c r="G5" s="9"/>
      <c r="H5" s="9"/>
      <c r="I5" s="9"/>
      <c r="J5" s="9"/>
      <c r="K5" s="9"/>
      <c r="L5" s="9"/>
      <c r="M5" s="9"/>
    </row>
    <row r="6">
      <c r="B6" t="s" s="10">
        <v>631</v>
      </c>
      <c r="C6" t="s" s="10">
        <v>696</v>
      </c>
      <c r="D6" t="s" s="13">
        <v>741</v>
      </c>
      <c r="E6" t="s" s="13">
        <v>749</v>
      </c>
      <c r="F6" t="s" s="13">
        <v>754</v>
      </c>
      <c r="G6" t="s" s="13">
        <v>757</v>
      </c>
      <c r="H6" s="10"/>
      <c r="I6" s="10"/>
      <c r="J6" s="10"/>
      <c r="K6" s="10"/>
      <c r="L6" t="s" s="10">
        <v>92</v>
      </c>
      <c r="M6" t="s" s="10">
        <v>625</v>
      </c>
    </row>
    <row r="7">
      <c r="B7" t="s" s="1">
        <v>632</v>
      </c>
      <c r="C7" t="s" s="1">
        <v>697</v>
      </c>
      <c r="D7" s="17">
        <v>29</v>
      </c>
      <c r="E7" s="8"/>
      <c r="F7" s="8"/>
      <c r="G7" s="8"/>
      <c r="H7" s="1"/>
      <c r="I7" s="1"/>
      <c r="J7" s="1"/>
      <c r="K7" s="1"/>
      <c r="L7" t="s" s="1">
        <v>796</v>
      </c>
      <c r="M7" t="s" s="5">
        <v>834</v>
      </c>
    </row>
    <row r="8">
      <c r="B8" t="s" s="1">
        <v>633</v>
      </c>
      <c r="C8" t="s" s="1">
        <v>698</v>
      </c>
      <c r="D8" s="17">
        <v>8</v>
      </c>
      <c r="E8" s="17">
        <v>4</v>
      </c>
      <c r="F8" s="8"/>
      <c r="G8" s="17">
        <v>0</v>
      </c>
      <c r="H8" s="1"/>
      <c r="I8" s="1"/>
      <c r="J8" s="1"/>
      <c r="K8" s="1"/>
      <c r="L8" t="s" s="1">
        <v>797</v>
      </c>
      <c r="M8" t="s" s="5">
        <v>835</v>
      </c>
    </row>
    <row r="9">
      <c r="B9" t="s" s="11">
        <v>634</v>
      </c>
      <c r="C9" t="s" s="11">
        <v>699</v>
      </c>
      <c r="D9" s="47">
        <v>52</v>
      </c>
      <c r="E9" s="47">
        <v>12</v>
      </c>
      <c r="F9" s="47">
        <v>6</v>
      </c>
      <c r="G9" s="47">
        <v>1</v>
      </c>
      <c r="H9" s="11"/>
      <c r="I9" s="11"/>
      <c r="J9" s="11"/>
      <c r="K9" s="11"/>
      <c r="L9" t="s" s="11">
        <v>798</v>
      </c>
      <c r="M9" t="s" s="19">
        <v>836</v>
      </c>
    </row>
    <row r="10">
      <c r="B10" t="s" s="1">
        <v>635</v>
      </c>
      <c r="C10" t="s" s="1">
        <v>700</v>
      </c>
      <c r="D10" s="17">
        <v>44</v>
      </c>
      <c r="E10" s="17">
        <v>6</v>
      </c>
      <c r="F10" s="8"/>
      <c r="G10" s="17">
        <v>0</v>
      </c>
      <c r="H10" s="1"/>
      <c r="I10" s="1"/>
      <c r="J10" s="1"/>
      <c r="K10" s="1"/>
      <c r="L10" t="s" s="1">
        <v>799</v>
      </c>
      <c r="M10" s="5"/>
    </row>
    <row r="11">
      <c r="B11" t="s" s="1">
        <v>636</v>
      </c>
      <c r="C11" t="s" s="1">
        <v>701</v>
      </c>
      <c r="D11" s="8">
        <f>D9-D10</f>
        <v>8</v>
      </c>
      <c r="E11" s="8">
        <f>E9-E10</f>
        <v>6</v>
      </c>
      <c r="F11" s="8">
        <f>F9</f>
        <v>6</v>
      </c>
      <c r="G11" s="8">
        <f>G9-G10</f>
        <v>1</v>
      </c>
      <c r="H11" s="1"/>
      <c r="I11" s="1"/>
      <c r="J11" s="1"/>
      <c r="K11" s="1"/>
      <c r="L11" t="s" s="1">
        <v>557</v>
      </c>
      <c r="M11" s="5"/>
    </row>
    <row r="12">
      <c r="B12" t="s" s="1">
        <v>637</v>
      </c>
      <c r="C12" t="s" s="1">
        <v>702</v>
      </c>
      <c r="D12" s="8"/>
      <c r="E12" s="17">
        <v>6</v>
      </c>
      <c r="F12" s="8"/>
      <c r="G12" s="8"/>
      <c r="H12" s="1"/>
      <c r="I12" s="1"/>
      <c r="J12" s="1"/>
      <c r="K12" s="1"/>
      <c r="L12" t="s" s="1">
        <v>800</v>
      </c>
      <c r="M12" s="5"/>
    </row>
    <row r="13">
      <c r="B13" t="s" s="1">
        <v>638</v>
      </c>
      <c r="C13" t="s" s="1">
        <v>703</v>
      </c>
      <c r="D13" s="8"/>
      <c r="E13" s="8">
        <f>E11-E12</f>
        <v>0</v>
      </c>
      <c r="F13" s="8"/>
      <c r="G13" s="8"/>
      <c r="H13" s="1"/>
      <c r="I13" s="1"/>
      <c r="J13" s="1"/>
      <c r="K13" s="1"/>
      <c r="L13" t="s" s="1">
        <v>557</v>
      </c>
      <c r="M13" s="5"/>
    </row>
    <row r="14">
      <c r="B14" t="s" s="1">
        <v>639</v>
      </c>
      <c r="C14" s="1"/>
      <c r="D14" s="17">
        <v>20</v>
      </c>
      <c r="E14" s="17">
        <v>5</v>
      </c>
      <c r="F14" s="8"/>
      <c r="G14" s="8"/>
      <c r="H14" s="1"/>
      <c r="I14" s="1"/>
      <c r="J14" s="1"/>
      <c r="K14" s="1"/>
      <c r="L14" t="s" s="1">
        <v>801</v>
      </c>
      <c r="M14" s="5"/>
    </row>
    <row r="15">
      <c r="B15" t="s" s="1">
        <v>640</v>
      </c>
      <c r="C15" s="1"/>
      <c r="D15" s="17">
        <v>24</v>
      </c>
      <c r="E15" s="17">
        <v>1</v>
      </c>
      <c r="F15" s="8"/>
      <c r="G15" s="8"/>
      <c r="H15" s="1"/>
      <c r="I15" s="1"/>
      <c r="J15" s="1"/>
      <c r="K15" s="1"/>
      <c r="L15" t="s" s="1">
        <v>801</v>
      </c>
      <c r="M15" s="5"/>
    </row>
    <row r="16">
      <c r="B16" s="1"/>
      <c r="C16" s="1"/>
      <c r="D16" s="1"/>
      <c r="E16" s="1"/>
      <c r="F16" s="1"/>
      <c r="G16" s="1"/>
      <c r="H16" s="1"/>
      <c r="I16" s="1"/>
      <c r="J16" s="1"/>
      <c r="K16" s="1"/>
      <c r="L16" s="1"/>
      <c r="M16" s="5"/>
    </row>
    <row r="17">
      <c r="B17" t="s" s="9">
        <v>641</v>
      </c>
      <c r="C17" s="9"/>
      <c r="D17" s="9"/>
      <c r="E17" s="9"/>
      <c r="F17" s="9"/>
      <c r="G17" s="9"/>
      <c r="H17" s="9"/>
      <c r="I17" s="9"/>
      <c r="J17" s="9"/>
      <c r="K17" s="9"/>
      <c r="L17" s="9"/>
      <c r="M17" s="42"/>
    </row>
    <row r="18">
      <c r="B18" t="s" s="10">
        <v>642</v>
      </c>
      <c r="C18" t="s" s="10">
        <v>664</v>
      </c>
      <c r="D18" t="s" s="10">
        <v>742</v>
      </c>
      <c r="E18" t="s" s="13">
        <v>750</v>
      </c>
      <c r="F18" t="s" s="13">
        <v>755</v>
      </c>
      <c r="G18" t="s" s="13">
        <v>754</v>
      </c>
      <c r="H18" t="s" s="13">
        <v>759</v>
      </c>
      <c r="I18" t="s" s="13">
        <v>760</v>
      </c>
      <c r="J18" t="s" s="10">
        <v>761</v>
      </c>
      <c r="K18" t="s" s="10">
        <v>778</v>
      </c>
      <c r="L18" t="s" s="10">
        <v>92</v>
      </c>
      <c r="M18" t="s" s="10">
        <v>625</v>
      </c>
    </row>
    <row r="19">
      <c r="B19" t="s" s="1">
        <v>643</v>
      </c>
      <c r="C19" t="s" s="1">
        <v>704</v>
      </c>
      <c r="D19" t="s" s="1">
        <v>716</v>
      </c>
      <c r="E19" s="46">
        <f>DATE(2025,8,15)</f>
        <v>45884</v>
      </c>
      <c r="F19" s="46">
        <f>DATE(2025,11,4)</f>
        <v>45965</v>
      </c>
      <c r="G19" s="46">
        <f>DATE(2025,11,5)</f>
        <v>45966</v>
      </c>
      <c r="H19" s="40">
        <v>24.55</v>
      </c>
      <c r="I19" s="28"/>
      <c r="J19" t="s" s="1">
        <v>762</v>
      </c>
      <c r="K19" t="s" s="1">
        <v>779</v>
      </c>
      <c r="L19" t="s" s="1">
        <v>802</v>
      </c>
      <c r="M19" t="s" s="5">
        <v>837</v>
      </c>
    </row>
    <row r="20">
      <c r="B20" t="s" s="1">
        <v>644</v>
      </c>
      <c r="C20" t="s" s="1">
        <v>704</v>
      </c>
      <c r="D20" t="s" s="1">
        <v>716</v>
      </c>
      <c r="E20" s="46">
        <f>DATE(2025,8,1)</f>
        <v>45870</v>
      </c>
      <c r="F20" s="46">
        <f>DATE(2025,11,4)</f>
        <v>45965</v>
      </c>
      <c r="G20" s="46">
        <f>DATE(2025,11,5)</f>
        <v>45966</v>
      </c>
      <c r="H20" s="28"/>
      <c r="I20" s="28"/>
      <c r="J20" t="s" s="1">
        <v>851</v>
      </c>
      <c r="K20" t="s" s="1">
        <v>780</v>
      </c>
      <c r="L20" t="s" s="1">
        <v>803</v>
      </c>
      <c r="M20" t="s" s="5">
        <v>838</v>
      </c>
    </row>
    <row r="21">
      <c r="B21" t="s" s="1">
        <v>645</v>
      </c>
      <c r="C21" t="s" s="1">
        <v>705</v>
      </c>
      <c r="D21" t="s" s="1">
        <v>716</v>
      </c>
      <c r="E21" s="46">
        <f>DATE(2025,9,29)</f>
        <v>45929</v>
      </c>
      <c r="F21" s="46">
        <f>DATE(2025,11,6)</f>
        <v>45967</v>
      </c>
      <c r="G21" s="46">
        <f>DATE(2025,11,7)</f>
        <v>45968</v>
      </c>
      <c r="H21" s="28"/>
      <c r="I21" s="28"/>
      <c r="J21" t="s" s="1">
        <v>763</v>
      </c>
      <c r="K21" t="s" s="1">
        <v>781</v>
      </c>
      <c r="L21" t="s" s="1">
        <v>804</v>
      </c>
      <c r="M21" s="5"/>
    </row>
    <row r="22">
      <c r="B22" t="s" s="1">
        <v>646</v>
      </c>
      <c r="C22" t="s" s="1">
        <v>706</v>
      </c>
      <c r="D22" t="s" s="1">
        <v>716</v>
      </c>
      <c r="E22" s="46">
        <f>DATE(2025,11,18)</f>
        <v>45979</v>
      </c>
      <c r="F22" t="s" s="46">
        <v>756</v>
      </c>
      <c r="G22" s="46">
        <f>DATE(2025,11,21)</f>
        <v>45982</v>
      </c>
      <c r="H22" s="28"/>
      <c r="I22" s="28"/>
      <c r="J22" t="s" s="1">
        <v>763</v>
      </c>
      <c r="K22" t="s" s="1">
        <v>782</v>
      </c>
      <c r="L22" t="s" s="1">
        <v>805</v>
      </c>
      <c r="M22" t="s" s="5">
        <v>839</v>
      </c>
    </row>
    <row r="23">
      <c r="B23" t="s" s="1">
        <v>647</v>
      </c>
      <c r="C23" t="s" s="1">
        <v>704</v>
      </c>
      <c r="D23" t="s" s="1">
        <v>743</v>
      </c>
      <c r="E23" s="46"/>
      <c r="F23" s="46"/>
      <c r="G23" s="46"/>
      <c r="H23" s="28"/>
      <c r="I23" s="28"/>
      <c r="J23" t="s" s="1">
        <v>764</v>
      </c>
      <c r="K23" t="s" s="1">
        <v>783</v>
      </c>
      <c r="L23" t="s" s="1">
        <v>806</v>
      </c>
      <c r="M23" t="s" s="5">
        <v>840</v>
      </c>
    </row>
    <row r="24">
      <c r="B24" t="s" s="1">
        <v>648</v>
      </c>
      <c r="C24" t="s" s="1">
        <v>706</v>
      </c>
      <c r="D24" t="s" s="1">
        <v>744</v>
      </c>
      <c r="E24" s="46">
        <f>DATE(2025,10,28)</f>
        <v>45958</v>
      </c>
      <c r="F24" s="46">
        <f>DATE(2025,11,21)</f>
        <v>45982</v>
      </c>
      <c r="G24" s="46">
        <f>DATE(2025,12,1)</f>
        <v>45992</v>
      </c>
      <c r="H24" s="40">
        <v>20</v>
      </c>
      <c r="I24" s="40">
        <v>22</v>
      </c>
      <c r="J24" t="s" s="1">
        <v>765</v>
      </c>
      <c r="K24" t="s" s="1">
        <v>784</v>
      </c>
      <c r="L24" t="s" s="1">
        <v>807</v>
      </c>
      <c r="M24" t="s" s="5">
        <v>852</v>
      </c>
    </row>
    <row r="25">
      <c r="B25" t="s" s="1">
        <v>649</v>
      </c>
      <c r="C25" t="s" s="1">
        <v>706</v>
      </c>
      <c r="D25" t="s" s="1">
        <v>744</v>
      </c>
      <c r="E25" s="46">
        <f>DATE(2025,11,20)</f>
        <v>45981</v>
      </c>
      <c r="F25" s="46">
        <f>DATE(2025,11,23)</f>
        <v>45984</v>
      </c>
      <c r="G25" s="46">
        <f>DATE(2025,12,2)</f>
        <v>45993</v>
      </c>
      <c r="H25" s="28"/>
      <c r="I25" s="28"/>
      <c r="J25" t="s" s="1">
        <v>766</v>
      </c>
      <c r="K25" t="s" s="1">
        <v>785</v>
      </c>
      <c r="L25" t="s" s="1">
        <v>808</v>
      </c>
      <c r="M25" s="5"/>
    </row>
    <row r="26">
      <c r="B26" t="s" s="1">
        <v>650</v>
      </c>
      <c r="C26" t="s" s="1">
        <v>706</v>
      </c>
      <c r="D26" t="s" s="1">
        <v>745</v>
      </c>
      <c r="E26" s="46">
        <f>DATE(2025,11,20)</f>
        <v>45981</v>
      </c>
      <c r="F26" s="46">
        <f>DATE(2025,11,29)</f>
        <v>45990</v>
      </c>
      <c r="G26" s="46">
        <f>DATE(2025,12,4)</f>
        <v>45995</v>
      </c>
      <c r="H26" s="28"/>
      <c r="I26" s="28"/>
      <c r="J26" t="s" s="1">
        <v>767</v>
      </c>
      <c r="K26" t="s" s="1">
        <v>786</v>
      </c>
      <c r="L26" t="s" s="1">
        <v>809</v>
      </c>
      <c r="M26" t="s" s="5">
        <v>842</v>
      </c>
    </row>
    <row r="27">
      <c r="B27" t="s" s="1">
        <v>651</v>
      </c>
      <c r="C27" t="s" s="1">
        <v>706</v>
      </c>
      <c r="D27" t="s" s="1">
        <v>744</v>
      </c>
      <c r="E27" s="46">
        <f>DATE(2025,11,20)</f>
        <v>45981</v>
      </c>
      <c r="F27" s="46">
        <f>DATE(2025,12,1)</f>
        <v>45992</v>
      </c>
      <c r="G27" s="46">
        <f>DATE(2025,12,3)</f>
        <v>45994</v>
      </c>
      <c r="H27" s="28"/>
      <c r="I27" s="28"/>
      <c r="J27" t="s" s="1">
        <v>768</v>
      </c>
      <c r="K27" t="s" s="1">
        <v>787</v>
      </c>
      <c r="L27" t="s" s="1">
        <v>810</v>
      </c>
      <c r="M27" s="5"/>
    </row>
    <row r="28">
      <c r="B28" t="s" s="1">
        <v>652</v>
      </c>
      <c r="C28" t="s" s="1">
        <v>707</v>
      </c>
      <c r="D28" t="s" s="1">
        <v>744</v>
      </c>
      <c r="E28" s="46">
        <f>DATE(2025,11,19)</f>
        <v>45980</v>
      </c>
      <c r="F28" s="46"/>
      <c r="G28" s="46"/>
      <c r="H28" s="28"/>
      <c r="I28" s="28"/>
      <c r="J28" t="s" s="1">
        <v>769</v>
      </c>
      <c r="K28" t="s" s="1">
        <v>788</v>
      </c>
      <c r="L28" t="s" s="1">
        <v>811</v>
      </c>
      <c r="M28" t="s" s="5">
        <v>843</v>
      </c>
    </row>
    <row r="29">
      <c r="B29" t="s" s="1">
        <v>653</v>
      </c>
      <c r="C29" t="s" s="1">
        <v>707</v>
      </c>
      <c r="D29" t="s" s="1">
        <v>745</v>
      </c>
      <c r="E29" s="46">
        <f>DATE(2025,11,20)</f>
        <v>45981</v>
      </c>
      <c r="F29" s="46">
        <f>DATE(2025,11,25)</f>
        <v>45986</v>
      </c>
      <c r="G29" s="46">
        <f>DATE(2025,12,5)</f>
        <v>45996</v>
      </c>
      <c r="H29" s="28"/>
      <c r="I29" s="28"/>
      <c r="J29" t="s" s="1">
        <v>770</v>
      </c>
      <c r="K29" t="s" s="1">
        <v>789</v>
      </c>
      <c r="L29" t="s" s="1">
        <v>812</v>
      </c>
      <c r="M29" t="s" s="5">
        <v>844</v>
      </c>
    </row>
    <row r="30">
      <c r="B30" t="s" s="1">
        <v>654</v>
      </c>
      <c r="C30" t="s" s="1">
        <v>707</v>
      </c>
      <c r="D30" t="s" s="1">
        <v>744</v>
      </c>
      <c r="E30" s="46">
        <f>DATE(2025,11,20)</f>
        <v>45981</v>
      </c>
      <c r="F30" s="46"/>
      <c r="G30" s="46"/>
      <c r="H30" s="28"/>
      <c r="I30" s="28"/>
      <c r="J30" t="s" s="1">
        <v>771</v>
      </c>
      <c r="K30" t="s" s="1">
        <v>790</v>
      </c>
      <c r="L30" t="s" s="1">
        <v>800</v>
      </c>
      <c r="M30" t="s" s="5">
        <v>845</v>
      </c>
    </row>
    <row r="31">
      <c r="B31" t="s" s="1">
        <v>655</v>
      </c>
      <c r="C31" t="s" s="1">
        <v>707</v>
      </c>
      <c r="D31" t="s" s="1">
        <v>745</v>
      </c>
      <c r="E31" s="46">
        <f>DATE(2025,11,21)</f>
        <v>45982</v>
      </c>
      <c r="F31" s="46">
        <f>DATE(2025,12,2)</f>
        <v>45993</v>
      </c>
      <c r="G31" s="46">
        <f>DATE(2025,12,4)</f>
        <v>45995</v>
      </c>
      <c r="H31" s="28"/>
      <c r="I31" s="28"/>
      <c r="J31" t="s" s="1">
        <v>768</v>
      </c>
      <c r="K31" t="s" s="1">
        <v>789</v>
      </c>
      <c r="L31" t="s" s="1">
        <v>813</v>
      </c>
      <c r="M31" t="s" s="5">
        <v>844</v>
      </c>
    </row>
    <row r="32">
      <c r="B32" t="s" s="1">
        <v>656</v>
      </c>
      <c r="C32" t="s" s="1">
        <v>707</v>
      </c>
      <c r="D32" t="s" s="1">
        <v>746</v>
      </c>
      <c r="E32" s="46"/>
      <c r="F32" s="46"/>
      <c r="G32" s="46"/>
      <c r="H32" s="28"/>
      <c r="I32" s="28"/>
      <c r="J32" t="s" s="1">
        <v>772</v>
      </c>
      <c r="K32" t="s" s="1">
        <v>791</v>
      </c>
      <c r="L32" t="s" s="1">
        <v>814</v>
      </c>
      <c r="M32" t="s" s="5">
        <v>846</v>
      </c>
    </row>
    <row r="33">
      <c r="B33" t="s" s="1">
        <v>657</v>
      </c>
      <c r="C33" t="s" s="1">
        <v>706</v>
      </c>
      <c r="D33" t="s" s="1">
        <v>747</v>
      </c>
      <c r="E33" s="46">
        <f>DATE(2025,12,22)</f>
        <v>46013</v>
      </c>
      <c r="F33" s="46">
        <f>DATE(2025,12,29)</f>
        <v>46020</v>
      </c>
      <c r="G33" s="46"/>
      <c r="H33" s="28"/>
      <c r="I33" s="28"/>
      <c r="J33" t="s" s="1">
        <v>773</v>
      </c>
      <c r="K33" t="s" s="1">
        <v>792</v>
      </c>
      <c r="L33" t="s" s="1">
        <v>799</v>
      </c>
      <c r="M33" s="5"/>
    </row>
    <row r="34">
      <c r="B34" t="s" s="1">
        <v>658</v>
      </c>
      <c r="C34" t="s" s="1">
        <v>706</v>
      </c>
      <c r="D34" t="s" s="1">
        <v>747</v>
      </c>
      <c r="E34" s="46">
        <f>DATE(2025,12,22)</f>
        <v>46013</v>
      </c>
      <c r="F34" s="46">
        <f>DATE(2025,12,29)</f>
        <v>46020</v>
      </c>
      <c r="G34" s="46"/>
      <c r="H34" s="28"/>
      <c r="I34" s="28"/>
      <c r="J34" t="s" s="1">
        <v>774</v>
      </c>
      <c r="K34" t="s" s="1">
        <v>793</v>
      </c>
      <c r="L34" t="s" s="1">
        <v>799</v>
      </c>
      <c r="M34" s="5"/>
    </row>
    <row r="35">
      <c r="B35" t="s" s="1">
        <v>659</v>
      </c>
      <c r="C35" t="s" s="1">
        <v>706</v>
      </c>
      <c r="D35" t="s" s="1">
        <v>747</v>
      </c>
      <c r="E35" s="46">
        <f>DATE(2025,12,22)</f>
        <v>46013</v>
      </c>
      <c r="F35" s="46">
        <f>DATE(2025,12,30)</f>
        <v>46021</v>
      </c>
      <c r="G35" s="46"/>
      <c r="H35" s="28"/>
      <c r="I35" s="28"/>
      <c r="J35" t="s" s="1">
        <v>775</v>
      </c>
      <c r="K35" t="s" s="1">
        <v>794</v>
      </c>
      <c r="L35" t="s" s="1">
        <v>799</v>
      </c>
      <c r="M35" s="5"/>
    </row>
    <row r="36">
      <c r="B36" t="s" s="1">
        <v>660</v>
      </c>
      <c r="C36" t="s" s="1">
        <v>706</v>
      </c>
      <c r="D36" t="s" s="1">
        <v>747</v>
      </c>
      <c r="E36" s="46">
        <f>DATE(2025,12,22)</f>
        <v>46013</v>
      </c>
      <c r="F36" s="46">
        <f>DATE(2026,1,7)</f>
        <v>46029</v>
      </c>
      <c r="G36" s="46"/>
      <c r="H36" s="28"/>
      <c r="I36" s="28"/>
      <c r="J36" t="s" s="1">
        <v>776</v>
      </c>
      <c r="K36" t="s" s="1">
        <v>731</v>
      </c>
      <c r="L36" t="s" s="1">
        <v>815</v>
      </c>
      <c r="M36" t="s" s="5">
        <v>847</v>
      </c>
    </row>
    <row r="37">
      <c r="B37" t="s" s="1">
        <v>661</v>
      </c>
      <c r="C37" t="s" s="1">
        <v>708</v>
      </c>
      <c r="D37" t="s" s="1">
        <v>747</v>
      </c>
      <c r="E37" s="46">
        <f>DATE(2025,12,22)</f>
        <v>46013</v>
      </c>
      <c r="F37" s="46">
        <f>DATE(2026,1,7)</f>
        <v>46029</v>
      </c>
      <c r="G37" s="46"/>
      <c r="H37" s="28"/>
      <c r="I37" s="28"/>
      <c r="J37" t="s" s="1">
        <v>777</v>
      </c>
      <c r="K37" t="s" s="1">
        <v>795</v>
      </c>
      <c r="L37" t="s" s="1">
        <v>801</v>
      </c>
      <c r="M37" s="5"/>
    </row>
    <row r="38">
      <c r="B38" t="s" s="1">
        <v>662</v>
      </c>
      <c r="C38" t="s" s="1">
        <v>706</v>
      </c>
      <c r="D38" t="s" s="1">
        <v>747</v>
      </c>
      <c r="E38" s="46">
        <f>DATE(2025,12,22)</f>
        <v>46013</v>
      </c>
      <c r="F38" s="46">
        <f>DATE(2026,1,14)</f>
        <v>46036</v>
      </c>
      <c r="G38" s="46"/>
      <c r="H38" s="28"/>
      <c r="I38" s="28"/>
      <c r="J38" t="s" s="1">
        <v>774</v>
      </c>
      <c r="K38" t="s" s="1">
        <v>731</v>
      </c>
      <c r="L38" t="s" s="1">
        <v>816</v>
      </c>
      <c r="M38" s="5"/>
    </row>
    <row r="39">
      <c r="B39" s="1"/>
      <c r="C39" s="1"/>
      <c r="D39" s="1"/>
      <c r="E39" s="1"/>
      <c r="F39" s="1"/>
      <c r="G39" s="1"/>
      <c r="H39" s="1"/>
      <c r="I39" s="1"/>
      <c r="J39" s="1"/>
      <c r="K39" s="1"/>
      <c r="L39" s="1"/>
      <c r="M39" s="5"/>
    </row>
    <row r="40">
      <c r="B40" t="s" s="9">
        <v>663</v>
      </c>
      <c r="C40" s="9"/>
      <c r="D40" s="9"/>
      <c r="E40" s="9"/>
      <c r="F40" s="9"/>
      <c r="G40" s="9"/>
      <c r="H40" s="9"/>
      <c r="I40" s="9"/>
      <c r="J40" s="9"/>
      <c r="K40" s="9"/>
      <c r="L40" s="9"/>
      <c r="M40" s="42"/>
    </row>
    <row r="41">
      <c r="B41" t="s" s="10">
        <v>664</v>
      </c>
      <c r="C41" t="s" s="10">
        <v>709</v>
      </c>
      <c r="D41" t="s" s="13">
        <v>748</v>
      </c>
      <c r="E41" t="s" s="13">
        <v>749</v>
      </c>
      <c r="F41" t="s" s="13">
        <v>754</v>
      </c>
      <c r="G41" t="s" s="13">
        <v>758</v>
      </c>
      <c r="H41" s="10"/>
      <c r="I41" s="10"/>
      <c r="J41" s="10"/>
      <c r="K41" s="10"/>
      <c r="L41" t="s" s="10">
        <v>92</v>
      </c>
      <c r="M41" s="10"/>
    </row>
    <row r="42">
      <c r="B42" t="s" s="1">
        <v>665</v>
      </c>
      <c r="C42" t="s" s="1">
        <v>710</v>
      </c>
      <c r="D42" s="8">
        <f>COUNTIF(C19:C38,"Strategic*")</f>
        <v>6</v>
      </c>
      <c r="E42" s="8">
        <f>COUNTIFS(C19:C38,"Strategic*",F19:F38,"&lt;&gt;")</f>
        <v>3</v>
      </c>
      <c r="F42" s="8">
        <f>COUNTIFS(C19:C38,"Strategic*",G19:G38,"&lt;&gt;")</f>
        <v>2</v>
      </c>
      <c r="G42" s="8">
        <f>COUNTIFS(C19:C38,"Strategic*",H19:H38,"&lt;&gt;")</f>
        <v>0</v>
      </c>
      <c r="H42" s="1"/>
      <c r="I42" s="1"/>
      <c r="J42" s="1"/>
      <c r="K42" s="1"/>
      <c r="L42" t="s" s="1">
        <v>817</v>
      </c>
      <c r="M42" s="5"/>
    </row>
    <row r="43">
      <c r="B43" t="s" s="1">
        <v>666</v>
      </c>
      <c r="C43" t="s" s="1">
        <v>710</v>
      </c>
      <c r="D43" s="8">
        <f>COUNTIF(C19:C38,"Sponsor*")</f>
        <v>13</v>
      </c>
      <c r="E43" s="8">
        <f>COUNTIFS(C19:C38,"Sponsor*",F19:F38,"&lt;&gt;")</f>
        <v>12</v>
      </c>
      <c r="F43" s="8">
        <f>COUNTIFS(C19:C38,"Sponsor*",G19:G38,"&lt;&gt;")</f>
        <v>7</v>
      </c>
      <c r="G43" s="8">
        <f>COUNTIFS(C19:C38,"Sponsor*",H19:H38,"&lt;&gt;")</f>
        <v>2</v>
      </c>
      <c r="H43" s="1"/>
      <c r="I43" s="1"/>
      <c r="J43" s="1"/>
      <c r="K43" s="1"/>
      <c r="L43" t="s" s="1">
        <v>817</v>
      </c>
      <c r="M43" s="5"/>
    </row>
    <row r="44">
      <c r="B44" t="s" s="1">
        <v>667</v>
      </c>
      <c r="C44" t="s" s="1">
        <v>710</v>
      </c>
      <c r="D44" s="8">
        <f>COUNTIF(C19:C38,"Sovereign*")</f>
        <v>1</v>
      </c>
      <c r="E44" s="8">
        <f>COUNTIFS(C19:C38,"Sovereign*",F19:F38,"&lt;&gt;")</f>
        <v>1</v>
      </c>
      <c r="F44" s="8">
        <f>COUNTIFS(C19:C38,"Sovereign*",G19:G38,"&lt;&gt;")</f>
        <v>1</v>
      </c>
      <c r="G44" s="8">
        <f>COUNTIFS(C19:C38,"Sovereign*",H19:H38,"&lt;&gt;")</f>
        <v>0</v>
      </c>
      <c r="H44" s="1"/>
      <c r="I44" s="1"/>
      <c r="J44" s="1"/>
      <c r="K44" s="1"/>
      <c r="L44" t="s" s="1">
        <v>817</v>
      </c>
      <c r="M44" s="5"/>
    </row>
    <row r="45">
      <c r="B45" s="1"/>
      <c r="C45" s="1"/>
      <c r="D45" s="1"/>
      <c r="E45" s="1"/>
      <c r="F45" s="1"/>
      <c r="G45" s="1"/>
      <c r="H45" s="1"/>
      <c r="I45" s="1"/>
      <c r="J45" s="1"/>
      <c r="K45" s="1"/>
      <c r="L45" s="1"/>
      <c r="M45" s="5"/>
    </row>
    <row r="46">
      <c r="B46" t="s" s="9">
        <v>668</v>
      </c>
      <c r="C46" s="9"/>
      <c r="D46" s="9"/>
      <c r="E46" s="9"/>
      <c r="F46" s="9"/>
      <c r="G46" s="9"/>
      <c r="H46" s="9"/>
      <c r="I46" s="9"/>
      <c r="J46" s="9"/>
      <c r="K46" s="9"/>
      <c r="L46" s="9"/>
      <c r="M46" s="42"/>
    </row>
    <row r="47">
      <c r="B47" t="s" s="10">
        <v>669</v>
      </c>
      <c r="C47" t="s" s="10">
        <v>711</v>
      </c>
      <c r="D47" t="s" s="10">
        <v>581</v>
      </c>
      <c r="E47" t="s" s="10">
        <v>751</v>
      </c>
      <c r="F47" s="10"/>
      <c r="G47" s="10"/>
      <c r="H47" s="10"/>
      <c r="I47" s="10"/>
      <c r="J47" s="10"/>
      <c r="K47" s="10"/>
      <c r="L47" t="s" s="10">
        <v>92</v>
      </c>
      <c r="M47" t="s" s="10">
        <v>625</v>
      </c>
    </row>
    <row r="48">
      <c r="B48" s="46">
        <f>DATE(2025,11,10)</f>
        <v>45971</v>
      </c>
      <c r="C48" t="s" s="1">
        <v>712</v>
      </c>
      <c r="D48" s="40">
        <v>16.69</v>
      </c>
      <c r="E48" s="1"/>
      <c r="F48" s="1"/>
      <c r="G48" s="1"/>
      <c r="H48" s="1"/>
      <c r="I48" s="1"/>
      <c r="J48" s="1"/>
      <c r="K48" s="1"/>
      <c r="L48" t="s" s="1">
        <v>818</v>
      </c>
      <c r="M48" s="5"/>
    </row>
    <row r="49">
      <c r="B49" s="46">
        <f>DATE(2025,10,23)</f>
        <v>45953</v>
      </c>
      <c r="C49" t="s" s="1">
        <v>713</v>
      </c>
      <c r="D49" s="40">
        <v>24.5</v>
      </c>
      <c r="E49" s="7">
        <f>D49/$D$48-1</f>
        <v>0.4679448771719592</v>
      </c>
      <c r="F49" s="1"/>
      <c r="G49" s="1"/>
      <c r="H49" s="1"/>
      <c r="I49" s="1"/>
      <c r="J49" s="1"/>
      <c r="K49" s="1"/>
      <c r="L49" t="s" s="1">
        <v>819</v>
      </c>
      <c r="M49" s="5"/>
    </row>
    <row r="50">
      <c r="B50" s="46">
        <f>DATE(2025,12,14)</f>
        <v>46005</v>
      </c>
      <c r="C50" t="s" s="1">
        <v>714</v>
      </c>
      <c r="D50" s="40">
        <v>20</v>
      </c>
      <c r="E50" s="7">
        <f>D50/$D$48-1</f>
        <v>0.19832234871180332</v>
      </c>
      <c r="F50" s="1"/>
      <c r="G50" s="1"/>
      <c r="H50" s="1"/>
      <c r="I50" s="1"/>
      <c r="J50" s="1"/>
      <c r="K50" s="1"/>
      <c r="L50" t="s" s="1">
        <v>820</v>
      </c>
      <c r="M50" s="5"/>
    </row>
    <row r="51">
      <c r="B51" s="46">
        <f>DATE(2025,12,14)</f>
        <v>46005</v>
      </c>
      <c r="C51" t="s" s="1">
        <v>715</v>
      </c>
      <c r="D51" s="40">
        <v>22</v>
      </c>
      <c r="E51" s="7">
        <f>D51/$D$48-1</f>
        <v>0.31815458358298376</v>
      </c>
      <c r="F51" s="1"/>
      <c r="G51" s="1"/>
      <c r="H51" s="1"/>
      <c r="I51" s="1"/>
      <c r="J51" s="1"/>
      <c r="K51" s="1"/>
      <c r="L51" t="s" s="1">
        <v>820</v>
      </c>
      <c r="M51" s="5"/>
    </row>
    <row r="52">
      <c r="B52" s="46">
        <f>DATE(2025,12,14)</f>
        <v>46005</v>
      </c>
      <c r="C52" t="s" s="1">
        <v>716</v>
      </c>
      <c r="D52" s="40">
        <v>24.25</v>
      </c>
      <c r="E52" s="7">
        <f>D52/$D$48-1</f>
        <v>0.4529658478130616</v>
      </c>
      <c r="F52" s="1"/>
      <c r="G52" s="1"/>
      <c r="H52" s="1"/>
      <c r="I52" s="1"/>
      <c r="J52" s="1"/>
      <c r="K52" s="1"/>
      <c r="L52" t="s" s="1">
        <v>820</v>
      </c>
      <c r="M52" t="s" s="5">
        <v>848</v>
      </c>
    </row>
    <row r="53">
      <c r="B53" s="46">
        <f>DATE(2025,12,15)</f>
        <v>46006</v>
      </c>
      <c r="C53" t="s" s="1">
        <v>717</v>
      </c>
      <c r="D53" s="40">
        <v>25.75</v>
      </c>
      <c r="E53" s="7">
        <f>D53/$D$48-1</f>
        <v>0.5428400239664468</v>
      </c>
      <c r="F53" s="1"/>
      <c r="G53" s="1"/>
      <c r="H53" s="1"/>
      <c r="I53" s="1"/>
      <c r="J53" s="1"/>
      <c r="K53" s="1"/>
      <c r="L53" t="s" s="1">
        <v>821</v>
      </c>
      <c r="M53" s="5"/>
    </row>
    <row r="54">
      <c r="B54" s="46">
        <f>DATE(2025,12,15)</f>
        <v>46006</v>
      </c>
      <c r="C54" t="s" s="1">
        <v>716</v>
      </c>
      <c r="D54" s="40">
        <v>24.35</v>
      </c>
      <c r="E54" s="7">
        <f>D54/$D$48-1</f>
        <v>0.4589574595566206</v>
      </c>
      <c r="F54" s="1"/>
      <c r="G54" s="1"/>
      <c r="H54" s="1"/>
      <c r="I54" s="1"/>
      <c r="J54" s="1"/>
      <c r="K54" s="1"/>
      <c r="L54" t="s" s="1">
        <v>821</v>
      </c>
      <c r="M54" s="5"/>
    </row>
    <row r="55">
      <c r="B55" s="46">
        <f>DATE(2025,12,16)</f>
        <v>46007</v>
      </c>
      <c r="C55" t="s" s="1">
        <v>716</v>
      </c>
      <c r="D55" s="40">
        <v>24.5</v>
      </c>
      <c r="E55" s="7">
        <f>D55/$D$48-1</f>
        <v>0.4679448771719592</v>
      </c>
      <c r="F55" s="1"/>
      <c r="G55" s="1"/>
      <c r="H55" s="1"/>
      <c r="I55" s="1"/>
      <c r="J55" s="1"/>
      <c r="K55" s="1"/>
      <c r="L55" t="s" s="1">
        <v>822</v>
      </c>
      <c r="M55" s="5"/>
    </row>
    <row r="56">
      <c r="B56" s="46">
        <f>DATE(2025,12,16)</f>
        <v>46007</v>
      </c>
      <c r="C56" t="s" s="1">
        <v>718</v>
      </c>
      <c r="D56" s="40">
        <v>24.55</v>
      </c>
      <c r="E56" s="7">
        <f>D56/$D$48-1</f>
        <v>0.4709406830437386</v>
      </c>
      <c r="F56" s="1"/>
      <c r="G56" s="1"/>
      <c r="H56" s="1"/>
      <c r="I56" s="1"/>
      <c r="J56" s="1"/>
      <c r="K56" s="1"/>
      <c r="L56" t="s" s="1">
        <v>818</v>
      </c>
      <c r="M56" t="s" s="5">
        <v>849</v>
      </c>
    </row>
    <row r="57">
      <c r="B57" s="46">
        <f>DATE(2025,12,16)</f>
        <v>46007</v>
      </c>
      <c r="C57" t="s" s="1">
        <v>850</v>
      </c>
      <c r="D57" s="40">
        <v>24</v>
      </c>
      <c r="E57" s="7">
        <f>D57/$D$48-1</f>
        <v>0.437986818454164</v>
      </c>
      <c r="F57" s="1"/>
      <c r="G57" s="1"/>
      <c r="H57" s="1"/>
      <c r="I57" s="1"/>
      <c r="J57" s="1"/>
      <c r="K57" s="1"/>
      <c r="L57" t="s" s="1">
        <v>822</v>
      </c>
      <c r="M57" t="s" s="5">
        <v>853</v>
      </c>
    </row>
    <row r="58">
      <c r="B58" s="1"/>
      <c r="C58" t="s" s="1">
        <v>719</v>
      </c>
      <c r="D58" s="1"/>
      <c r="E58" s="18">
        <v>0.471</v>
      </c>
      <c r="F58" s="1"/>
      <c r="G58" s="1"/>
      <c r="H58" s="1"/>
      <c r="I58" s="1"/>
      <c r="J58" s="1"/>
      <c r="K58" s="1"/>
      <c r="L58" t="s" s="1">
        <v>818</v>
      </c>
      <c r="M58" s="5"/>
    </row>
    <row r="59">
      <c r="B59" s="1"/>
      <c r="C59" t="s" s="1">
        <v>720</v>
      </c>
      <c r="D59" s="1"/>
      <c r="E59" s="7">
        <f>E56-E58</f>
        <v>-0.00005931695626137934</v>
      </c>
      <c r="F59" s="1"/>
      <c r="G59" s="1"/>
      <c r="H59" s="1"/>
      <c r="I59" s="1"/>
      <c r="J59" s="1"/>
      <c r="K59" s="1"/>
      <c r="L59" t="s" s="1">
        <v>557</v>
      </c>
      <c r="M59" s="5"/>
    </row>
    <row r="60">
      <c r="B60" s="1"/>
      <c r="C60" t="s" s="1">
        <v>721</v>
      </c>
      <c r="D60" s="1"/>
      <c r="E60" s="7">
        <f>AVERAGE(D50:D51)/D56-1</f>
        <v>-0.144602851323829</v>
      </c>
      <c r="F60" s="1"/>
      <c r="G60" s="1"/>
      <c r="H60" s="1"/>
      <c r="I60" s="1"/>
      <c r="J60" s="1"/>
      <c r="K60" s="1"/>
      <c r="L60" t="s" s="1">
        <v>557</v>
      </c>
      <c r="M60" s="5"/>
    </row>
    <row r="61">
      <c r="B61" s="1"/>
      <c r="C61" s="1"/>
      <c r="D61" s="1"/>
      <c r="E61" s="1"/>
      <c r="F61" s="1"/>
      <c r="G61" s="1"/>
      <c r="H61" s="1"/>
      <c r="I61" s="1"/>
      <c r="J61" s="1"/>
      <c r="K61" s="1"/>
      <c r="L61" s="1"/>
      <c r="M61" s="5"/>
    </row>
    <row r="62">
      <c r="B62" t="s" s="9">
        <v>670</v>
      </c>
      <c r="C62" s="9"/>
      <c r="D62" s="9"/>
      <c r="E62" s="9"/>
      <c r="F62" s="9"/>
      <c r="G62" s="9"/>
      <c r="H62" s="9"/>
      <c r="I62" s="9"/>
      <c r="J62" s="9"/>
      <c r="K62" s="9"/>
      <c r="L62" s="9"/>
      <c r="M62" s="42"/>
    </row>
    <row r="63">
      <c r="B63" t="s" s="10">
        <v>441</v>
      </c>
      <c r="C63" t="s" s="10">
        <v>722</v>
      </c>
      <c r="D63" t="s" s="10">
        <v>565</v>
      </c>
      <c r="E63" t="s" s="10">
        <v>190</v>
      </c>
      <c r="F63" s="10"/>
      <c r="G63" s="10"/>
      <c r="H63" s="10"/>
      <c r="I63" s="10"/>
      <c r="J63" s="10"/>
      <c r="K63" s="10"/>
      <c r="L63" t="s" s="10">
        <v>92</v>
      </c>
      <c r="M63" s="10"/>
    </row>
    <row r="64">
      <c r="B64" t="s" s="1">
        <v>671</v>
      </c>
      <c r="C64" t="s" s="1">
        <v>723</v>
      </c>
      <c r="D64" s="48">
        <v>0.0325</v>
      </c>
      <c r="E64" t="s" s="1">
        <v>584</v>
      </c>
      <c r="F64" s="1"/>
      <c r="G64" s="1"/>
      <c r="H64" s="1"/>
      <c r="I64" s="1"/>
      <c r="J64" s="1"/>
      <c r="K64" s="1"/>
      <c r="L64" t="s" s="1">
        <v>823</v>
      </c>
      <c r="M64" s="5"/>
    </row>
    <row r="65">
      <c r="B65" t="s" s="1">
        <v>672</v>
      </c>
      <c r="C65" t="s" s="1">
        <v>724</v>
      </c>
      <c r="D65" s="25">
        <v>0.015</v>
      </c>
      <c r="E65" t="s" s="1">
        <v>584</v>
      </c>
      <c r="F65" s="1"/>
      <c r="G65" s="1"/>
      <c r="H65" s="1"/>
      <c r="I65" s="1"/>
      <c r="J65" s="1"/>
      <c r="K65" s="1"/>
      <c r="L65" t="s" s="1">
        <v>823</v>
      </c>
      <c r="M65" s="5"/>
    </row>
    <row r="66">
      <c r="B66" t="s" s="1">
        <v>673</v>
      </c>
      <c r="C66" t="s" s="1">
        <v>725</v>
      </c>
      <c r="D66" s="27">
        <v>0.07</v>
      </c>
      <c r="E66" t="s" s="1">
        <v>584</v>
      </c>
      <c r="F66" s="1"/>
      <c r="G66" s="1"/>
      <c r="H66" s="1"/>
      <c r="I66" s="1"/>
      <c r="J66" s="1"/>
      <c r="K66" s="1"/>
      <c r="L66" t="s" s="1">
        <v>823</v>
      </c>
      <c r="M66" s="5"/>
    </row>
    <row r="67">
      <c r="B67" t="s" s="1">
        <v>674</v>
      </c>
      <c r="C67" t="s" s="1">
        <v>726</v>
      </c>
      <c r="D67" s="37">
        <v>2.7</v>
      </c>
      <c r="E67" t="s" s="1">
        <v>578</v>
      </c>
      <c r="F67" s="1"/>
      <c r="G67" s="1"/>
      <c r="H67" s="1"/>
      <c r="I67" s="1"/>
      <c r="J67" s="1"/>
      <c r="K67" s="1"/>
      <c r="L67" t="s" s="1">
        <v>824</v>
      </c>
      <c r="M67" s="5"/>
    </row>
    <row r="68">
      <c r="B68" t="s" s="1">
        <v>675</v>
      </c>
      <c r="C68" t="s" s="1">
        <v>727</v>
      </c>
      <c r="D68" s="26">
        <v>8</v>
      </c>
      <c r="E68" t="s" s="1">
        <v>752</v>
      </c>
      <c r="F68" s="1"/>
      <c r="G68" s="1"/>
      <c r="H68" s="1"/>
      <c r="I68" s="1"/>
      <c r="J68" s="1"/>
      <c r="K68" s="1"/>
      <c r="L68" t="s" s="1">
        <v>824</v>
      </c>
      <c r="M68" s="5"/>
    </row>
    <row r="69">
      <c r="B69" t="s" s="1">
        <v>676</v>
      </c>
      <c r="C69" t="s" s="1">
        <v>728</v>
      </c>
      <c r="D69" s="17">
        <v>450</v>
      </c>
      <c r="E69" t="s" s="1">
        <v>753</v>
      </c>
      <c r="F69" s="1"/>
      <c r="G69" s="1"/>
      <c r="H69" s="1"/>
      <c r="I69" s="1"/>
      <c r="J69" s="1"/>
      <c r="K69" s="1"/>
      <c r="L69" t="s" s="1">
        <v>824</v>
      </c>
      <c r="M69" s="5"/>
    </row>
    <row r="70">
      <c r="B70" t="s" s="1">
        <v>677</v>
      </c>
      <c r="C70" t="s" s="1">
        <v>729</v>
      </c>
      <c r="D70" s="17">
        <v>8334</v>
      </c>
      <c r="E70" t="s" s="1">
        <v>583</v>
      </c>
      <c r="F70" s="1"/>
      <c r="G70" s="1"/>
      <c r="H70" s="1"/>
      <c r="I70" s="1"/>
      <c r="J70" s="1"/>
      <c r="K70" s="1"/>
      <c r="L70" t="s" s="1">
        <v>825</v>
      </c>
      <c r="M70" s="5"/>
    </row>
    <row r="71">
      <c r="B71" t="s" s="1">
        <v>678</v>
      </c>
      <c r="C71" t="s" s="1">
        <v>729</v>
      </c>
      <c r="D71" s="26">
        <v>8.9</v>
      </c>
      <c r="E71" t="s" s="1">
        <v>752</v>
      </c>
      <c r="F71" s="1"/>
      <c r="G71" s="1"/>
      <c r="H71" s="1"/>
      <c r="I71" s="1"/>
      <c r="J71" s="1"/>
      <c r="K71" s="1"/>
      <c r="L71" t="s" s="1">
        <v>825</v>
      </c>
      <c r="M71" s="5"/>
    </row>
    <row r="72">
      <c r="B72" t="s" s="1">
        <v>679</v>
      </c>
      <c r="C72" t="s" s="1">
        <v>730</v>
      </c>
      <c r="D72" s="26">
        <v>24.6</v>
      </c>
      <c r="E72" t="s" s="1">
        <v>752</v>
      </c>
      <c r="F72" s="1"/>
      <c r="G72" s="1"/>
      <c r="H72" s="1"/>
      <c r="I72" s="1"/>
      <c r="J72" s="1"/>
      <c r="K72" s="1"/>
      <c r="L72" t="s" s="1">
        <v>825</v>
      </c>
      <c r="M72" s="5"/>
    </row>
    <row r="73">
      <c r="B73" t="s" s="1">
        <v>680</v>
      </c>
      <c r="C73" t="s" s="1">
        <v>731</v>
      </c>
      <c r="D73" s="37">
        <v>4.2</v>
      </c>
      <c r="E73" t="s" s="1">
        <v>578</v>
      </c>
      <c r="F73" s="1"/>
      <c r="G73" s="1"/>
      <c r="H73" s="1"/>
      <c r="I73" s="1"/>
      <c r="J73" s="1"/>
      <c r="K73" s="1"/>
      <c r="L73" t="s" s="1">
        <v>826</v>
      </c>
      <c r="M73" s="5"/>
    </row>
    <row r="74">
      <c r="B74" t="s" s="1">
        <v>681</v>
      </c>
      <c r="C74" t="s" s="1">
        <v>732</v>
      </c>
      <c r="D74" s="26">
        <v>6</v>
      </c>
      <c r="E74" t="s" s="1">
        <v>752</v>
      </c>
      <c r="F74" s="1"/>
      <c r="G74" s="1"/>
      <c r="H74" s="1"/>
      <c r="I74" s="1"/>
      <c r="J74" s="1"/>
      <c r="K74" s="1"/>
      <c r="L74" t="s" s="1">
        <v>826</v>
      </c>
      <c r="M74" s="5"/>
    </row>
    <row r="75">
      <c r="B75" t="s" s="1">
        <v>682</v>
      </c>
      <c r="C75" t="s" s="1">
        <v>732</v>
      </c>
      <c r="D75" s="26">
        <v>26</v>
      </c>
      <c r="E75" t="s" s="1">
        <v>752</v>
      </c>
      <c r="F75" s="1"/>
      <c r="G75" s="1"/>
      <c r="H75" s="1"/>
      <c r="I75" s="1"/>
      <c r="J75" s="1"/>
      <c r="K75" s="1"/>
      <c r="L75" t="s" s="1">
        <v>826</v>
      </c>
      <c r="M75" s="5"/>
    </row>
    <row r="76">
      <c r="B76" t="s" s="1">
        <v>683</v>
      </c>
      <c r="C76" t="s" s="1">
        <v>731</v>
      </c>
      <c r="D76" s="37">
        <v>1.5</v>
      </c>
      <c r="E76" t="s" s="1">
        <v>578</v>
      </c>
      <c r="F76" s="1"/>
      <c r="G76" s="1"/>
      <c r="H76" s="1"/>
      <c r="I76" s="1"/>
      <c r="J76" s="1"/>
      <c r="K76" s="1"/>
      <c r="L76" t="s" s="1">
        <v>826</v>
      </c>
      <c r="M76" s="5"/>
    </row>
    <row r="77">
      <c r="B77" t="s" s="1">
        <v>684</v>
      </c>
      <c r="C77" t="s" s="1">
        <v>732</v>
      </c>
      <c r="D77" s="26">
        <v>6</v>
      </c>
      <c r="E77" t="s" s="1">
        <v>752</v>
      </c>
      <c r="F77" s="1"/>
      <c r="G77" s="1"/>
      <c r="H77" s="1"/>
      <c r="I77" s="1"/>
      <c r="J77" s="1"/>
      <c r="K77" s="1"/>
      <c r="L77" t="s" s="1">
        <v>826</v>
      </c>
      <c r="M77" s="5"/>
    </row>
    <row r="78">
      <c r="B78" t="s" s="1">
        <v>685</v>
      </c>
      <c r="C78" t="s" s="1">
        <v>733</v>
      </c>
      <c r="D78" s="27">
        <v>0.2</v>
      </c>
      <c r="E78" t="s" s="1">
        <v>584</v>
      </c>
      <c r="F78" s="1"/>
      <c r="G78" s="1"/>
      <c r="H78" s="1"/>
      <c r="I78" s="1"/>
      <c r="J78" s="1"/>
      <c r="K78" s="1"/>
      <c r="L78" t="s" s="1">
        <v>827</v>
      </c>
      <c r="M78" s="5"/>
    </row>
    <row r="79">
      <c r="B79" t="s" s="1">
        <v>686</v>
      </c>
      <c r="C79" t="s" s="1">
        <v>734</v>
      </c>
      <c r="D79" s="27">
        <v>0.2</v>
      </c>
      <c r="E79" t="s" s="1">
        <v>584</v>
      </c>
      <c r="F79" s="1"/>
      <c r="G79" s="1"/>
      <c r="H79" s="1"/>
      <c r="I79" s="1"/>
      <c r="J79" s="1"/>
      <c r="K79" s="1"/>
      <c r="L79" t="s" s="1">
        <v>556</v>
      </c>
      <c r="M79" s="5"/>
    </row>
    <row r="80">
      <c r="B80" t="s" s="1">
        <v>687</v>
      </c>
      <c r="C80" t="s" s="1">
        <v>734</v>
      </c>
      <c r="D80" s="27">
        <v>0.29</v>
      </c>
      <c r="E80" t="s" s="1">
        <v>584</v>
      </c>
      <c r="F80" s="1"/>
      <c r="G80" s="1"/>
      <c r="H80" s="1"/>
      <c r="I80" s="1"/>
      <c r="J80" s="1"/>
      <c r="K80" s="1"/>
      <c r="L80" t="s" s="1">
        <v>556</v>
      </c>
      <c r="M80" s="5"/>
    </row>
    <row r="81">
      <c r="B81" s="1"/>
      <c r="C81" s="1"/>
      <c r="D81" s="1"/>
      <c r="E81" s="1"/>
      <c r="F81" s="1"/>
      <c r="G81" s="1"/>
      <c r="H81" s="1"/>
      <c r="I81" s="1"/>
      <c r="J81" s="1"/>
      <c r="K81" s="1"/>
      <c r="L81" s="1"/>
      <c r="M81" s="5"/>
    </row>
    <row r="82">
      <c r="B82" t="s" s="9">
        <v>688</v>
      </c>
      <c r="C82" s="9"/>
      <c r="D82" s="9"/>
      <c r="E82" s="9"/>
      <c r="F82" s="9"/>
      <c r="G82" s="9"/>
      <c r="H82" s="9"/>
      <c r="I82" s="9"/>
      <c r="J82" s="9"/>
      <c r="K82" s="9"/>
      <c r="L82" s="9"/>
      <c r="M82" s="42"/>
    </row>
    <row r="83">
      <c r="B83" t="s" s="10">
        <v>689</v>
      </c>
      <c r="C83" t="s" s="10">
        <v>488</v>
      </c>
      <c r="D83" s="10"/>
      <c r="E83" s="10"/>
      <c r="F83" s="10"/>
      <c r="G83" s="10"/>
      <c r="H83" s="10"/>
      <c r="I83" s="10"/>
      <c r="J83" s="10"/>
      <c r="K83" s="10"/>
      <c r="L83" t="s" s="10">
        <v>92</v>
      </c>
      <c r="M83" s="10"/>
    </row>
    <row r="84">
      <c r="B84" t="s" s="1">
        <v>690</v>
      </c>
      <c r="C84" t="s" s="1">
        <v>735</v>
      </c>
      <c r="D84" s="1"/>
      <c r="E84" s="1"/>
      <c r="F84" s="1"/>
      <c r="G84" s="1"/>
      <c r="H84" s="1"/>
      <c r="I84" s="1"/>
      <c r="J84" s="1"/>
      <c r="K84" s="1"/>
      <c r="L84" t="s" s="1">
        <v>828</v>
      </c>
      <c r="M84" s="5"/>
    </row>
    <row r="85">
      <c r="B85" t="s" s="1">
        <v>691</v>
      </c>
      <c r="C85" t="s" s="1">
        <v>736</v>
      </c>
      <c r="D85" s="1"/>
      <c r="E85" s="1"/>
      <c r="F85" s="1"/>
      <c r="G85" s="1"/>
      <c r="H85" s="1"/>
      <c r="I85" s="1"/>
      <c r="J85" s="1"/>
      <c r="K85" s="1"/>
      <c r="L85" t="s" s="1">
        <v>829</v>
      </c>
      <c r="M85" s="5"/>
    </row>
    <row r="86">
      <c r="B86" t="s" s="1">
        <v>692</v>
      </c>
      <c r="C86" t="s" s="1">
        <v>737</v>
      </c>
      <c r="D86" s="1"/>
      <c r="E86" s="1"/>
      <c r="F86" s="1"/>
      <c r="G86" s="1"/>
      <c r="H86" s="1"/>
      <c r="I86" s="1"/>
      <c r="J86" s="1"/>
      <c r="K86" s="1"/>
      <c r="L86" t="s" s="1">
        <v>830</v>
      </c>
      <c r="M86" s="5"/>
    </row>
    <row r="87">
      <c r="B87" t="s" s="1">
        <v>693</v>
      </c>
      <c r="C87" t="s" s="1">
        <v>738</v>
      </c>
      <c r="D87" s="1"/>
      <c r="E87" s="1"/>
      <c r="F87" s="1"/>
      <c r="G87" s="1"/>
      <c r="H87" s="1"/>
      <c r="I87" s="1"/>
      <c r="J87" s="1"/>
      <c r="K87" s="1"/>
      <c r="L87" t="s" s="1">
        <v>831</v>
      </c>
      <c r="M87" s="5"/>
    </row>
    <row r="88">
      <c r="B88" t="s" s="1">
        <v>694</v>
      </c>
      <c r="C88" t="s" s="1">
        <v>739</v>
      </c>
      <c r="D88" s="1"/>
      <c r="E88" s="1"/>
      <c r="F88" s="1"/>
      <c r="G88" s="1"/>
      <c r="H88" s="1"/>
      <c r="I88" s="1"/>
      <c r="J88" s="1"/>
      <c r="K88" s="1"/>
      <c r="L88" t="s" s="1">
        <v>832</v>
      </c>
      <c r="M88" s="5"/>
    </row>
    <row r="89">
      <c r="B89" t="s" s="1">
        <v>695</v>
      </c>
      <c r="C89" t="s" s="1">
        <v>854</v>
      </c>
      <c r="D89" s="1"/>
      <c r="E89" s="1"/>
      <c r="F89" s="1"/>
      <c r="G89" s="1"/>
      <c r="H89" s="1"/>
      <c r="I89" s="1"/>
      <c r="J89" s="1"/>
      <c r="K89" s="1"/>
      <c r="L89" t="s" s="1">
        <v>833</v>
      </c>
      <c r="M89" s="5"/>
    </row>
  </sheetData>
  <pageMargins left="0.7" right="0.7" top="0.75" bottom="0.75" header="0.3" footer="0.3"/>
  <legacyDrawing r:id="rId2"/>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2026-10-20T23:29:42Z</dcterms:created>
  <dcterms:modified xsi:type="dcterms:W3CDTF">2026-10-20T23:29:42Z</dcterms:modified>
  <cp:category/>
  <cp:contentStatus/>
</cp:coreProperties>
</file>