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Summary" sheetId="1" r:id="rId1"/>
    <sheet name="Returns Case" sheetId="2" r:id="rId2"/>
  </sheets>
  <calcPr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C36" authorId="0">
      <text>
        <t xml:space="preserve">11.02 Project_Voltaic_CIM_vF.pdf (page 18)</t>
      </text>
    </comment>
    <comment ref="C51" authorId="0">
      <text>
        <t xml:space="preserve">Voltaic Buy-Side Financial Due Diligence.xlsx (Net Debt B6:E30)</t>
      </text>
    </comment>
    <comment ref="C52" authorId="0">
      <text>
        <t xml:space="preserve">9.03 Litigation_and_Claims_Summary.pdf (page 1)</t>
      </text>
    </comment>
    <comment ref="C53" authorId="0">
      <text>
        <t xml:space="preserve">9.03 Litigation_and_Claims_Summary.pdf (page 1)</t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C11" authorId="0">
      <text>
        <t xml:space="preserve">Project Voltaic CIM Tie-Out.xlsx (Buyer Adj EBITDA D19)</t>
      </text>
    </comment>
    <comment ref="C12" authorId="0">
      <text>
        <t xml:space="preserve">Project Voltaic CIM Tie-Out.xlsx (Buyer Adj EBITDA D23)</t>
      </text>
    </comment>
    <comment ref="C13" authorId="0">
      <text>
        <t xml:space="preserve">Project Voltaic CIM Tie-Out.xlsx (Buyer Adj EBITDA D24)</t>
      </text>
    </comment>
    <comment ref="C14" authorId="0">
      <text>
        <t xml:space="preserve">11.02 Project_Voltaic_CIM_vF.pdf (page 29)</t>
      </text>
    </comment>
    <comment ref="C15" authorId="0">
      <text>
        <t xml:space="preserve">11.10 Staple_Financing_Indicative_Terms_2026.06.pdf (page 1)</t>
      </text>
    </comment>
    <comment ref="C17" authorId="0">
      <text>
        <t xml:space="preserve">Cited for C17:C18
11.10 Staple_Financing_Indicative_Terms_2026.06.pdf (page 1)</t>
      </text>
    </comment>
    <comment ref="C19" authorId="0">
      <text>
        <t xml:space="preserve">Cited for C19:C20
11.10 Staple_Financing_Indicative_Terms_2026.06.pdf (page 1)</t>
      </text>
    </comment>
    <comment ref="C21" authorId="0">
      <text>
        <t xml:space="preserve">11.10 Staple_Financing_Indicative_Terms_2026.06.pdf (page 1)</t>
      </text>
    </comment>
    <comment ref="C22" authorId="0">
      <text>
        <t xml:space="preserve">11.10 Staple_Financing_Indicative_Terms_2026.06.pdf (page 3)</t>
      </text>
    </comment>
    <comment ref="C23" authorId="0">
      <text>
        <t xml:space="preserve">11.10 Staple_Financing_Indicative_Terms_2026.06.pdf (page 1)</t>
      </text>
    </comment>
    <comment ref="C24" authorId="0">
      <text>
        <t xml:space="preserve">11.10 Staple_Financing_Indicative_Terms_2026.06.pdf (page 1)</t>
      </text>
    </comment>
    <comment ref="C25" authorId="0">
      <text>
        <t xml:space="preserve">11.10 Staple_Financing_Indicative_Terms_2026.06.pdf (page 1)</t>
      </text>
    </comment>
    <comment ref="C26" authorId="0">
      <text>
        <t xml:space="preserve">Cited for C26:C27
11.10 Staple_Financing_Indicative_Terms_2026.06.pdf (page 4)</t>
      </text>
    </comment>
    <comment ref="C28" authorId="0">
      <text>
        <t xml:space="preserve">11.10 Staple_Financing_Indicative_Terms_2026.06.pdf (page 4)</t>
      </text>
    </comment>
    <comment ref="C29" authorId="0">
      <text>
        <t xml:space="preserve">11.10 Staple_Financing_Indicative_Terms_2026.06.pdf (page 3)</t>
      </text>
    </comment>
    <comment ref="C31" authorId="0">
      <text>
        <t xml:space="preserve">Project Voltaic CIM Tie-Out.xlsx (Workings C170)</t>
      </text>
    </comment>
    <comment ref="C32" authorId="0">
      <text>
        <t xml:space="preserve">11.04 Project_Voltaic_Sell-Side_QoE_Report_DRAFT.pdf (page 16)</t>
      </text>
    </comment>
    <comment ref="C36" authorId="0">
      <text>
        <t xml:space="preserve">Project Voltaic CIM Tie-Out.xlsx (Workings C137)</t>
      </text>
    </comment>
    <comment ref="C37" authorId="0">
      <text>
        <t xml:space="preserve">Cited for C37:C38
Project Voltaic CIM Tie-Out.xlsx (Workings B135:C139)</t>
      </text>
    </comment>
    <comment ref="C39" authorId="0">
      <text>
        <t xml:space="preserve">2.06 FY26_Budget_and_Long-Range_Plan_FY26-FY30_v3.2.xlsx (3. Development Capex B6)</t>
      </text>
    </comment>
    <comment ref="C40" authorId="0">
      <text>
        <t xml:space="preserve">2.06 FY26_Budget_and_Long-Range_Plan_FY26-FY30_v3.2.xlsx (3. Development Capex B7:C7)</t>
      </text>
    </comment>
    <comment ref="C43" authorId="0">
      <text>
        <t xml:space="preserve">2.06 FY26_Budget_and_Long-Range_Plan_FY26-FY30_v3.2.xlsx (2. P&amp;L (FY26-FY30) C14)</t>
      </text>
    </comment>
    <comment ref="C44" authorId="0">
      <text>
        <t xml:space="preserve">2.06 FY26_Budget_and_Long-Range_Plan_FY26-FY30_v3.2.xlsx (2. P&amp;L (FY26-FY30) C15)</t>
      </text>
    </comment>
    <comment ref="C45" authorId="0">
      <text>
        <t xml:space="preserve">2.06 FY26_Budget_and_Long-Range_Plan_FY26-FY30_v3.2.xlsx (2. P&amp;L (FY26-FY30) C16)</t>
      </text>
    </comment>
    <comment ref="C49" authorId="0">
      <text>
        <t xml:space="preserve">Project Voltaic CIM Tie-Out.xlsx (Buyer Adj EBITDA C44)</t>
      </text>
    </comment>
    <comment ref="C50" authorId="0">
      <text>
        <t xml:space="preserve">Project Voltaic CIM Tie-Out.xlsx (Workings C44)</t>
      </text>
    </comment>
    <comment ref="C58" authorId="0">
      <text>
        <t xml:space="preserve">Project Voltaic CIM Tie-Out.xlsx (Workings C116)</t>
      </text>
    </comment>
    <comment ref="C59" authorId="0">
      <text>
        <t xml:space="preserve">Project Voltaic CIM Tie-Out.xlsx (Workings C121)</t>
      </text>
    </comment>
    <comment ref="C65" authorId="0">
      <text>
        <t xml:space="preserve">Project Voltaic CIM Tie-Out.xlsx (Workings C34)</t>
      </text>
    </comment>
    <comment ref="C66" authorId="0">
      <text>
        <t xml:space="preserve">11.02 Project_Voltaic_CIM_vF.pdf (page 19)</t>
      </text>
    </comment>
    <comment ref="C67" authorId="0">
      <text>
        <t xml:space="preserve">Project Voltaic CIM Tie-Out.xlsx (Workings D56)</t>
      </text>
    </comment>
    <comment ref="C68" authorId="0">
      <text>
        <t xml:space="preserve">Project Voltaic CIM Tie-Out.xlsx (Workings C33)</t>
      </text>
    </comment>
    <comment ref="C70" authorId="0">
      <text>
        <t xml:space="preserve">4.05 Development_Pipeline_Schedule_2026.03.31.xlsx (Projects UC A4:L7)</t>
      </text>
    </comment>
    <comment ref="C72" authorId="0">
      <text>
        <t xml:space="preserve">11.02 Project_Voltaic_CIM_vF.pdf (page 29)</t>
      </text>
    </comment>
    <comment ref="C73" authorId="0">
      <text>
        <t xml:space="preserve">11.02 Project_Voltaic_CIM_vF.pdf (page 29)</t>
      </text>
    </comment>
    <comment ref="C76" authorId="0">
      <text>
        <t xml:space="preserve">4.05 Development_Pipeline_Schedule_2026.03.31.xlsx (Projects UC A4:L7)</t>
      </text>
    </comment>
    <comment ref="C78" authorId="0">
      <text>
        <t xml:space="preserve">Project Voltaic CIM Tie-Out.xlsx (Workings B95:C107)</t>
      </text>
    </comment>
    <comment ref="C80" authorId="0">
      <text>
        <t xml:space="preserve">4.05 Development_Pipeline_Schedule_2026.03.31.xlsx (Projects UC A4:L7)</t>
      </text>
    </comment>
    <comment ref="C82" authorId="0">
      <text>
        <t xml:space="preserve">11.06 Project_Voltaic_Technical_VDD_Report_vF.pdf (page 1)</t>
      </text>
    </comment>
    <comment ref="C83" authorId="0">
      <text>
        <t xml:space="preserve">11.04 Project_Voltaic_Sell-Side_QoE_Report_DRAFT.pdf (page 14)</t>
      </text>
    </comment>
    <comment ref="C84" authorId="0">
      <text>
        <t xml:space="preserve">Project Voltaic CIM Tie-Out.xlsx (Buyer Adj EBITDA B7:D24)</t>
      </text>
    </comment>
    <comment ref="G115" authorId="0">
      <text>
        <t xml:space="preserve">Cited for D115:G115
2.06 FY26_Budget_and_Long-Range_Plan_FY26-FY30_v3.2.xlsx (8. Maintenance Capex A17:G17)</t>
      </text>
    </comment>
  </commentList>
</comments>
</file>

<file path=xl/sharedStrings.xml><?xml version="1.0" encoding="utf-8"?>
<sst xmlns="http://schemas.openxmlformats.org/spreadsheetml/2006/main" count="336" uniqueCount="336">
  <si>
    <t>Project Voltaic: returns case behind the IC memo</t>
  </si>
  <si>
    <t>Illustrative: Ironvale Digital Infrastructure is a fictional company (PE Bench)</t>
  </si>
  <si>
    <t/>
  </si>
  <si>
    <t>A. ENTRY AND FINANCING INPUTS</t>
  </si>
  <si>
    <t>Input</t>
  </si>
  <si>
    <t/>
  </si>
  <si>
    <t>Exit date (assumed)</t>
  </si>
  <si>
    <t/>
  </si>
  <si>
    <t>Buyer adjusted EBITDA FY25 ($M)</t>
  </si>
  <si>
    <t/>
  </si>
  <si>
    <t/>
  </si>
  <si>
    <t>Term loan issue price (OID)</t>
  </si>
  <si>
    <t>Delayed-draw term loan (DDTL) commitment ($M)</t>
  </si>
  <si>
    <t>DDTL issue price on funding</t>
  </si>
  <si>
    <t>Revolver commitment, undrawn ($M)</t>
  </si>
  <si>
    <t>Term SOFR, illustrative</t>
  </si>
  <si>
    <t>Margin, term loan and DDTL</t>
  </si>
  <si>
    <t>Revolver unused fee</t>
  </si>
  <si>
    <t>Scheduled amortization, % of original principal p.a.</t>
  </si>
  <si>
    <t>Arrangement fee, term loan and DDTL commitments</t>
  </si>
  <si>
    <t>Arrangement fee, revolver commitments</t>
  </si>
  <si>
    <t>Agency fee ($M p.a.)</t>
  </si>
  <si>
    <t>Minimum cash equity, % of total capitalization</t>
  </si>
  <si>
    <t>Buyer transaction costs, % of EV</t>
  </si>
  <si>
    <t/>
  </si>
  <si>
    <t>Organic EBITDA growth, operating portfolio</t>
  </si>
  <si>
    <t>Hyperscale ABR expiring by FY28 on executed lease dates ($M)</t>
  </si>
  <si>
    <t>Renewal rent, % of fair market rent</t>
  </si>
  <si>
    <t>Hyperscale rate on recent deals and LOIs ($/kW/mo)</t>
  </si>
  <si>
    <t>Hyperscale in-place rate ($/kW/mo)</t>
  </si>
  <si>
    <t>EBITDA lost a year on FY28 renewals ($M)</t>
  </si>
  <si>
    <t>Capacity in flight (MW)</t>
  </si>
  <si>
    <t>Stabilized occupancy, capacity in flight</t>
  </si>
  <si>
    <t>FY25 NOI ($M)</t>
  </si>
  <si>
    <t>FY25 lease and colocation revenue ($M)</t>
  </si>
  <si>
    <t>NOI flow-through on lease revenue</t>
  </si>
  <si>
    <t>Stabilized EBITDA, capacity in flight ($M)</t>
  </si>
  <si>
    <t>Remaining spend on capacity in flight at 31-Mar-26 ($M)</t>
  </si>
  <si>
    <t>PHX II cost-to-complete exposure ($M)</t>
  </si>
  <si>
    <t>Budget, capacity in flight ($M)</t>
  </si>
  <si>
    <t>Implied stabilized yield on cost</t>
  </si>
  <si>
    <t>DFW I-A chiller replacement, FY27 ($M)</t>
  </si>
  <si>
    <t>Straight-line rent, FY25 ($M)</t>
  </si>
  <si>
    <t>Leasing commissions capitalized, FY25 ($M)</t>
  </si>
  <si>
    <t>Exit multiple, x exit-year EBITDA</t>
  </si>
  <si>
    <t>Exit costs, % of exit EV</t>
  </si>
  <si>
    <t/>
  </si>
  <si>
    <t>Item</t>
  </si>
  <si>
    <t/>
  </si>
  <si>
    <t/>
  </si>
  <si>
    <t>Arrangement fees</t>
  </si>
  <si>
    <t>Term loan OID</t>
  </si>
  <si>
    <t>Buyer transaction costs</t>
  </si>
  <si>
    <t>Total uses ($M)</t>
  </si>
  <si>
    <t/>
  </si>
  <si>
    <t>Sponsor equity invested, excl. rollover</t>
  </si>
  <si>
    <t>Total sources ($M)</t>
  </si>
  <si>
    <t>Sponsor equity share of capitalization vs 40% minimum</t>
  </si>
  <si>
    <t>Term loan / buyer adjusted EBITDA FY25</t>
  </si>
  <si>
    <t/>
  </si>
  <si>
    <t>Entry EV / buyer adjusted EBITDA FY25</t>
  </si>
  <si>
    <t/>
  </si>
  <si>
    <t>Fiscal year ending</t>
  </si>
  <si>
    <t>Operating portfolio EBITDA</t>
  </si>
  <si>
    <t>(-) Hyperscale renewal roll-down from FY29</t>
  </si>
  <si>
    <t>Capacity in flight ramp, % of stabilized</t>
  </si>
  <si>
    <t>(+) Capacity in flight EBITDA</t>
  </si>
  <si>
    <t>Buyer EBITDA ($M)</t>
  </si>
  <si>
    <t/>
  </si>
  <si>
    <t>(-) Maintenance capex, long-range plan</t>
  </si>
  <si>
    <t>(-) DFW I-A chiller replacement</t>
  </si>
  <si>
    <t/>
  </si>
  <si>
    <t>(-) Cash interest and facility fees</t>
  </si>
  <si>
    <t>Cash flow before financing ($M)</t>
  </si>
  <si>
    <t>(+) Development reserve released</t>
  </si>
  <si>
    <t>(+) DDTL draw, net of OID</t>
  </si>
  <si>
    <t>(-) Scheduled amortization</t>
  </si>
  <si>
    <t>Cash available to sweep the term loan ($M)</t>
  </si>
  <si>
    <t>Term loan, opening</t>
  </si>
  <si>
    <t>(-) Cash sweep</t>
  </si>
  <si>
    <t>Term loan, closing ($M)</t>
  </si>
  <si>
    <t>DDTL, opening</t>
  </si>
  <si>
    <t>(+) DDTL draw</t>
  </si>
  <si>
    <t>DDTL, closing ($M)</t>
  </si>
  <si>
    <t>Cash, closing</t>
  </si>
  <si>
    <t>Net debt ($M)</t>
  </si>
  <si>
    <t>Net debt / buyer EBITDA</t>
  </si>
  <si>
    <t/>
  </si>
  <si>
    <t>Exit at fiscal year end</t>
  </si>
  <si>
    <t>Exit enterprise value</t>
  </si>
  <si>
    <t>(-) Exit costs</t>
  </si>
  <si>
    <t>(-) Net debt at exit</t>
  </si>
  <si>
    <t>Sponsor equity value at exit ($M)</t>
  </si>
  <si>
    <t>MOIC if exited this year</t>
  </si>
  <si>
    <t>IRR if exited this year</t>
  </si>
  <si>
    <t>Sponsor equity cash flows, assumed exit</t>
  </si>
  <si>
    <t>Gross IRR, assumed exit</t>
  </si>
  <si>
    <t>Gross MOIC, assumed exit</t>
  </si>
  <si>
    <t>Hold period (years)</t>
  </si>
  <si>
    <t/>
  </si>
  <si>
    <t>Gross IRR: entry EV ($M, down) vs exit multiple (across)</t>
  </si>
  <si>
    <t>Gross MOIC: entry EV ($M, down) vs exit multiple (across)</t>
  </si>
  <si>
    <t>Value</t>
  </si>
  <si>
    <t>$M</t>
  </si>
  <si>
    <t>% of total</t>
  </si>
  <si>
    <t>Headroom</t>
  </si>
  <si>
    <t>Source (document and page)</t>
  </si>
  <si>
    <t/>
  </si>
  <si>
    <t>Assumption: five-year hold</t>
  </si>
  <si>
    <t/>
  </si>
  <si>
    <t/>
  </si>
  <si>
    <t>Staple financing terms (11.10) p1</t>
  </si>
  <si>
    <t>Staple financing terms (11.10) p3</t>
  </si>
  <si>
    <t>Staple financing terms (11.10) p4</t>
  </si>
  <si>
    <t/>
  </si>
  <si>
    <t/>
  </si>
  <si>
    <t/>
  </si>
  <si>
    <t>CIM (11.02) p19</t>
  </si>
  <si>
    <t/>
  </si>
  <si>
    <t/>
  </si>
  <si>
    <t/>
  </si>
  <si>
    <t/>
  </si>
  <si>
    <t>CIM (11.02) p29</t>
  </si>
  <si>
    <t/>
  </si>
  <si>
    <t>Technical VDD (11.06) p1</t>
  </si>
  <si>
    <t/>
  </si>
  <si>
    <t/>
  </si>
  <si>
    <t/>
  </si>
  <si>
    <t>Assumption</t>
  </si>
  <si>
    <t>Assumption: PHX II Bldg 1 Nov-26, Bldg 2 and ATL II mid-27 (CIM 11.02 p18), then lease-up</t>
  </si>
  <si>
    <t>FY26 budget and LRP (2.06), Maintenance Capex; FY31 grown at the organic rate</t>
  </si>
  <si>
    <t>Corner: base case; axes are assumptions</t>
  </si>
  <si>
    <t>Project Voltaic: returns case summary</t>
  </si>
  <si>
    <t/>
  </si>
  <si>
    <t>TAKEAWAYS</t>
  </si>
  <si>
    <t>KEY FIGURES</t>
  </si>
  <si>
    <t>Metric</t>
  </si>
  <si>
    <t/>
  </si>
  <si>
    <t>Sponsor equity invested ($M)</t>
  </si>
  <si>
    <t>Sponsor equity share of capitalization</t>
  </si>
  <si>
    <t/>
  </si>
  <si>
    <t/>
  </si>
  <si>
    <t/>
  </si>
  <si>
    <t/>
  </si>
  <si>
    <t/>
  </si>
  <si>
    <t>Basis</t>
  </si>
  <si>
    <t/>
  </si>
  <si>
    <t/>
  </si>
  <si>
    <t/>
  </si>
  <si>
    <t/>
  </si>
  <si>
    <t>Staple minimum 40% (11.10 p3)</t>
  </si>
  <si>
    <t/>
  </si>
  <si>
    <t/>
  </si>
  <si>
    <t/>
  </si>
  <si>
    <t/>
  </si>
  <si>
    <t/>
  </si>
  <si>
    <t>Appraised value, six operating campuses ($M)</t>
  </si>
  <si>
    <t>Capacity in flight at cost, spent to 31-Mar-26 ($M)</t>
  </si>
  <si>
    <t/>
  </si>
  <si>
    <t/>
  </si>
  <si>
    <t>CIM (11.02) p18</t>
  </si>
  <si>
    <t/>
  </si>
  <si>
    <t/>
  </si>
  <si>
    <t>Sponsor equity invested</t>
  </si>
  <si>
    <t>(+) EBITDA growth to exit year at the exit multiple</t>
  </si>
  <si>
    <t>(-) Multiple change: exit vs entry, on FY25 buyer EBITDA</t>
  </si>
  <si>
    <t>(+) Net debt reduction, close to exit</t>
  </si>
  <si>
    <t>(-) Entry costs and development reserve funded with equity</t>
  </si>
  <si>
    <t>Check: vs exit build</t>
  </si>
  <si>
    <t>Chart data</t>
  </si>
  <si>
    <t/>
  </si>
  <si>
    <t/>
  </si>
  <si>
    <t/>
  </si>
  <si>
    <t/>
  </si>
  <si>
    <t/>
  </si>
  <si>
    <t/>
  </si>
  <si>
    <t>Buyer EBITDA, FY26E to FY31E ($M); feeds the IC summary slide</t>
  </si>
  <si>
    <t/>
  </si>
  <si>
    <t>Close date</t>
  </si>
  <si>
    <t>Entry enterprise value at close ($M)</t>
  </si>
  <si>
    <t>Buyer adjusted EBITDA, LTM to 31-Mar-26 ($M)</t>
  </si>
  <si>
    <t>Buyer adjusted EBITDA FY25, cash basis ($M)</t>
  </si>
  <si>
    <t>Seller adjusted EBITDA FY25 ($M)</t>
  </si>
  <si>
    <t>Staple term loan sizing multiple (x adjusted EBITDA)</t>
  </si>
  <si>
    <t>Term loan, re-sized on buyer FY25 EBITDA ($M)</t>
  </si>
  <si>
    <t>Term loan as offered on seller EBITDA ($M)</t>
  </si>
  <si>
    <t>Net debt and debt-like items, buyer view ($M)</t>
  </si>
  <si>
    <t>Net debt and debt-like items, seller ($M)</t>
  </si>
  <si>
    <t>B. PRICE: IOI, FY26 BUDGET AT 18.0x AND THE RECOMMENDED FINAL BID</t>
  </si>
  <si>
    <t>IOI enterprise value, CIM review ($M)</t>
  </si>
  <si>
    <t>IOI range, low ($M)</t>
  </si>
  <si>
    <t>IOI range, high ($M)</t>
  </si>
  <si>
    <t>Plan spend on PHX II, Apr-Dec 2026 ($M)</t>
  </si>
  <si>
    <t>Plan spend on ATL II, Apr-Dec 2026 ($M)</t>
  </si>
  <si>
    <t>Recommended final bid at a 31-Dec-26 close ($M)</t>
  </si>
  <si>
    <t>Check: entry EV input less recommended bid</t>
  </si>
  <si>
    <t>FY26 budget NOI ($M)</t>
  </si>
  <si>
    <t>FY26 budget G&amp;A ($M)</t>
  </si>
  <si>
    <t>FY26 budget other income (VPPA settlements, fees) ($M)</t>
  </si>
  <si>
    <t>FY26 budget adjusted EBITDA, seller definition ($M)</t>
  </si>
  <si>
    <t/>
  </si>
  <si>
    <t>EV at 18.0x FY26 budget, seller definition ($M)</t>
  </si>
  <si>
    <t>Development and management fees kept in buyer EBITDA (FY25) ($M)</t>
  </si>
  <si>
    <t>Power cost not recovered from tenants (FY25) ($M)</t>
  </si>
  <si>
    <t>FY26 budget adjusted EBITDA, buy-side definitions ($M)</t>
  </si>
  <si>
    <t>EV at 18.0x FY26 budget, buy-side definitions ($M)</t>
  </si>
  <si>
    <t>Recommended bid / FY26 budget EBITDA, seller definition</t>
  </si>
  <si>
    <t>Recommended bid / FY26 budget EBITDA, buy-side definitions</t>
  </si>
  <si>
    <t>Recommended bid / buyer FY25 adjusted EBITDA</t>
  </si>
  <si>
    <t>Recommended bid / buyer LTM Mar-26 adjusted EBITDA</t>
  </si>
  <si>
    <t>18.0x seller-budget price less recommended bid ($M)</t>
  </si>
  <si>
    <t>Appraised value, six operating campuses, as is 31-Mar-26 ($M)</t>
  </si>
  <si>
    <t>FY25 EBITDA before other income (NOI less G&amp;A) ($M)</t>
  </si>
  <si>
    <t>Reference multiple: values the operating buildings only</t>
  </si>
  <si>
    <t>C. OPERATING AND EXIT INPUTS</t>
  </si>
  <si>
    <t>Less: seller spend Apr-Dec 2026, credited in the price ($M)</t>
  </si>
  <si>
    <t>Buyer cost to complete after close ($M)</t>
  </si>
  <si>
    <t>D. SOURCES AND USES AT CLOSE</t>
  </si>
  <si>
    <t>Equity purchase price to sellers (EV less net debt and debt-like items)</t>
  </si>
  <si>
    <t>Repayment of net debt and debt-like items</t>
  </si>
  <si>
    <t>Development reserve, equity-funded (cost to complete above DDTL)</t>
  </si>
  <si>
    <t>Term loan (re-sized)</t>
  </si>
  <si>
    <t>Term loan / buyer adjusted EBITDA LTM Mar-26</t>
  </si>
  <si>
    <t>Entry EV / FY26 budget adjusted EBITDA, seller definition</t>
  </si>
  <si>
    <t>E. PROJECTION, CASH FLOW AND DEBT</t>
  </si>
  <si>
    <t>(-) Straight-line rent</t>
  </si>
  <si>
    <t>(-) Leasing commissions capitalized</t>
  </si>
  <si>
    <t>(-) Buyer spend to complete capacity in flight</t>
  </si>
  <si>
    <t>F. EXIT AND RETURNS</t>
  </si>
  <si>
    <t>G. PRICE SCENARIOS, ASSUMED EXIT (data table on entry EV)</t>
  </si>
  <si>
    <t>Scenario</t>
  </si>
  <si>
    <t>Source formulas (base case)</t>
  </si>
  <si>
    <t>Recommended final bid</t>
  </si>
  <si>
    <t>18.0x FY26 budget, buy-side definitions</t>
  </si>
  <si>
    <t/>
  </si>
  <si>
    <t>H. SENSITIVITIES, ASSUMED EXIT</t>
  </si>
  <si>
    <t>I. VALUE CREATION, ASSUMED EXIT</t>
  </si>
  <si>
    <t>Entry EV ($M)</t>
  </si>
  <si>
    <t>Gross IRR</t>
  </si>
  <si>
    <t>Gross MOIC</t>
  </si>
  <si>
    <t>Sponsor equity ($M)</t>
  </si>
  <si>
    <t>Equity share</t>
  </si>
  <si>
    <t/>
  </si>
  <si>
    <t>Assumption: recommended final bid (section B); data table input</t>
  </si>
  <si>
    <t/>
  </si>
  <si>
    <t/>
  </si>
  <si>
    <t>CIM (11.02) p29; staple sizing basis (11.10) p1</t>
  </si>
  <si>
    <t/>
  </si>
  <si>
    <t>Sell-side QoE (11.04) p16</t>
  </si>
  <si>
    <t>CIM tie-out, Workings: IOI midpoint rounded to $25M (in flight at cost to 31-Mar-26)</t>
  </si>
  <si>
    <t>CIM tie-out, Workings</t>
  </si>
  <si>
    <t>FY26 budget and LRP (2.06), Development Capex (completes the $618M budget)</t>
  </si>
  <si>
    <t>FY26 budget and LRP (2.06), Development Capex</t>
  </si>
  <si>
    <t>IOI plus seller spend on capacity in flight after 31-Mar-26, credited dollar for dollar</t>
  </si>
  <si>
    <t>FY26 budget and LRP (2.06), P&amp;L; Board deck (10.01) p5</t>
  </si>
  <si>
    <t>FY26 budget and LRP (2.06), P&amp;L</t>
  </si>
  <si>
    <t>Recomputed; ties to $272M in Board deck (10.01) p5 and CIM (11.02) p33</t>
  </si>
  <si>
    <t/>
  </si>
  <si>
    <t>CIM tie-out, Buyer Adj EBITDA: Mgmt accounts (2.05) Other Income</t>
  </si>
  <si>
    <t>CIM tie-out, Workings: Power interval data (6.04); Power cost analysis (3.07)</t>
  </si>
  <si>
    <t>Budget less other income other than fees (fees held at FY25) and less unrecovered power (held at FY25)</t>
  </si>
  <si>
    <t>Appraisal reports (7.08) p4, via CIM tie-out Workings</t>
  </si>
  <si>
    <t>Audited FS FY25 (2.03) p4, via CIM tie-out Workings</t>
  </si>
  <si>
    <t>Appraisals / FY25 EBITDA before other income; no platform premium, no development pipeline</t>
  </si>
  <si>
    <t>Assumption: low end of 2.5-3.0% escalators (CIM 11.02 p24)</t>
  </si>
  <si>
    <t>CIM tie-out, Workings: executed wholesale leases, Exhibit A p6; Rent roll (3.02). Aggregate only (clean team)</t>
  </si>
  <si>
    <t>CIM tie-out, Workings: Leasing pipeline (4.03)</t>
  </si>
  <si>
    <t>CIM tie-out, Workings: Rent roll (3.02)</t>
  </si>
  <si>
    <t>Development pipeline (4.05)</t>
  </si>
  <si>
    <t>CIM tie-out, Workings: PHX II budget (4.06); Technical VDD (11.06) p2</t>
  </si>
  <si>
    <t>Sell-side QoE (11.04) p14; buyer cash basis 206.9 less 8.4 = 198.5</t>
  </si>
  <si>
    <t>CIM tie-out, Buyer Adj EBITDA: Audited FS FY25 (2.03) p7 (kept as a cash cost)</t>
  </si>
  <si>
    <t>Assumption: IOI low-case buyer multiple (CIM tie-out, Workings); no multiple expansion</t>
  </si>
  <si>
    <t/>
  </si>
  <si>
    <t/>
  </si>
  <si>
    <t>(+) Seller spend on capacity in flight, Apr-Dec 2026 ($M)</t>
  </si>
  <si>
    <t>Reference multiple, operating buildings only</t>
  </si>
  <si>
    <t>Term loan, re-sized at 6.0x buyer FY25 EBITDA ($M)</t>
  </si>
  <si>
    <t>Equity purchase price to sellers ($M)</t>
  </si>
  <si>
    <t>Gross IRR, five-year hold, recommended bid</t>
  </si>
  <si>
    <t>Gross MOIC, five-year hold, recommended bid</t>
  </si>
  <si>
    <t>Gross IRR at 18.0x FY26 budget, seller definition</t>
  </si>
  <si>
    <t>Gross MOIC at 18.0x FY26 budget, seller definition</t>
  </si>
  <si>
    <t>In flight at cost to 31-Mar-26; range 4,144 to 4,299</t>
  </si>
  <si>
    <t>FY26 budget and LRP (2.06): PHX II 206, ATL II 160; price credit at close</t>
  </si>
  <si>
    <t>Same value as the IOI, moved to the close date</t>
  </si>
  <si>
    <t>NOI 293.0 less G&amp;A 38.0 plus other income 17.0 (2.06; Board deck 10.01 p5)</t>
  </si>
  <si>
    <t/>
  </si>
  <si>
    <t/>
  </si>
  <si>
    <t>Less non-fee other income and unrecovered power, both held at FY25</t>
  </si>
  <si>
    <t>Buyer FY25 adjusted EBITDA 206.9 (LTM Mar-26 217.9; cash basis 198.5)</t>
  </si>
  <si>
    <t>Six campus appraisals 4,095 as is at 31-Mar-26 / FY25 EBITDA before other income 212.8</t>
  </si>
  <si>
    <t>Staple financing terms (11.10) p1; offered at 1,344 on the seller's 224.0</t>
  </si>
  <si>
    <t>Seller (QoE 11.04 p16): 1,506.9</t>
  </si>
  <si>
    <t>EV less net debt and debt-like items, 31-Dec-25 basis</t>
  </si>
  <si>
    <t>XIRR on dated sponsor cash flows; exit at 17.7x</t>
  </si>
  <si>
    <t>Price scenarios data table</t>
  </si>
  <si>
    <t>Capacity in flight at cost at the 31-Dec-26 close ($M)</t>
  </si>
  <si>
    <t>Recommended bid discount to appraised value plus cost in flight at close</t>
  </si>
  <si>
    <t>Appraisal reports (7.08) p4, as is 31-Mar-26</t>
  </si>
  <si>
    <t>Plus plan spend Apr-Dec 2026 (2.06)</t>
  </si>
  <si>
    <t>1 - bid / (appraised value + cost in flight at close)</t>
  </si>
  <si>
    <t>PRICE SCENARIO CROSS-CHECKS</t>
  </si>
  <si>
    <t>Asset value at close: appraisals plus cost in flight ($M)</t>
  </si>
  <si>
    <t>18.0x buy-side budget price / FY26 budget, seller definition</t>
  </si>
  <si>
    <t>18.0x seller-budget price / FY26 budget, buy-side definitions</t>
  </si>
  <si>
    <t>18.0x buy-side budget price / buyer FY25 EBITDA</t>
  </si>
  <si>
    <t>18.0x buy-side budget price / buyer LTM Mar-26 EBITDA</t>
  </si>
  <si>
    <t>18.0x seller-budget price / buyer FY25 EBITDA</t>
  </si>
  <si>
    <t>18.0x seller-budget price / buyer LTM Mar-26 EBITDA</t>
  </si>
  <si>
    <t>Unaccrued PHX II lien claim ($M)</t>
  </si>
  <si>
    <t>PHX II owner contingency overdrawn ($M)</t>
  </si>
  <si>
    <t/>
  </si>
  <si>
    <t>Counted twice: unaccrued PHX II lien and overdrawn contingency ($M)</t>
  </si>
  <si>
    <t>PHX II mechanic's lien claim ($M)</t>
  </si>
  <si>
    <t>Accrued at 31-Dec-25 ($M)</t>
  </si>
  <si>
    <t>In the $17.6M EV deduction and in the $1,584.0M debt-like items</t>
  </si>
  <si>
    <t>Buy-side FDD, Net Debt</t>
  </si>
  <si>
    <t>Litigation and claims summary (9.03) p1</t>
  </si>
  <si>
    <t/>
  </si>
  <si>
    <t/>
  </si>
  <si>
    <t>Assumption: year-end close after final bids and signing in H2 2026 (Process letter 11.08 p2)</t>
  </si>
  <si>
    <t/>
  </si>
  <si>
    <t>18.0x seller-definition price less recommended bid ($M)</t>
  </si>
  <si>
    <t/>
  </si>
  <si>
    <t/>
  </si>
  <si>
    <t>US$ millions unless stated. Final-bid case: buyer FY25 adjusted EBITDA $206.9M, net debt and debt-like items $1,584.0M. Close 31-Dec-26; the operating portfolio plus capacity in flight (PHX II, ATL II) on the staple financing re-sized at 6.0x buyer EBITDA; no value for the land bank or new phases. Interest on opening balances; excess cash sweeps the term loan; no entity-level income tax (Tax structure overview 12.04 p1); no change in NWC. Blue = sourced input; blue on yellow = assumption; black = formula.</t>
  </si>
  <si>
    <t>CIM tie-out, Buyer Adj EBITDA (224.0 &gt; 215.1 &gt; 206.9)</t>
  </si>
  <si>
    <t>CIM tie-out, Buyer Adj EBITDA</t>
  </si>
  <si>
    <t>CIM tie-out, Workings; buy-side FDD net debt (31-Dec-25 basis)</t>
  </si>
  <si>
    <t>Net debt at 31-Dec-25 basis; the closing statement trues it up</t>
  </si>
  <si>
    <t>US$ millions. Final-bid case (buyer FY25 adjusted EBITDA 206.9; net debt and debt-like items 1,584.0), closing 31-Dec-26 on the staple re-sized at 6.0x buyer EBITDA. Detail, sources and sensitivities on the Returns Case tab.</t>
  </si>
  <si>
    <t>Reference multiple tested (x FY26 budget adjusted EBITDA)</t>
  </si>
  <si>
    <t>18.0x FY26 budget, seller definition</t>
  </si>
  <si>
    <t>Assumption: 18.0x test case</t>
  </si>
  <si>
    <t>18.0x test case on seller definitions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</si>
</sst>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dd-mmm-yy"/>
    <numFmt numFmtId="165" formatCode="#,##0.0;(#,##0.0);&quot;-&quot;"/>
    <numFmt numFmtId="166" formatCode="0.0%"/>
    <numFmt numFmtId="167" formatCode="0.000%"/>
    <numFmt numFmtId="168" formatCode="#,##0.0"/>
    <numFmt numFmtId="169" formatCode="0.0&quot;x&quot;"/>
    <numFmt numFmtId="170" formatCode="0.00&quot;x&quot;"/>
    <numFmt numFmtId="171" formatCode="0.0"/>
    <numFmt numFmtId="172" formatCode="&quot;FY&quot;yy&quot;E&quot;"/>
    <numFmt numFmtId="173" formatCode="#,##0.0;(#,##0.0)"/>
    <numFmt numFmtId="174" formatCode="0.0%;(0.0%)"/>
  </numFmts>
  <fonts count="18">
    <font>
      <sz val="10"/>
      <color rgb="FF000000"/>
      <name val="Arial"/>
      <family val="2"/>
    </font>
    <font>
      <sz val="10"/>
      <color rgb="FF1A1A1A"/>
      <name val="Arial"/>
      <family val="2"/>
    </font>
    <font>
      <b/>
      <sz val="10"/>
      <color rgb="FF1A1A1A"/>
      <name val="Arial"/>
      <family val="2"/>
    </font>
    <font>
      <b/>
      <sz val="12"/>
      <color rgb="FF1A1A1A"/>
      <name val="Arial"/>
      <family val="2"/>
    </font>
    <font>
      <i/>
      <sz val="10"/>
      <color rgb="FF1A1A1A"/>
      <name val="Arial"/>
      <family val="2"/>
    </font>
    <font>
      <i/>
      <sz val="10"/>
      <color rgb="FFC0392B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i/>
      <sz val="10"/>
      <color rgb="FFFFFFFF"/>
      <name val="Arial"/>
      <family val="2"/>
    </font>
    <font>
      <b/>
      <i/>
      <sz val="10"/>
      <color rgb="FF1A1A1A"/>
      <name val="Arial"/>
      <family val="2"/>
    </font>
    <font>
      <b/>
      <i/>
      <sz val="10"/>
      <color rgb="FF646464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2F0EC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CE5CD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FF7F7F7F"/>
      </bottom>
      <diagonal/>
    </border>
    <border>
      <left/>
      <right/>
      <top style="thin"/>
      <bottom/>
      <diagonal/>
    </border>
    <border>
      <left/>
      <right/>
      <top style="thin">
        <color rgb="FF1A1A1A"/>
      </top>
      <bottom/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/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D9D9D9"/>
      </bottom>
      <diagonal/>
    </border>
  </borders>
  <cellStyleXfs count="1">
    <xf borderId="0" fillId="0" fontId="0" numFmtId="0" applyAlignment="1" applyFont="1" applyFill="1"/>
  </cellStyleXfs>
  <cellXfs count="80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0" fillId="0" fontId="4" numFmtId="0" applyFont="1"/>
    <xf xfId="0" borderId="0" fillId="0" fontId="5" numFmtId="0" applyFont="1"/>
    <xf xfId="0" borderId="0" fillId="0" fontId="6" numFmtId="0" applyAlignment="1" applyFont="1">
      <alignment wrapText="1" vertical="top"/>
    </xf>
    <xf xfId="0" borderId="0" fillId="2" fontId="8" numFmtId="0" applyFont="1" applyFill="1"/>
    <xf xfId="0" borderId="2" fillId="3" fontId="2" numFmtId="0" applyFont="1" applyFill="1"/>
    <xf xfId="0" borderId="2" fillId="3" fontId="2" numFmtId="0" applyAlignment="1" applyFont="1" applyFill="1">
      <alignment horizontal="right"/>
    </xf>
    <xf xfId="0" borderId="0" fillId="0" fontId="6" numFmtId="0" applyFont="1"/>
    <xf xfId="0" borderId="0" fillId="2" fontId="11" numFmtId="0" applyFont="1" applyFill="1"/>
    <xf xfId="0" borderId="2" fillId="3" fontId="11" numFmtId="0" applyFont="1" applyFill="1"/>
    <xf xfId="0" borderId="0" fillId="0" fontId="1" numFmtId="165" applyFont="1"/>
    <xf xfId="0" borderId="0" fillId="0" fontId="1" numFmtId="166" applyFont="1"/>
    <xf xfId="0" borderId="0" fillId="0" fontId="1" numFmtId="169" applyFont="1"/>
    <xf xfId="0" borderId="0" fillId="0" fontId="1" numFmtId="170" applyFont="1"/>
    <xf xfId="0" borderId="0" fillId="0" fontId="1" numFmtId="171" applyFont="1"/>
    <xf xfId="0" borderId="2" fillId="3" fontId="2" numFmtId="172" applyAlignment="1" applyFont="1" applyFill="1">
      <alignment horizontal="right"/>
    </xf>
    <xf xfId="0" borderId="0" fillId="0" fontId="12" numFmtId="165" applyFont="1"/>
    <xf xfId="0" borderId="0" fillId="0" fontId="12" numFmtId="166" applyFont="1"/>
    <xf xfId="0" borderId="0" fillId="0" fontId="12" numFmtId="167" applyFont="1"/>
    <xf xfId="0" borderId="0" fillId="0" fontId="12" numFmtId="168" applyFont="1"/>
    <xf xfId="0" borderId="0" fillId="0" fontId="12" numFmtId="3" applyFont="1"/>
    <xf xfId="0" borderId="0" fillId="4" fontId="12" numFmtId="164" applyFont="1" applyFill="1"/>
    <xf xfId="0" borderId="0" fillId="4" fontId="12" numFmtId="166" applyFont="1" applyFill="1"/>
    <xf xfId="0" borderId="0" fillId="0" fontId="12" numFmtId="169" applyFont="1"/>
    <xf xfId="0" borderId="0" fillId="4" fontId="12" numFmtId="169" applyFont="1" applyFill="1"/>
    <xf xfId="0" borderId="0" fillId="4" fontId="12" numFmtId="3" applyFont="1" applyFill="1"/>
    <xf xfId="0" borderId="4" fillId="0" fontId="2" numFmtId="0" applyFont="1"/>
    <xf xfId="0" borderId="4" fillId="0" fontId="2" numFmtId="165" applyFont="1"/>
    <xf xfId="0" borderId="4" fillId="0" fontId="2" numFmtId="166" applyFont="1"/>
    <xf xfId="0" borderId="0" fillId="5" fontId="2" numFmtId="0" applyFont="1" applyFill="1"/>
    <xf xfId="0" borderId="0" fillId="5" fontId="2" numFmtId="166" applyFont="1" applyFill="1"/>
    <xf xfId="0" borderId="0" fillId="5" fontId="2" numFmtId="170" applyFont="1" applyFill="1"/>
    <xf xfId="0" borderId="0" fillId="0" fontId="1" numFmtId="0" applyAlignment="1" applyFont="1">
      <alignment indent="1"/>
    </xf>
    <xf xfId="0" borderId="0" fillId="0" fontId="4" numFmtId="0" applyAlignment="1" applyFont="1">
      <alignment indent="1"/>
    </xf>
    <xf xfId="0" borderId="1" fillId="0" fontId="2" numFmtId="166" applyFont="1"/>
    <xf xfId="0" borderId="1" fillId="4" fontId="13" numFmtId="169" applyFont="1" applyFill="1"/>
    <xf xfId="0" borderId="1" fillId="0" fontId="2" numFmtId="170" applyFont="1"/>
    <xf xfId="0" borderId="0" fillId="0" fontId="0" numFmtId="165"/>
    <xf xfId="0" borderId="0" fillId="0" fontId="0" numFmtId="166"/>
    <xf xfId="0" borderId="0" fillId="0" fontId="0" numFmtId="170"/>
    <xf xfId="0" borderId="0" fillId="0" fontId="1" numFmtId="0" applyAlignment="1" applyFont="1">
      <alignment wrapText="1" vertical="top"/>
    </xf>
    <xf xfId="0" borderId="0" fillId="0" fontId="2" numFmtId="0" applyAlignment="1" applyFont="1">
      <alignment wrapText="1" vertical="top"/>
    </xf>
    <xf xfId="0" borderId="12" fillId="0" fontId="1" numFmtId="0" applyFont="1"/>
    <xf xfId="0" borderId="12" fillId="0" fontId="14" numFmtId="173" applyFont="1"/>
    <xf xfId="0" borderId="12" fillId="0" fontId="6" numFmtId="0" applyFont="1"/>
    <xf xfId="0" borderId="12" fillId="0" fontId="14" numFmtId="169" applyFont="1"/>
    <xf xfId="0" borderId="12" fillId="0" fontId="14" numFmtId="166" applyFont="1"/>
    <xf xfId="0" borderId="12" fillId="5" fontId="2" numFmtId="0" applyFont="1" applyFill="1"/>
    <xf xfId="0" borderId="12" fillId="5" fontId="15" numFmtId="166" applyFont="1" applyFill="1"/>
    <xf xfId="0" borderId="12" fillId="5" fontId="11" numFmtId="0" applyFont="1" applyFill="1"/>
    <xf xfId="0" borderId="12" fillId="5" fontId="15" numFmtId="170" applyFont="1" applyFill="1"/>
    <xf xfId="0" borderId="0" fillId="0" fontId="12" numFmtId="10" applyFont="1"/>
    <xf xfId="0" borderId="0" fillId="0" fontId="12" numFmtId="2" applyFont="1"/>
    <xf xfId="0" borderId="11" fillId="0" fontId="16" numFmtId="166" applyFont="1"/>
    <xf xfId="0" borderId="11" fillId="0" fontId="16" numFmtId="170" applyFont="1"/>
    <xf xfId="0" borderId="12" fillId="0" fontId="12" numFmtId="173" applyFont="1"/>
    <xf xfId="0" borderId="12" fillId="0" fontId="2" numFmtId="0" applyFont="1"/>
    <xf xfId="0" borderId="12" fillId="0" fontId="11" numFmtId="0" applyFont="1"/>
    <xf xfId="0" borderId="0" fillId="4" fontId="12" numFmtId="165" applyFont="1" applyFill="1"/>
    <xf xfId="0" borderId="0" fillId="5" fontId="2" numFmtId="165" applyFont="1" applyFill="1"/>
    <xf xfId="0" borderId="12" fillId="5" fontId="15" numFmtId="173" applyFont="1" applyFill="1"/>
    <xf xfId="0" borderId="12" fillId="6" fontId="1" numFmtId="0" applyFont="1" applyFill="1"/>
    <xf xfId="0" borderId="12" fillId="6" fontId="14" numFmtId="173" applyFont="1" applyFill="1"/>
    <xf xfId="0" borderId="12" fillId="6" fontId="6" numFmtId="0" applyFont="1" applyFill="1"/>
    <xf xfId="0" borderId="12" fillId="6" fontId="14" numFmtId="166" applyFont="1" applyFill="1"/>
    <xf xfId="0" borderId="12" fillId="6" fontId="14" numFmtId="170" applyFont="1" applyFill="1"/>
    <xf xfId="0" borderId="12" fillId="0" fontId="1" numFmtId="0" applyAlignment="1" applyFont="1">
      <alignment indent="1"/>
    </xf>
    <xf xfId="0" borderId="12" fillId="0" fontId="1" numFmtId="173" applyFont="1"/>
    <xf xfId="0" borderId="2" fillId="3" fontId="2" numFmtId="0" applyAlignment="1" applyFont="1" applyFill="1">
      <alignment wrapText="1"/>
    </xf>
    <xf xfId="0" borderId="2" fillId="3" fontId="2" numFmtId="0" applyAlignment="1" applyFont="1" applyFill="1">
      <alignment wrapText="1" horizontal="right"/>
    </xf>
    <xf xfId="0" borderId="0" fillId="0" fontId="1" numFmtId="174" applyFont="1"/>
    <xf xfId="0" borderId="0" fillId="5" fontId="16" numFmtId="166" applyFont="1" applyFill="1"/>
    <xf xfId="0" borderId="0" fillId="5" fontId="16" numFmtId="170" applyFont="1" applyFill="1"/>
    <xf xfId="0" borderId="0" fillId="5" fontId="16" numFmtId="165" applyFont="1" applyFill="1"/>
    <xf xfId="0" borderId="12" fillId="0" fontId="2" numFmtId="166" applyFont="1"/>
    <xf xfId="0" borderId="12" fillId="0" fontId="2" numFmtId="173" applyFont="1"/>
    <xf xfId="0" borderId="0" fillId="0" fontId="2" numFmtId="172" applyAlignment="1" applyFont="1">
      <alignment horizontal="right"/>
    </xf>
  </cellXfs>
  <cellStyles count="1">
    <cellStyle xfId="0" name="normal" builtinId="0"/>
  </cellStyles>
  <dxfs count="1">
    <dxf/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'Returns Case'!$K$108</c:f>
              <c:strCache>
                <c:ptCount val="1"/>
                <c:pt idx="0">
                  <c:v>Buyer EBITDA ($M)</c:v>
                </c:pt>
              </c:strCache>
            </c:strRef>
          </c:tx>
          <c:spPr>
            <a:solidFill>
              <a:srgbClr val="0B1F3A"/>
            </a:solidFill>
            <a:ln>
              <a:noFill/>
            </a:ln>
          </c:spPr>
          <c:invertIfNegative val="0"/>
          <c:dLbls>
            <c:numFmt formatCode="#,##0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'Returns Case'!$L$107:$Q$107</c:f>
              <c:strCache>
                <c:ptCount val="6"/>
                <c:pt idx="0">
                  <c:v>FY26E</c:v>
                </c:pt>
                <c:pt idx="1">
                  <c:v>FY27E</c:v>
                </c:pt>
                <c:pt idx="2">
                  <c:v>FY28E</c:v>
                </c:pt>
                <c:pt idx="3">
                  <c:v>FY29E</c:v>
                </c:pt>
                <c:pt idx="4">
                  <c:v>FY30E</c:v>
                </c:pt>
                <c:pt idx="5">
                  <c:v>FY31E</c:v>
                </c:pt>
              </c:strCache>
            </c:strRef>
          </c:cat>
          <c:val>
            <c:numRef>
              <c:f>'Returns Case'!$L$108:$Q$108</c:f>
              <c:numCache>
                <c:formatCode>#,##0.0;(#,##0.0);"-"</c:formatCode>
                <c:ptCount val="6"/>
                <c:pt idx="0">
                  <c:v>212.0725</c:v>
                </c:pt>
                <c:pt idx="1">
                  <c:v>256.9581660096914</c:v>
                </c:pt>
                <c:pt idx="2">
                  <c:v>297.02839564317134</c:v>
                </c:pt>
                <c:pt idx="3">
                  <c:v>318.66839211508557</c:v>
                </c:pt>
                <c:pt idx="4">
                  <c:v>329.3258459805548</c:v>
                </c:pt>
                <c:pt idx="5">
                  <c:v>335.1780549617315</c:v>
                </c:pt>
              </c:numCache>
            </c:numRef>
          </c:val>
        </c:ser>
        <c:gapWidth val="6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crossAx val="222222222"/>
        <c:crosses val="autoZero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dispBlanksAs val="gap"/>
  </c:char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110</xdr:row>
      <xdr:rowOff>0</xdr:rowOff>
    </xdr:from>
    <xdr:to>
      <xdr:col>17</xdr:col>
      <xdr:colOff>0</xdr:colOff>
      <xdr:row>127</xdr:row>
      <xdr:rowOff>0</xdr:rowOff>
    </xdr:to>
    <xdr:graphicFrame macro="">
      <xdr:nvGraphicFramePr>
        <xdr:cNvPr id="1" name="Buyer EBITDA chart">
          <a:extLst>
            <a:ext uri="{FF2B5EF4-FFF2-40B4-BE49-F238E27FC236}">
              <a16:creationId xmlns:a16="http://schemas.microsoft.com/office/drawing/2014/main" id="{00000000-FE4B-4C1D-8CA1-000000000003}"/>
            </a:ext>
          </a:extLst>
        </xdr:cNvPr>
        <xdr:cNvGraphicFramePr/>
      </xdr:nvGraphicFramePr>
      <xdr:xfrm>
        <a:off x="0" y="0"/>
        <a:ext cx="5343525" cy="3238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comments" Target="../comments2.xml"/><Relationship Id="rId3" Type="http://schemas.openxmlformats.org/officeDocument/2006/relationships/vmlDrawing" Target="../drawings/comments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showGridLines="0" tabSelected="1" workbookViewId="0">
      <selection activeCell="A1" sqref="A1"/>
    </sheetView>
  </sheetViews>
  <cols>
    <col min="1" max="1" width="2.21875" customWidth="1"/>
    <col min="2" max="2" width="62.7890625" customWidth="1"/>
    <col min="3" max="3" width="17.07421875" customWidth="1"/>
    <col min="4" max="4" width="83.7890625" customWidth="1"/>
  </cols>
  <sheetData>
    <row r="1">
      <c r="A1" s="1"/>
      <c r="B1" s="1"/>
      <c r="C1" s="1"/>
      <c r="D1" s="1"/>
    </row>
    <row r="2">
      <c r="A2" s="1"/>
      <c r="B2" t="s" s="3">
        <v>132</v>
      </c>
      <c r="C2" s="1"/>
      <c r="D2" s="1"/>
    </row>
    <row r="3">
      <c r="A3" s="1"/>
      <c r="B3" t="s" s="5">
        <v>1</v>
      </c>
      <c r="C3" s="1"/>
      <c r="D3" s="1"/>
    </row>
    <row r="4" ht="30" customHeight="1">
      <c r="A4" s="1"/>
      <c r="B4" t="s" s="6">
        <v>331</v>
      </c>
      <c r="C4" s="6"/>
      <c r="D4" s="6"/>
    </row>
    <row r="5">
      <c r="A5" s="1"/>
      <c r="B5" s="1"/>
      <c r="C5" s="1"/>
      <c r="D5" s="1"/>
    </row>
    <row r="6">
      <c r="A6" s="1"/>
      <c r="B6" t="s" s="7">
        <v>134</v>
      </c>
      <c r="C6" s="7"/>
      <c r="D6" s="7"/>
    </row>
    <row r="7" ht="28" customHeight="1">
      <c r="A7" s="1"/>
      <c r="B7" t="str" s="44">
        <f>"Recommended final bid: $"&amp;TEXT('Returns Case'!C41,"#,##0")&amp;"M at the 31-Dec-26 close, which is the $"&amp;TEXT('Returns Case'!C36,"#,##0")&amp;"M IOI plus $"&amp;TEXT('Returns Case'!C39+'Returns Case'!C40,"#,##0")&amp;"M of seller spend on capacity in flight after 31-Mar-26. It is "&amp;TEXT('Returns Case'!C54,"0.0")&amp;"x FY26 budget EBITDA on buy-side definitions and "&amp;TEXT('Returns Case'!C53,"0.0")&amp;"x on the seller's."</f>
        <v>Recommended final bid: $4,591M at the 31-Dec-26 close, which is the $4,225M IOI plus $366M of seller spend on capacity in flight after 31-Mar-26. It is 18.2x FY26 budget EBITDA on buy-side definitions and 16.9x on the seller's.</v>
      </c>
      <c r="C7" s="43"/>
      <c r="D7" s="43"/>
    </row>
    <row r="8" ht="28" customHeight="1">
      <c r="A8" s="1"/>
      <c r="B8" t="str" s="44">
        <f>"Price discipline: 18.0x FY26 budget adjusted EBITDA would cost $"&amp;TEXT('Returns Case'!C48,"#,##0")&amp;"M on the seller's definitions ($"&amp;TEXT('Returns Case'!C46,"#,##0.0")&amp;"M) and $"&amp;TEXT('Returns Case'!C52,"#,##0")&amp;"M on buy-side definitions ($"&amp;TEXT('Returns Case'!C51,"#,##0.0")&amp;"M); the recommended $"&amp;TEXT('Returns Case'!C41,"#,##0")&amp;"M is "&amp;TEXT('Returns Case'!C54,"0.0")&amp;"x on buy-side definitions."</f>
        <v>Price discipline: 18.0x FY26 budget adjusted EBITDA would cost $4,896M on the seller's definitions ($272.0M) and $4,546M on buy-side definitions ($252.6M); the recommended $4,591M is 18.2x on buy-side definitions.</v>
      </c>
      <c r="C8" s="43"/>
      <c r="D8" s="43"/>
    </row>
    <row r="9" ht="28" customHeight="1">
      <c r="A9" s="1"/>
      <c r="B9" t="str" s="43">
        <f>"Funding: term loan re-sized to $"&amp;TEXT('Returns Case'!C16,"#,##0.0")&amp;"M (6.0x buyer FY25 EBITDA); $"&amp;TEXT('Returns Case'!C98,"#,##0")&amp;"M of sponsor equity, "&amp;TEXT('Returns Case'!C100,"0%")&amp;" of capitalization; $"&amp;TEXT('Returns Case'!C90,"#,##0")&amp;"M to sellers after $"&amp;TEXT('Returns Case'!C31,"#,##0.0")&amp;"M of net debt and debt-like items."</f>
        <v>Funding: term loan re-sized to $1,241.4M (6.0x buyer FY25 EBITDA); $3,444M of sponsor equity, 74% of capitalization; $3,007M to sellers after $1,584.0M of net debt and debt-like items.</v>
      </c>
      <c r="C9" s="43"/>
      <c r="D9" s="43"/>
    </row>
    <row r="10" ht="28" customHeight="1">
      <c r="A10" s="1"/>
      <c r="B10" t="str" s="43">
        <f>"Base case: "&amp;TEXT('Returns Case'!C147,"0.0%")&amp;" gross IRR and "&amp;TEXT('Returns Case'!C148,"0.00")&amp;"x MOIC over five years at a "&amp;TEXT('Returns Case'!C85,"0.0")&amp;"x exit; at 18.0x the seller's FY26 budget ($"&amp;TEXT('Returns Case'!C48,"#,##0")&amp;"M), "&amp;TEXT('Returns Case'!D156,"0.0%")&amp;" and "&amp;TEXT('Returns Case'!E156,"0.00")&amp;"x."</f>
        <v>Base case: 9.7% gross IRR and 1.59x MOIC over five years at a 17.7x exit; at 18.0x the seller's FY26 budget ($4,896M), 7.9% and 1.46x.</v>
      </c>
      <c r="C10" s="43"/>
      <c r="D10" s="43"/>
    </row>
    <row r="11" ht="28" customHeight="1">
      <c r="A11" s="1"/>
      <c r="B11" t="str" s="43">
        <f>"Each $100M of price costs about "&amp;TEXT(('Returns Case'!F163-'Returns Case'!F164)*10000/('Returns Case'!C164-'Returns Case'!C163),"0.0")&amp;" points of IRR; each turn of exit multiple is worth about "&amp;TEXT(('Returns Case'!G164-'Returns Case'!F164)*100,"0.0")&amp;" points."</f>
        <v>Each $100M of price costs about 0.7 points of IRR; each turn of exit multiple is worth about 1.3 points.</v>
      </c>
      <c r="C11" s="43"/>
      <c r="D11" s="43"/>
    </row>
    <row r="12">
      <c r="A12" s="1"/>
      <c r="B12" s="1"/>
      <c r="C12" s="1"/>
      <c r="D12" s="1"/>
    </row>
    <row r="13">
      <c r="A13" s="1"/>
      <c r="B13" t="s" s="7">
        <v>135</v>
      </c>
      <c r="C13" s="7"/>
      <c r="D13" s="7"/>
    </row>
    <row r="14">
      <c r="A14" s="1"/>
      <c r="B14" t="s" s="8">
        <v>136</v>
      </c>
      <c r="C14" t="s" s="9">
        <v>102</v>
      </c>
      <c r="D14" t="s" s="8">
        <v>145</v>
      </c>
    </row>
    <row r="15">
      <c r="A15" s="1"/>
      <c r="B15" t="s" s="45">
        <v>189</v>
      </c>
      <c r="C15" s="46">
        <f>'Returns Case'!C36</f>
        <v>4225</v>
      </c>
      <c r="D15" t="s" s="47">
        <v>283</v>
      </c>
    </row>
    <row r="16">
      <c r="A16" s="1"/>
      <c r="B16" t="s" s="69">
        <v>275</v>
      </c>
      <c r="C16" s="46">
        <f>'Returns Case'!C39+'Returns Case'!C40</f>
        <v>366</v>
      </c>
      <c r="D16" t="s" s="47">
        <v>284</v>
      </c>
    </row>
    <row r="17">
      <c r="A17" s="1"/>
      <c r="B17" t="s" s="50">
        <v>194</v>
      </c>
      <c r="C17" s="63">
        <f>'Returns Case'!C41</f>
        <v>4591</v>
      </c>
      <c r="D17" t="s" s="52">
        <v>285</v>
      </c>
    </row>
    <row r="18">
      <c r="A18" s="1"/>
      <c r="B18" t="s" s="45">
        <v>199</v>
      </c>
      <c r="C18" s="46">
        <f>'Returns Case'!C46</f>
        <v>272</v>
      </c>
      <c r="D18" t="s" s="47">
        <v>286</v>
      </c>
    </row>
    <row r="19">
      <c r="A19" s="1"/>
      <c r="B19" t="s" s="64">
        <v>201</v>
      </c>
      <c r="C19" s="65">
        <f>'Returns Case'!C48</f>
        <v>4896</v>
      </c>
      <c r="D19" t="s" s="66">
        <v>335</v>
      </c>
    </row>
    <row r="20">
      <c r="A20" s="1"/>
      <c r="B20" t="s" s="45">
        <v>323</v>
      </c>
      <c r="C20" s="46">
        <f>'Returns Case'!C57</f>
        <v>305</v>
      </c>
      <c r="D20" t="str" s="47">
        <f>"Above the evidence: "&amp;TEXT('Returns Case'!D156,"0.0%")&amp;" IRR"</f>
        <v>Above the evidence: 7.9% IRR</v>
      </c>
    </row>
    <row r="21">
      <c r="A21" s="1"/>
      <c r="B21" t="s" s="45">
        <v>204</v>
      </c>
      <c r="C21" s="46">
        <f>'Returns Case'!C51</f>
        <v>252.57934799999998</v>
      </c>
      <c r="D21" t="s" s="47">
        <v>289</v>
      </c>
    </row>
    <row r="22">
      <c r="A22" s="1"/>
      <c r="B22" t="s" s="45">
        <v>205</v>
      </c>
      <c r="C22" s="46">
        <f>'Returns Case'!C52</f>
        <v>4546.428264</v>
      </c>
      <c r="D22" s="47"/>
    </row>
    <row r="23">
      <c r="A23" s="1"/>
      <c r="B23" t="s" s="45">
        <v>207</v>
      </c>
      <c r="C23" s="48">
        <f>'Returns Case'!C54</f>
        <v>18.176466272293965</v>
      </c>
      <c r="D23" s="47"/>
    </row>
    <row r="24">
      <c r="A24" s="1"/>
      <c r="B24" t="s" s="45">
        <v>208</v>
      </c>
      <c r="C24" s="48">
        <f>'Returns Case'!C55</f>
        <v>22.189463508941518</v>
      </c>
      <c r="D24" t="s" s="47">
        <v>290</v>
      </c>
    </row>
    <row r="25">
      <c r="A25" s="1"/>
      <c r="B25" t="s" s="45">
        <v>276</v>
      </c>
      <c r="C25" s="48">
        <f>'Returns Case'!C60</f>
        <v>19.24342105263158</v>
      </c>
      <c r="D25" t="s" s="47">
        <v>291</v>
      </c>
    </row>
    <row r="26">
      <c r="A26" s="1"/>
      <c r="B26" t="s" s="45">
        <v>277</v>
      </c>
      <c r="C26" s="46">
        <f>'Returns Case'!C16</f>
        <v>1241.4</v>
      </c>
      <c r="D26" t="s" s="47">
        <v>292</v>
      </c>
    </row>
    <row r="27">
      <c r="A27" s="1"/>
      <c r="B27" t="s" s="45">
        <v>186</v>
      </c>
      <c r="C27" s="46">
        <f>'Returns Case'!C31</f>
        <v>1584</v>
      </c>
      <c r="D27" t="s" s="47">
        <v>293</v>
      </c>
    </row>
    <row r="28">
      <c r="A28" s="1"/>
      <c r="B28" t="s" s="45">
        <v>278</v>
      </c>
      <c r="C28" s="46">
        <f>'Returns Case'!C90</f>
        <v>3007</v>
      </c>
      <c r="D28" t="s" s="47">
        <v>294</v>
      </c>
    </row>
    <row r="29">
      <c r="A29" s="1"/>
      <c r="B29" t="s" s="45">
        <v>138</v>
      </c>
      <c r="C29" s="46">
        <f>'Returns Case'!C98</f>
        <v>3444.105499999999</v>
      </c>
      <c r="D29" s="47"/>
    </row>
    <row r="30">
      <c r="A30" s="1"/>
      <c r="B30" t="s" s="45">
        <v>139</v>
      </c>
      <c r="C30" s="49">
        <f>'Returns Case'!C100</f>
        <v>0.7350552677827397</v>
      </c>
      <c r="D30" t="s" s="47">
        <v>150</v>
      </c>
    </row>
    <row r="31">
      <c r="A31" s="1"/>
      <c r="B31" t="s" s="50">
        <v>279</v>
      </c>
      <c r="C31" s="51">
        <f>'Returns Case'!C147</f>
        <v>0.09748877882957457</v>
      </c>
      <c r="D31" t="s" s="52">
        <v>295</v>
      </c>
    </row>
    <row r="32">
      <c r="A32" s="1"/>
      <c r="B32" t="s" s="50">
        <v>280</v>
      </c>
      <c r="C32" s="53">
        <f>'Returns Case'!C148</f>
        <v>1.5926162361801248</v>
      </c>
      <c r="D32" s="52"/>
    </row>
    <row r="33">
      <c r="A33" s="1"/>
      <c r="B33" t="s" s="64">
        <v>281</v>
      </c>
      <c r="C33" s="67">
        <f>'Returns Case'!D156</f>
        <v>0.07885552346706393</v>
      </c>
      <c r="D33" t="s" s="66">
        <v>296</v>
      </c>
    </row>
    <row r="34">
      <c r="A34" s="1"/>
      <c r="B34" t="s" s="64">
        <v>282</v>
      </c>
      <c r="C34" s="68">
        <f>'Returns Case'!E156</f>
        <v>1.4618632778991347</v>
      </c>
      <c r="D34" s="66"/>
    </row>
    <row r="35">
      <c r="A35" s="1"/>
      <c r="B35" t="s" s="45">
        <v>156</v>
      </c>
      <c r="C35" s="46">
        <f>'Returns Case'!C58</f>
        <v>4095</v>
      </c>
      <c r="D35" t="s" s="47">
        <v>299</v>
      </c>
    </row>
    <row r="36">
      <c r="A36" s="1"/>
      <c r="B36" t="s" s="45">
        <v>157</v>
      </c>
      <c r="C36" s="58">
        <v>508</v>
      </c>
      <c r="D36" t="s" s="47">
        <v>160</v>
      </c>
    </row>
    <row r="37">
      <c r="A37" s="1"/>
      <c r="B37" t="s" s="45">
        <v>297</v>
      </c>
      <c r="C37" s="70">
        <f>C36+'Returns Case'!C39+'Returns Case'!C40</f>
        <v>874</v>
      </c>
      <c r="D37" t="s" s="47">
        <v>300</v>
      </c>
    </row>
    <row r="38">
      <c r="A38" s="1"/>
      <c r="B38" t="s" s="59">
        <v>298</v>
      </c>
      <c r="C38" s="77">
        <f>1-C17/(C35+C37)</f>
        <v>0.07607164419400281</v>
      </c>
      <c r="D38" t="s" s="60">
        <v>301</v>
      </c>
    </row>
    <row r="39">
      <c r="A39" s="1"/>
      <c r="B39" s="1"/>
      <c r="C39" s="1"/>
      <c r="D39" s="1"/>
    </row>
    <row r="40">
      <c r="A40" s="1"/>
      <c r="B40" t="s" s="7">
        <v>302</v>
      </c>
      <c r="C40" s="7"/>
      <c r="D40" s="7"/>
    </row>
    <row r="41">
      <c r="B41" t="s" s="8">
        <v>136</v>
      </c>
      <c r="C41" t="s" s="9">
        <v>102</v>
      </c>
      <c r="D41" t="s" s="8">
        <v>145</v>
      </c>
    </row>
    <row r="42">
      <c r="B42" t="s" s="45">
        <v>303</v>
      </c>
      <c r="C42" s="70">
        <f>C35+C37</f>
        <v>4969</v>
      </c>
      <c r="D42" s="47"/>
    </row>
    <row r="43">
      <c r="B43" t="s" s="45">
        <v>304</v>
      </c>
      <c r="C43" s="48">
        <f>'Returns Case'!C52/'Returns Case'!C46</f>
        <v>16.71480979411765</v>
      </c>
      <c r="D43" s="47"/>
    </row>
    <row r="44">
      <c r="B44" t="s" s="45">
        <v>305</v>
      </c>
      <c r="C44" s="48">
        <f>'Returns Case'!C48/'Returns Case'!C51</f>
        <v>19.384007595110273</v>
      </c>
      <c r="D44" s="47"/>
    </row>
    <row r="45">
      <c r="B45" t="s" s="45">
        <v>306</v>
      </c>
      <c r="C45" s="48">
        <f>'Returns Case'!C52/'Returns Case'!C11</f>
        <v>21.9740370420493</v>
      </c>
      <c r="D45" s="47"/>
    </row>
    <row r="46">
      <c r="B46" t="s" s="45">
        <v>307</v>
      </c>
      <c r="C46" s="48">
        <f>'Returns Case'!C52/'Returns Case'!C12</f>
        <v>20.86474650757228</v>
      </c>
      <c r="D46" s="47"/>
    </row>
    <row r="47">
      <c r="B47" t="s" s="45">
        <v>308</v>
      </c>
      <c r="C47" s="48">
        <f>'Returns Case'!C48/'Returns Case'!C11</f>
        <v>23.663605606573224</v>
      </c>
      <c r="D47" s="47"/>
    </row>
    <row r="48">
      <c r="B48" t="s" s="45">
        <v>309</v>
      </c>
      <c r="C48" s="48">
        <f>'Returns Case'!C48/'Returns Case'!C12</f>
        <v>22.469022487379533</v>
      </c>
      <c r="D48" s="47"/>
    </row>
    <row r="49">
      <c r="B49" t="s" s="59">
        <v>313</v>
      </c>
      <c r="C49" s="78">
        <f>C50+C51</f>
        <v>5.199999999999999</v>
      </c>
      <c r="D49" t="s" s="60">
        <v>316</v>
      </c>
    </row>
    <row r="50">
      <c r="B50" t="s" s="69">
        <v>310</v>
      </c>
      <c r="C50" s="70">
        <f>C52-C53</f>
        <v>3.3999999999999995</v>
      </c>
      <c r="D50" s="47"/>
    </row>
    <row r="51">
      <c r="B51" t="s" s="69">
        <v>311</v>
      </c>
      <c r="C51" s="58">
        <v>1.8</v>
      </c>
      <c r="D51" t="s" s="47">
        <v>317</v>
      </c>
    </row>
    <row r="52">
      <c r="B52" t="s" s="69">
        <v>314</v>
      </c>
      <c r="C52" s="58">
        <v>4.6</v>
      </c>
      <c r="D52" t="s" s="47">
        <v>318</v>
      </c>
    </row>
    <row r="53">
      <c r="B53" t="s" s="69">
        <v>315</v>
      </c>
      <c r="C53" s="58">
        <v>1.2</v>
      </c>
      <c r="D53" t="s" s="47">
        <v>318</v>
      </c>
    </row>
  </sheetData>
  <mergeCells count="6">
    <mergeCell ref="B4:D4"/>
    <mergeCell ref="B7:D7"/>
    <mergeCell ref="B8:D8"/>
    <mergeCell ref="B9:D9"/>
    <mergeCell ref="B10:D10"/>
    <mergeCell ref="B11:D11"/>
  </mergeCell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0"/>
  <sheetViews>
    <sheetView showGridLines="0" workbookViewId="0">
      <selection activeCell="A1" sqref="A1"/>
    </sheetView>
  </sheetViews>
  <cols>
    <col min="1" max="1" width="2.21875" customWidth="1"/>
    <col min="2" max="2" width="66.64453125" customWidth="1"/>
    <col min="3" max="8" width="14.07421875" customWidth="1"/>
    <col min="9" max="9" width="89.50390625" customWidth="1"/>
    <col min="11" max="11" width="20.9296875" customWidth="1"/>
    <col min="12" max="17" width="9.789062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>
      <c r="A2" s="1"/>
      <c r="B2" t="s" s="3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>
      <c r="A3" s="1"/>
      <c r="B3" t="s" s="5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44" customHeight="1">
      <c r="A4" s="1"/>
      <c r="B4" t="s" s="6">
        <v>326</v>
      </c>
      <c r="C4" s="6"/>
      <c r="D4" s="6"/>
      <c r="E4" s="6"/>
      <c r="F4" s="6"/>
      <c r="G4" s="6"/>
      <c r="H4" s="6"/>
      <c r="I4" s="6"/>
      <c r="J4" s="1"/>
      <c r="K4" s="1"/>
      <c r="L4" s="1"/>
      <c r="M4" s="1"/>
      <c r="N4" s="1"/>
      <c r="O4" s="1"/>
      <c r="P4" s="1"/>
      <c r="Q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>
      <c r="A6" s="1"/>
      <c r="B6" t="s" s="7">
        <v>3</v>
      </c>
      <c r="C6" s="7"/>
      <c r="D6" s="7"/>
      <c r="E6" s="7"/>
      <c r="F6" s="7"/>
      <c r="G6" s="7"/>
      <c r="H6" s="7"/>
      <c r="I6" s="7"/>
      <c r="J6" s="1"/>
      <c r="K6" s="1"/>
      <c r="L6" s="1"/>
      <c r="M6" s="1"/>
      <c r="N6" s="1"/>
      <c r="O6" s="1"/>
      <c r="P6" s="1"/>
      <c r="Q6" s="1"/>
    </row>
    <row r="7">
      <c r="A7" s="1"/>
      <c r="B7" t="s" s="8">
        <v>4</v>
      </c>
      <c r="C7" t="s" s="9">
        <v>102</v>
      </c>
      <c r="D7" s="9"/>
      <c r="E7" s="9"/>
      <c r="F7" s="9"/>
      <c r="G7" s="9"/>
      <c r="H7" s="9"/>
      <c r="I7" t="s" s="8">
        <v>106</v>
      </c>
      <c r="J7" s="1"/>
      <c r="K7" s="1"/>
      <c r="L7" s="1"/>
      <c r="M7" s="1"/>
      <c r="N7" s="1"/>
      <c r="O7" s="1"/>
      <c r="P7" s="1"/>
      <c r="Q7" s="1"/>
    </row>
    <row r="8">
      <c r="A8" s="1"/>
      <c r="B8" t="s" s="1">
        <v>178</v>
      </c>
      <c r="C8" s="24">
        <v>46387</v>
      </c>
      <c r="D8" s="1"/>
      <c r="E8" s="1"/>
      <c r="F8" s="1"/>
      <c r="G8" s="1"/>
      <c r="H8" s="1"/>
      <c r="I8" t="s" s="10">
        <v>321</v>
      </c>
      <c r="J8" s="1"/>
      <c r="K8" s="1"/>
      <c r="L8" s="1"/>
      <c r="M8" s="1"/>
      <c r="N8" s="1"/>
      <c r="O8" s="1"/>
      <c r="P8" s="1"/>
      <c r="Q8" s="1"/>
    </row>
    <row r="9">
      <c r="A9" s="1"/>
      <c r="B9" t="s" s="1">
        <v>6</v>
      </c>
      <c r="C9" s="24">
        <v>48213</v>
      </c>
      <c r="D9" s="1"/>
      <c r="E9" s="1"/>
      <c r="F9" s="1"/>
      <c r="G9" s="1"/>
      <c r="H9" s="1"/>
      <c r="I9" t="s" s="10">
        <v>108</v>
      </c>
      <c r="J9" s="1"/>
      <c r="K9" s="1"/>
      <c r="L9" s="1"/>
      <c r="M9" s="1"/>
      <c r="N9" s="1"/>
      <c r="O9" s="1"/>
      <c r="P9" s="1"/>
      <c r="Q9" s="1"/>
    </row>
    <row r="10">
      <c r="A10" s="1"/>
      <c r="B10" t="s" s="1">
        <v>179</v>
      </c>
      <c r="C10" s="61">
        <v>4591</v>
      </c>
      <c r="D10" s="1"/>
      <c r="E10" s="1"/>
      <c r="F10" s="1"/>
      <c r="G10" s="1"/>
      <c r="H10" s="1"/>
      <c r="I10" t="s" s="10">
        <v>243</v>
      </c>
      <c r="J10" s="1"/>
      <c r="K10" s="1"/>
      <c r="L10" s="1"/>
      <c r="M10" s="1"/>
      <c r="N10" s="1"/>
      <c r="O10" s="1"/>
      <c r="P10" s="1"/>
      <c r="Q10" s="1"/>
    </row>
    <row r="11">
      <c r="A11" s="1"/>
      <c r="B11" t="s" s="1">
        <v>8</v>
      </c>
      <c r="C11" s="19">
        <v>206.9</v>
      </c>
      <c r="D11" s="1"/>
      <c r="E11" s="1"/>
      <c r="F11" s="1"/>
      <c r="G11" s="1"/>
      <c r="H11" s="1"/>
      <c r="I11" t="s" s="10">
        <v>327</v>
      </c>
      <c r="J11" s="1"/>
      <c r="K11" s="1"/>
      <c r="L11" s="1"/>
      <c r="M11" s="1"/>
      <c r="N11" s="1"/>
      <c r="O11" s="1"/>
      <c r="P11" s="1"/>
      <c r="Q11" s="1"/>
    </row>
    <row r="12">
      <c r="A12" s="1"/>
      <c r="B12" t="s" s="1">
        <v>180</v>
      </c>
      <c r="C12" s="19">
        <v>217.9</v>
      </c>
      <c r="D12" s="1"/>
      <c r="E12" s="1"/>
      <c r="F12" s="1"/>
      <c r="G12" s="1"/>
      <c r="H12" s="1"/>
      <c r="I12" t="s" s="10">
        <v>328</v>
      </c>
      <c r="J12" s="1"/>
      <c r="K12" s="1"/>
      <c r="L12" s="1"/>
      <c r="M12" s="1"/>
      <c r="N12" s="1"/>
      <c r="O12" s="1"/>
      <c r="P12" s="1"/>
      <c r="Q12" s="1"/>
    </row>
    <row r="13">
      <c r="A13" s="1"/>
      <c r="B13" t="s" s="1">
        <v>181</v>
      </c>
      <c r="C13" s="19">
        <v>198.5</v>
      </c>
      <c r="D13" s="1"/>
      <c r="E13" s="1"/>
      <c r="F13" s="1"/>
      <c r="G13" s="1"/>
      <c r="H13" s="1"/>
      <c r="I13" t="s" s="10">
        <v>328</v>
      </c>
      <c r="J13" s="1"/>
      <c r="K13" s="1"/>
      <c r="L13" s="1"/>
      <c r="M13" s="1"/>
      <c r="N13" s="1"/>
      <c r="O13" s="1"/>
      <c r="P13" s="1"/>
      <c r="Q13" s="1"/>
    </row>
    <row r="14">
      <c r="A14" s="1"/>
      <c r="B14" t="s" s="1">
        <v>182</v>
      </c>
      <c r="C14" s="19">
        <v>224</v>
      </c>
      <c r="D14" s="1"/>
      <c r="E14" s="1"/>
      <c r="F14" s="1"/>
      <c r="G14" s="1"/>
      <c r="H14" s="1"/>
      <c r="I14" t="s" s="10">
        <v>246</v>
      </c>
      <c r="J14" s="1"/>
      <c r="K14" s="1"/>
      <c r="L14" s="1"/>
      <c r="M14" s="1"/>
      <c r="N14" s="1"/>
      <c r="O14" s="1"/>
      <c r="P14" s="1"/>
      <c r="Q14" s="1"/>
    </row>
    <row r="15">
      <c r="A15" s="1"/>
      <c r="B15" t="s" s="1">
        <v>183</v>
      </c>
      <c r="C15" s="26">
        <v>6</v>
      </c>
      <c r="D15" s="1"/>
      <c r="E15" s="1"/>
      <c r="F15" s="1"/>
      <c r="G15" s="1"/>
      <c r="H15" s="1"/>
      <c r="I15" t="s" s="10">
        <v>111</v>
      </c>
      <c r="J15" s="1"/>
      <c r="K15" s="1"/>
      <c r="L15" s="1"/>
      <c r="M15" s="1"/>
      <c r="N15" s="1"/>
      <c r="O15" s="1"/>
      <c r="P15" s="1"/>
      <c r="Q15" s="1"/>
    </row>
    <row r="16">
      <c r="A16" s="1"/>
      <c r="B16" t="s" s="1">
        <v>184</v>
      </c>
      <c r="C16" s="40">
        <f>C15*C11</f>
        <v>1241.4</v>
      </c>
      <c r="D16" s="1"/>
      <c r="E16" s="1"/>
      <c r="F16" s="1"/>
      <c r="G16" s="1"/>
      <c r="H16" s="1"/>
      <c r="I16" s="10"/>
      <c r="J16" s="1"/>
      <c r="K16" s="1"/>
      <c r="L16" s="1"/>
      <c r="M16" s="1"/>
      <c r="N16" s="1"/>
      <c r="O16" s="1"/>
      <c r="P16" s="1"/>
      <c r="Q16" s="1"/>
    </row>
    <row r="17">
      <c r="A17" s="1"/>
      <c r="B17" t="s" s="1">
        <v>185</v>
      </c>
      <c r="C17" s="19">
        <v>1344</v>
      </c>
      <c r="D17" s="1"/>
      <c r="E17" s="1"/>
      <c r="F17" s="1"/>
      <c r="G17" s="1"/>
      <c r="H17" s="1"/>
      <c r="I17" t="s" s="10">
        <v>111</v>
      </c>
      <c r="J17" s="1"/>
      <c r="K17" s="1"/>
      <c r="L17" s="1"/>
      <c r="M17" s="1"/>
      <c r="N17" s="1"/>
      <c r="O17" s="1"/>
      <c r="P17" s="1"/>
      <c r="Q17" s="1"/>
    </row>
    <row r="18">
      <c r="A18" s="1"/>
      <c r="B18" t="s" s="1">
        <v>11</v>
      </c>
      <c r="C18" s="20">
        <v>0.99</v>
      </c>
      <c r="D18" s="1"/>
      <c r="E18" s="1"/>
      <c r="F18" s="1"/>
      <c r="G18" s="1"/>
      <c r="H18" s="1"/>
      <c r="I18" t="s" s="10">
        <v>111</v>
      </c>
      <c r="J18" s="1"/>
      <c r="K18" s="1"/>
      <c r="L18" s="1"/>
      <c r="M18" s="1"/>
      <c r="N18" s="1"/>
      <c r="O18" s="1"/>
      <c r="P18" s="1"/>
      <c r="Q18" s="1"/>
    </row>
    <row r="19">
      <c r="A19" s="1"/>
      <c r="B19" t="s" s="1">
        <v>12</v>
      </c>
      <c r="C19" s="19">
        <v>250</v>
      </c>
      <c r="D19" s="1"/>
      <c r="E19" s="1"/>
      <c r="F19" s="1"/>
      <c r="G19" s="1"/>
      <c r="H19" s="1"/>
      <c r="I19" t="s" s="10">
        <v>111</v>
      </c>
      <c r="J19" s="1"/>
      <c r="K19" s="1"/>
      <c r="L19" s="1"/>
      <c r="M19" s="1"/>
      <c r="N19" s="1"/>
      <c r="O19" s="1"/>
      <c r="P19" s="1"/>
      <c r="Q19" s="1"/>
    </row>
    <row r="20">
      <c r="A20" s="1"/>
      <c r="B20" t="s" s="1">
        <v>13</v>
      </c>
      <c r="C20" s="20">
        <v>0.99</v>
      </c>
      <c r="D20" s="1"/>
      <c r="E20" s="1"/>
      <c r="F20" s="1"/>
      <c r="G20" s="1"/>
      <c r="H20" s="1"/>
      <c r="I20" t="s" s="10">
        <v>111</v>
      </c>
      <c r="J20" s="1"/>
      <c r="K20" s="1"/>
      <c r="L20" s="1"/>
      <c r="M20" s="1"/>
      <c r="N20" s="1"/>
      <c r="O20" s="1"/>
      <c r="P20" s="1"/>
      <c r="Q20" s="1"/>
    </row>
    <row r="21">
      <c r="A21" s="1"/>
      <c r="B21" t="s" s="1">
        <v>14</v>
      </c>
      <c r="C21" s="19">
        <v>150</v>
      </c>
      <c r="D21" s="1"/>
      <c r="E21" s="1"/>
      <c r="F21" s="1"/>
      <c r="G21" s="1"/>
      <c r="H21" s="1"/>
      <c r="I21" t="s" s="10">
        <v>111</v>
      </c>
      <c r="J21" s="1"/>
      <c r="K21" s="1"/>
      <c r="L21" s="1"/>
      <c r="M21" s="1"/>
      <c r="N21" s="1"/>
      <c r="O21" s="1"/>
      <c r="P21" s="1"/>
      <c r="Q21" s="1"/>
    </row>
    <row r="22">
      <c r="A22" s="1"/>
      <c r="B22" t="s" s="1">
        <v>15</v>
      </c>
      <c r="C22" s="54">
        <v>0.0375</v>
      </c>
      <c r="D22" s="1"/>
      <c r="E22" s="1"/>
      <c r="F22" s="1"/>
      <c r="G22" s="1"/>
      <c r="H22" s="1"/>
      <c r="I22" t="s" s="10">
        <v>112</v>
      </c>
      <c r="J22" s="1"/>
      <c r="K22" s="1"/>
      <c r="L22" s="1"/>
      <c r="M22" s="1"/>
      <c r="N22" s="1"/>
      <c r="O22" s="1"/>
      <c r="P22" s="1"/>
      <c r="Q22" s="1"/>
    </row>
    <row r="23">
      <c r="A23" s="1"/>
      <c r="B23" t="s" s="1">
        <v>16</v>
      </c>
      <c r="C23" s="54">
        <v>0.03</v>
      </c>
      <c r="D23" s="1"/>
      <c r="E23" s="1"/>
      <c r="F23" s="1"/>
      <c r="G23" s="1"/>
      <c r="H23" s="1"/>
      <c r="I23" t="s" s="10">
        <v>111</v>
      </c>
      <c r="J23" s="1"/>
      <c r="K23" s="1"/>
      <c r="L23" s="1"/>
      <c r="M23" s="1"/>
      <c r="N23" s="1"/>
      <c r="O23" s="1"/>
      <c r="P23" s="1"/>
      <c r="Q23" s="1"/>
    </row>
    <row r="24">
      <c r="A24" s="1"/>
      <c r="B24" t="s" s="1">
        <v>17</v>
      </c>
      <c r="C24" s="21">
        <v>0.00375</v>
      </c>
      <c r="D24" s="1"/>
      <c r="E24" s="1"/>
      <c r="F24" s="1"/>
      <c r="G24" s="1"/>
      <c r="H24" s="1"/>
      <c r="I24" t="s" s="10">
        <v>111</v>
      </c>
      <c r="J24" s="1"/>
      <c r="K24" s="1"/>
      <c r="L24" s="1"/>
      <c r="M24" s="1"/>
      <c r="N24" s="1"/>
      <c r="O24" s="1"/>
      <c r="P24" s="1"/>
      <c r="Q24" s="1"/>
    </row>
    <row r="25">
      <c r="A25" s="1"/>
      <c r="B25" t="s" s="1">
        <v>18</v>
      </c>
      <c r="C25" s="20">
        <v>0.01</v>
      </c>
      <c r="D25" s="1"/>
      <c r="E25" s="1"/>
      <c r="F25" s="1"/>
      <c r="G25" s="1"/>
      <c r="H25" s="1"/>
      <c r="I25" t="s" s="10">
        <v>111</v>
      </c>
      <c r="J25" s="1"/>
      <c r="K25" s="1"/>
      <c r="L25" s="1"/>
      <c r="M25" s="1"/>
      <c r="N25" s="1"/>
      <c r="O25" s="1"/>
      <c r="P25" s="1"/>
      <c r="Q25" s="1"/>
    </row>
    <row r="26">
      <c r="A26" s="1"/>
      <c r="B26" t="s" s="1">
        <v>19</v>
      </c>
      <c r="C26" s="54">
        <v>0.0225</v>
      </c>
      <c r="D26" s="1"/>
      <c r="E26" s="1"/>
      <c r="F26" s="1"/>
      <c r="G26" s="1"/>
      <c r="H26" s="1"/>
      <c r="I26" t="s" s="10">
        <v>113</v>
      </c>
      <c r="J26" s="1"/>
      <c r="K26" s="1"/>
      <c r="L26" s="1"/>
      <c r="M26" s="1"/>
      <c r="N26" s="1"/>
      <c r="O26" s="1"/>
      <c r="P26" s="1"/>
      <c r="Q26" s="1"/>
    </row>
    <row r="27">
      <c r="A27" s="1"/>
      <c r="B27" t="s" s="1">
        <v>20</v>
      </c>
      <c r="C27" s="54">
        <v>0.0175</v>
      </c>
      <c r="D27" s="1"/>
      <c r="E27" s="1"/>
      <c r="F27" s="1"/>
      <c r="G27" s="1"/>
      <c r="H27" s="1"/>
      <c r="I27" t="s" s="10">
        <v>113</v>
      </c>
      <c r="J27" s="1"/>
      <c r="K27" s="1"/>
      <c r="L27" s="1"/>
      <c r="M27" s="1"/>
      <c r="N27" s="1"/>
      <c r="O27" s="1"/>
      <c r="P27" s="1"/>
      <c r="Q27" s="1"/>
    </row>
    <row r="28">
      <c r="A28" s="1"/>
      <c r="B28" t="s" s="1">
        <v>21</v>
      </c>
      <c r="C28" s="55">
        <v>0.15</v>
      </c>
      <c r="D28" s="1"/>
      <c r="E28" s="1"/>
      <c r="F28" s="1"/>
      <c r="G28" s="1"/>
      <c r="H28" s="1"/>
      <c r="I28" t="s" s="10">
        <v>113</v>
      </c>
      <c r="J28" s="1"/>
      <c r="K28" s="1"/>
      <c r="L28" s="1"/>
      <c r="M28" s="1"/>
      <c r="N28" s="1"/>
      <c r="O28" s="1"/>
      <c r="P28" s="1"/>
      <c r="Q28" s="1"/>
    </row>
    <row r="29">
      <c r="A29" s="1"/>
      <c r="B29" t="s" s="1">
        <v>22</v>
      </c>
      <c r="C29" s="20">
        <v>0.4</v>
      </c>
      <c r="D29" s="1"/>
      <c r="E29" s="1"/>
      <c r="F29" s="1"/>
      <c r="G29" s="1"/>
      <c r="H29" s="1"/>
      <c r="I29" t="s" s="10">
        <v>112</v>
      </c>
      <c r="J29" s="1"/>
      <c r="K29" s="1"/>
      <c r="L29" s="1"/>
      <c r="M29" s="1"/>
      <c r="N29" s="1"/>
      <c r="O29" s="1"/>
      <c r="P29" s="1"/>
      <c r="Q29" s="1"/>
    </row>
    <row r="30">
      <c r="A30" s="1"/>
      <c r="B30" t="s" s="1">
        <v>23</v>
      </c>
      <c r="C30" s="25">
        <v>0.01</v>
      </c>
      <c r="D30" s="1"/>
      <c r="E30" s="1"/>
      <c r="F30" s="1"/>
      <c r="G30" s="1"/>
      <c r="H30" s="1"/>
      <c r="I30" t="s" s="10">
        <v>128</v>
      </c>
      <c r="J30" s="1"/>
      <c r="K30" s="1"/>
      <c r="L30" s="1"/>
      <c r="M30" s="1"/>
      <c r="N30" s="1"/>
      <c r="O30" s="1"/>
      <c r="P30" s="1"/>
      <c r="Q30" s="1"/>
    </row>
    <row r="31">
      <c r="A31" s="1"/>
      <c r="B31" t="s" s="1">
        <v>186</v>
      </c>
      <c r="C31" s="19">
        <v>1584</v>
      </c>
      <c r="D31" s="1"/>
      <c r="E31" s="1"/>
      <c r="F31" s="1"/>
      <c r="G31" s="1"/>
      <c r="H31" s="1"/>
      <c r="I31" t="s" s="10">
        <v>329</v>
      </c>
      <c r="J31" s="1"/>
      <c r="K31" s="1"/>
      <c r="L31" s="1"/>
      <c r="M31" s="1"/>
      <c r="N31" s="1"/>
      <c r="O31" s="1"/>
      <c r="P31" s="1"/>
      <c r="Q31" s="1"/>
    </row>
    <row r="32">
      <c r="A32" s="1"/>
      <c r="B32" t="s" s="1">
        <v>187</v>
      </c>
      <c r="C32" s="19">
        <v>1506.9</v>
      </c>
      <c r="D32" s="1"/>
      <c r="E32" s="1"/>
      <c r="F32" s="1"/>
      <c r="G32" s="1"/>
      <c r="H32" s="1"/>
      <c r="I32" t="s" s="10">
        <v>248</v>
      </c>
      <c r="J32" s="1"/>
      <c r="K32" s="1"/>
      <c r="L32" s="1"/>
      <c r="M32" s="1"/>
      <c r="N32" s="1"/>
      <c r="O32" s="1"/>
      <c r="P32" s="1"/>
      <c r="Q32" s="1"/>
    </row>
    <row r="33">
      <c r="A33" s="1"/>
      <c r="B33" s="1"/>
      <c r="C33" s="1"/>
      <c r="D33" s="1"/>
      <c r="E33" s="1"/>
      <c r="F33" s="1"/>
      <c r="G33" s="1"/>
      <c r="H33" s="1"/>
      <c r="I33" s="10"/>
      <c r="J33" s="1"/>
      <c r="K33" s="1"/>
      <c r="L33" s="1"/>
      <c r="M33" s="1"/>
      <c r="N33" s="1"/>
      <c r="O33" s="1"/>
      <c r="P33" s="1"/>
      <c r="Q33" s="1"/>
    </row>
    <row r="34">
      <c r="A34" s="1"/>
      <c r="B34" t="s" s="7">
        <v>188</v>
      </c>
      <c r="C34" s="7"/>
      <c r="D34" s="7"/>
      <c r="E34" s="7"/>
      <c r="F34" s="7"/>
      <c r="G34" s="7"/>
      <c r="H34" s="7"/>
      <c r="I34" s="11"/>
      <c r="J34" s="1"/>
      <c r="K34" s="1"/>
      <c r="L34" s="1"/>
      <c r="M34" s="1"/>
      <c r="N34" s="1"/>
      <c r="O34" s="1"/>
      <c r="P34" s="1"/>
      <c r="Q34" s="1"/>
    </row>
    <row r="35">
      <c r="A35" s="1"/>
      <c r="B35" t="s" s="8">
        <v>47</v>
      </c>
      <c r="C35" t="s" s="9">
        <v>102</v>
      </c>
      <c r="D35" s="9"/>
      <c r="E35" s="9"/>
      <c r="F35" s="9"/>
      <c r="G35" s="9"/>
      <c r="H35" s="9"/>
      <c r="I35" t="s" s="12">
        <v>106</v>
      </c>
      <c r="J35" s="1"/>
      <c r="K35" s="1"/>
      <c r="L35" s="1"/>
      <c r="M35" s="1"/>
      <c r="N35" s="1"/>
      <c r="O35" s="1"/>
      <c r="P35" s="1"/>
      <c r="Q35" s="1"/>
    </row>
    <row r="36">
      <c r="A36" s="1"/>
      <c r="B36" t="s" s="1">
        <v>189</v>
      </c>
      <c r="C36" s="19">
        <v>4225</v>
      </c>
      <c r="D36" s="1"/>
      <c r="E36" s="1"/>
      <c r="F36" s="1"/>
      <c r="G36" s="1"/>
      <c r="H36" s="1"/>
      <c r="I36" t="s" s="10">
        <v>249</v>
      </c>
      <c r="J36" s="1"/>
      <c r="K36" s="1"/>
      <c r="L36" s="1"/>
      <c r="M36" s="1"/>
      <c r="N36" s="1"/>
      <c r="O36" s="1"/>
      <c r="P36" s="1"/>
      <c r="Q36" s="1"/>
    </row>
    <row r="37">
      <c r="A37" s="1"/>
      <c r="B37" t="s" s="1">
        <v>190</v>
      </c>
      <c r="C37" s="19">
        <v>4143.542247</v>
      </c>
      <c r="D37" s="1"/>
      <c r="E37" s="1"/>
      <c r="F37" s="1"/>
      <c r="G37" s="1"/>
      <c r="H37" s="1"/>
      <c r="I37" t="s" s="10">
        <v>250</v>
      </c>
      <c r="J37" s="1"/>
      <c r="K37" s="1"/>
      <c r="L37" s="1"/>
      <c r="M37" s="1"/>
      <c r="N37" s="1"/>
      <c r="O37" s="1"/>
      <c r="P37" s="1"/>
      <c r="Q37" s="1"/>
    </row>
    <row r="38">
      <c r="A38" s="1"/>
      <c r="B38" t="s" s="1">
        <v>191</v>
      </c>
      <c r="C38" s="19">
        <v>4298.716758</v>
      </c>
      <c r="D38" s="1"/>
      <c r="E38" s="1"/>
      <c r="F38" s="1"/>
      <c r="G38" s="1"/>
      <c r="H38" s="1"/>
      <c r="I38" t="s" s="10">
        <v>250</v>
      </c>
      <c r="J38" s="1"/>
      <c r="K38" s="1"/>
      <c r="L38" s="1"/>
      <c r="M38" s="1"/>
      <c r="N38" s="1"/>
      <c r="O38" s="1"/>
      <c r="P38" s="1"/>
      <c r="Q38" s="1"/>
    </row>
    <row r="39">
      <c r="A39" s="1"/>
      <c r="B39" t="s" s="1">
        <v>192</v>
      </c>
      <c r="C39" s="19">
        <v>206</v>
      </c>
      <c r="D39" s="1"/>
      <c r="E39" s="1"/>
      <c r="F39" s="1"/>
      <c r="G39" s="1"/>
      <c r="H39" s="1"/>
      <c r="I39" t="s" s="10">
        <v>251</v>
      </c>
      <c r="J39" s="1"/>
      <c r="K39" s="1"/>
      <c r="L39" s="1"/>
      <c r="M39" s="1"/>
      <c r="N39" s="1"/>
      <c r="O39" s="1"/>
      <c r="P39" s="1"/>
      <c r="Q39" s="1"/>
    </row>
    <row r="40">
      <c r="A40" s="1"/>
      <c r="B40" t="s" s="1">
        <v>193</v>
      </c>
      <c r="C40" s="19">
        <v>160</v>
      </c>
      <c r="D40" s="1"/>
      <c r="E40" s="1"/>
      <c r="F40" s="1"/>
      <c r="G40" s="1"/>
      <c r="H40" s="1"/>
      <c r="I40" t="s" s="10">
        <v>252</v>
      </c>
      <c r="J40" s="1"/>
      <c r="K40" s="1"/>
      <c r="L40" s="1"/>
      <c r="M40" s="1"/>
      <c r="N40" s="1"/>
      <c r="O40" s="1"/>
      <c r="P40" s="1"/>
      <c r="Q40" s="1"/>
    </row>
    <row r="41">
      <c r="A41" s="1"/>
      <c r="B41" t="s" s="29">
        <v>194</v>
      </c>
      <c r="C41" s="30">
        <f>C36+C39+C40</f>
        <v>4591</v>
      </c>
      <c r="D41" s="29"/>
      <c r="E41" s="29"/>
      <c r="F41" s="29"/>
      <c r="G41" s="29"/>
      <c r="H41" s="29"/>
      <c r="I41" t="s" s="10">
        <v>253</v>
      </c>
      <c r="J41" s="1"/>
      <c r="K41" s="1"/>
      <c r="L41" s="1"/>
      <c r="M41" s="1"/>
      <c r="N41" s="1"/>
      <c r="O41" s="1"/>
      <c r="P41" s="1"/>
      <c r="Q41" s="1"/>
    </row>
    <row r="42">
      <c r="A42" s="1"/>
      <c r="B42" t="s" s="4">
        <v>195</v>
      </c>
      <c r="C42" s="13">
        <f>C10-C41</f>
        <v>0</v>
      </c>
      <c r="D42" s="1"/>
      <c r="E42" s="1"/>
      <c r="F42" s="1"/>
      <c r="G42" s="1"/>
      <c r="H42" s="1"/>
      <c r="I42" s="10"/>
      <c r="J42" s="1"/>
      <c r="K42" s="1"/>
      <c r="L42" s="1"/>
      <c r="M42" s="1"/>
      <c r="N42" s="1"/>
      <c r="O42" s="1"/>
      <c r="P42" s="1"/>
      <c r="Q42" s="1"/>
    </row>
    <row r="43">
      <c r="A43" s="1"/>
      <c r="B43" t="s" s="1">
        <v>196</v>
      </c>
      <c r="C43" s="19">
        <v>293</v>
      </c>
      <c r="D43" s="1"/>
      <c r="E43" s="1"/>
      <c r="F43" s="1"/>
      <c r="G43" s="1"/>
      <c r="H43" s="1"/>
      <c r="I43" t="s" s="10">
        <v>254</v>
      </c>
      <c r="J43" s="1"/>
      <c r="K43" s="1"/>
      <c r="L43" s="1"/>
      <c r="M43" s="1"/>
      <c r="N43" s="1"/>
      <c r="O43" s="1"/>
      <c r="P43" s="1"/>
      <c r="Q43" s="1"/>
    </row>
    <row r="44">
      <c r="A44" s="1"/>
      <c r="B44" t="s" s="1">
        <v>197</v>
      </c>
      <c r="C44" s="19">
        <v>-38</v>
      </c>
      <c r="D44" s="1"/>
      <c r="E44" s="1"/>
      <c r="F44" s="1"/>
      <c r="G44" s="1"/>
      <c r="H44" s="1"/>
      <c r="I44" t="s" s="10">
        <v>255</v>
      </c>
      <c r="J44" s="1"/>
      <c r="K44" s="1"/>
      <c r="L44" s="1"/>
      <c r="M44" s="1"/>
      <c r="N44" s="1"/>
      <c r="O44" s="1"/>
      <c r="P44" s="1"/>
      <c r="Q44" s="1"/>
    </row>
    <row r="45">
      <c r="A45" s="1"/>
      <c r="B45" t="s" s="1">
        <v>198</v>
      </c>
      <c r="C45" s="19">
        <v>17</v>
      </c>
      <c r="D45" s="1"/>
      <c r="E45" s="1"/>
      <c r="F45" s="1"/>
      <c r="G45" s="1"/>
      <c r="H45" s="1"/>
      <c r="I45" t="s" s="10">
        <v>255</v>
      </c>
      <c r="J45" s="1"/>
      <c r="K45" s="1"/>
      <c r="L45" s="1"/>
      <c r="M45" s="1"/>
      <c r="N45" s="1"/>
      <c r="O45" s="1"/>
      <c r="P45" s="1"/>
      <c r="Q45" s="1"/>
    </row>
    <row r="46">
      <c r="A46" s="1"/>
      <c r="B46" t="s" s="29">
        <v>199</v>
      </c>
      <c r="C46" s="30">
        <f>SUM(C43:C45)</f>
        <v>272</v>
      </c>
      <c r="D46" s="29"/>
      <c r="E46" s="29"/>
      <c r="F46" s="29"/>
      <c r="G46" s="29"/>
      <c r="H46" s="29"/>
      <c r="I46" t="s" s="10">
        <v>256</v>
      </c>
      <c r="J46" s="1"/>
      <c r="K46" s="1"/>
      <c r="L46" s="1"/>
      <c r="M46" s="1"/>
      <c r="N46" s="1"/>
      <c r="O46" s="1"/>
      <c r="P46" s="1"/>
      <c r="Q46" s="1"/>
    </row>
    <row r="47">
      <c r="A47" s="1"/>
      <c r="B47" t="s" s="1">
        <v>332</v>
      </c>
      <c r="C47" s="27">
        <v>18</v>
      </c>
      <c r="D47" s="1"/>
      <c r="E47" s="1"/>
      <c r="F47" s="1"/>
      <c r="G47" s="1"/>
      <c r="H47" s="1"/>
      <c r="I47" t="s" s="10">
        <v>334</v>
      </c>
      <c r="J47" s="1"/>
      <c r="K47" s="1"/>
      <c r="L47" s="1"/>
      <c r="M47" s="1"/>
      <c r="N47" s="1"/>
      <c r="O47" s="1"/>
      <c r="P47" s="1"/>
      <c r="Q47" s="1"/>
    </row>
    <row r="48">
      <c r="A48" s="1"/>
      <c r="B48" t="s" s="29">
        <v>201</v>
      </c>
      <c r="C48" s="30">
        <f>C46*C47</f>
        <v>4896</v>
      </c>
      <c r="D48" s="29"/>
      <c r="E48" s="29"/>
      <c r="F48" s="29"/>
      <c r="G48" s="29"/>
      <c r="H48" s="29"/>
      <c r="I48" s="10"/>
      <c r="J48" s="1"/>
      <c r="K48" s="1"/>
      <c r="L48" s="1"/>
      <c r="M48" s="1"/>
      <c r="N48" s="1"/>
      <c r="O48" s="1"/>
      <c r="P48" s="1"/>
      <c r="Q48" s="1"/>
    </row>
    <row r="49">
      <c r="A49" s="1"/>
      <c r="B49" t="s" s="1">
        <v>202</v>
      </c>
      <c r="C49" s="19">
        <v>5.76</v>
      </c>
      <c r="D49" s="1"/>
      <c r="E49" s="1"/>
      <c r="F49" s="1"/>
      <c r="G49" s="1"/>
      <c r="H49" s="1"/>
      <c r="I49" t="s" s="10">
        <v>258</v>
      </c>
      <c r="J49" s="1"/>
      <c r="K49" s="1"/>
      <c r="L49" s="1"/>
      <c r="M49" s="1"/>
      <c r="N49" s="1"/>
      <c r="O49" s="1"/>
      <c r="P49" s="1"/>
      <c r="Q49" s="1"/>
    </row>
    <row r="50">
      <c r="A50" s="1"/>
      <c r="B50" t="s" s="1">
        <v>203</v>
      </c>
      <c r="C50" s="19">
        <v>8.180652</v>
      </c>
      <c r="D50" s="1"/>
      <c r="E50" s="1"/>
      <c r="F50" s="1"/>
      <c r="G50" s="1"/>
      <c r="H50" s="1"/>
      <c r="I50" t="s" s="10">
        <v>259</v>
      </c>
      <c r="J50" s="1"/>
      <c r="K50" s="1"/>
      <c r="L50" s="1"/>
      <c r="M50" s="1"/>
      <c r="N50" s="1"/>
      <c r="O50" s="1"/>
      <c r="P50" s="1"/>
      <c r="Q50" s="1"/>
    </row>
    <row r="51">
      <c r="A51" s="1"/>
      <c r="B51" t="s" s="29">
        <v>204</v>
      </c>
      <c r="C51" s="30">
        <f>C46-(C45-C49)-C50</f>
        <v>252.57934799999998</v>
      </c>
      <c r="D51" s="29"/>
      <c r="E51" s="29"/>
      <c r="F51" s="29"/>
      <c r="G51" s="29"/>
      <c r="H51" s="29"/>
      <c r="I51" t="s" s="10">
        <v>260</v>
      </c>
      <c r="J51" s="1"/>
      <c r="K51" s="1"/>
      <c r="L51" s="1"/>
      <c r="M51" s="1"/>
      <c r="N51" s="1"/>
      <c r="O51" s="1"/>
      <c r="P51" s="1"/>
      <c r="Q51" s="1"/>
    </row>
    <row r="52">
      <c r="A52" s="1"/>
      <c r="B52" t="s" s="29">
        <v>205</v>
      </c>
      <c r="C52" s="30">
        <f>C51*C47</f>
        <v>4546.428264</v>
      </c>
      <c r="D52" s="29"/>
      <c r="E52" s="29"/>
      <c r="F52" s="29"/>
      <c r="G52" s="29"/>
      <c r="H52" s="29"/>
      <c r="I52" s="10"/>
      <c r="J52" s="1"/>
      <c r="K52" s="1"/>
      <c r="L52" s="1"/>
      <c r="M52" s="1"/>
      <c r="N52" s="1"/>
      <c r="O52" s="1"/>
      <c r="P52" s="1"/>
      <c r="Q52" s="1"/>
    </row>
    <row r="53">
      <c r="A53" s="1"/>
      <c r="B53" t="s" s="4">
        <v>206</v>
      </c>
      <c r="C53" s="15">
        <f>C41/C46</f>
        <v>16.878676470588236</v>
      </c>
      <c r="D53" s="1"/>
      <c r="E53" s="1"/>
      <c r="F53" s="1"/>
      <c r="G53" s="1"/>
      <c r="H53" s="1"/>
      <c r="I53" s="10"/>
      <c r="J53" s="1"/>
      <c r="K53" s="1"/>
      <c r="L53" s="1"/>
      <c r="M53" s="1"/>
      <c r="N53" s="1"/>
      <c r="O53" s="1"/>
      <c r="P53" s="1"/>
      <c r="Q53" s="1"/>
    </row>
    <row r="54">
      <c r="A54" s="1"/>
      <c r="B54" t="s" s="4">
        <v>207</v>
      </c>
      <c r="C54" s="15">
        <f>C41/C51</f>
        <v>18.176466272293965</v>
      </c>
      <c r="D54" s="1"/>
      <c r="E54" s="1"/>
      <c r="F54" s="1"/>
      <c r="G54" s="1"/>
      <c r="H54" s="1"/>
      <c r="I54" s="10"/>
      <c r="J54" s="1"/>
      <c r="K54" s="1"/>
      <c r="L54" s="1"/>
      <c r="M54" s="1"/>
      <c r="N54" s="1"/>
      <c r="O54" s="1"/>
      <c r="P54" s="1"/>
      <c r="Q54" s="1"/>
    </row>
    <row r="55">
      <c r="A55" s="1"/>
      <c r="B55" t="s" s="4">
        <v>208</v>
      </c>
      <c r="C55" s="15">
        <f>C41/C11</f>
        <v>22.189463508941518</v>
      </c>
      <c r="D55" s="1"/>
      <c r="E55" s="1"/>
      <c r="F55" s="1"/>
      <c r="G55" s="1"/>
      <c r="H55" s="1"/>
      <c r="I55" s="10"/>
      <c r="J55" s="1"/>
      <c r="K55" s="1"/>
      <c r="L55" s="1"/>
      <c r="M55" s="1"/>
      <c r="N55" s="1"/>
      <c r="O55" s="1"/>
      <c r="P55" s="1"/>
      <c r="Q55" s="1"/>
    </row>
    <row r="56">
      <c r="A56" s="1"/>
      <c r="B56" t="s" s="4">
        <v>209</v>
      </c>
      <c r="C56" s="15">
        <f>C41/C12</f>
        <v>21.06929784304727</v>
      </c>
      <c r="D56" s="1"/>
      <c r="E56" s="1"/>
      <c r="F56" s="1"/>
      <c r="G56" s="1"/>
      <c r="H56" s="1"/>
      <c r="I56" s="10"/>
      <c r="J56" s="1"/>
      <c r="K56" s="1"/>
      <c r="L56" s="1"/>
      <c r="M56" s="1"/>
      <c r="N56" s="1"/>
      <c r="O56" s="1"/>
      <c r="P56" s="1"/>
      <c r="Q56" s="1"/>
    </row>
    <row r="57">
      <c r="A57" s="1"/>
      <c r="B57" t="s" s="1">
        <v>210</v>
      </c>
      <c r="C57" s="13">
        <f>C48-C41</f>
        <v>305</v>
      </c>
      <c r="D57" s="1"/>
      <c r="E57" s="1"/>
      <c r="F57" s="1"/>
      <c r="G57" s="1"/>
      <c r="H57" s="1"/>
      <c r="I57" s="10"/>
      <c r="J57" s="1"/>
      <c r="K57" s="1"/>
      <c r="L57" s="1"/>
      <c r="M57" s="1"/>
      <c r="N57" s="1"/>
      <c r="O57" s="1"/>
      <c r="P57" s="1"/>
      <c r="Q57" s="1"/>
    </row>
    <row r="58">
      <c r="A58" s="1"/>
      <c r="B58" t="s" s="1">
        <v>211</v>
      </c>
      <c r="C58" s="19">
        <v>4095</v>
      </c>
      <c r="D58" s="1"/>
      <c r="E58" s="1"/>
      <c r="F58" s="1"/>
      <c r="G58" s="1"/>
      <c r="H58" s="1"/>
      <c r="I58" t="s" s="10">
        <v>261</v>
      </c>
      <c r="J58" s="1"/>
      <c r="K58" s="1"/>
      <c r="L58" s="1"/>
      <c r="M58" s="1"/>
      <c r="N58" s="1"/>
      <c r="O58" s="1"/>
      <c r="P58" s="1"/>
      <c r="Q58" s="1"/>
    </row>
    <row r="59">
      <c r="A59" s="1"/>
      <c r="B59" t="s" s="1">
        <v>212</v>
      </c>
      <c r="C59" s="19">
        <v>212.8</v>
      </c>
      <c r="D59" s="1"/>
      <c r="E59" s="1"/>
      <c r="F59" s="1"/>
      <c r="G59" s="1"/>
      <c r="H59" s="1"/>
      <c r="I59" t="s" s="10">
        <v>262</v>
      </c>
      <c r="J59" s="1"/>
      <c r="K59" s="1"/>
      <c r="L59" s="1"/>
      <c r="M59" s="1"/>
      <c r="N59" s="1"/>
      <c r="O59" s="1"/>
      <c r="P59" s="1"/>
      <c r="Q59" s="1"/>
    </row>
    <row r="60">
      <c r="A60" s="1"/>
      <c r="B60" t="s" s="4">
        <v>213</v>
      </c>
      <c r="C60" s="15">
        <f>C58/C59</f>
        <v>19.24342105263158</v>
      </c>
      <c r="D60" s="1"/>
      <c r="E60" s="1"/>
      <c r="F60" s="1"/>
      <c r="G60" s="1"/>
      <c r="H60" s="1"/>
      <c r="I60" t="s" s="10">
        <v>263</v>
      </c>
      <c r="J60" s="1"/>
      <c r="K60" s="1"/>
      <c r="L60" s="1"/>
      <c r="M60" s="1"/>
      <c r="N60" s="1"/>
      <c r="O60" s="1"/>
      <c r="P60" s="1"/>
      <c r="Q60" s="1"/>
    </row>
    <row r="61">
      <c r="A61" s="1"/>
      <c r="B61" s="1"/>
      <c r="C61" s="1"/>
      <c r="D61" s="1"/>
      <c r="E61" s="1"/>
      <c r="F61" s="1"/>
      <c r="G61" s="1"/>
      <c r="H61" s="1"/>
      <c r="I61" s="10"/>
      <c r="J61" s="1"/>
      <c r="K61" s="1"/>
      <c r="L61" s="1"/>
      <c r="M61" s="1"/>
      <c r="N61" s="1"/>
      <c r="O61" s="1"/>
      <c r="P61" s="1"/>
      <c r="Q61" s="1"/>
    </row>
    <row r="62">
      <c r="A62" s="1"/>
      <c r="B62" t="s" s="7">
        <v>214</v>
      </c>
      <c r="C62" s="7"/>
      <c r="D62" s="7"/>
      <c r="E62" s="7"/>
      <c r="F62" s="7"/>
      <c r="G62" s="7"/>
      <c r="H62" s="7"/>
      <c r="I62" s="11"/>
      <c r="J62" s="1"/>
      <c r="K62" s="1"/>
      <c r="L62" s="1"/>
      <c r="M62" s="1"/>
      <c r="N62" s="1"/>
      <c r="O62" s="1"/>
      <c r="P62" s="1"/>
      <c r="Q62" s="1"/>
    </row>
    <row r="63">
      <c r="A63" s="1"/>
      <c r="B63" t="s" s="8">
        <v>4</v>
      </c>
      <c r="C63" t="s" s="9">
        <v>102</v>
      </c>
      <c r="D63" s="9"/>
      <c r="E63" s="9"/>
      <c r="F63" s="9"/>
      <c r="G63" s="9"/>
      <c r="H63" s="9"/>
      <c r="I63" t="s" s="12">
        <v>106</v>
      </c>
      <c r="J63" s="1"/>
      <c r="K63" s="1"/>
      <c r="L63" s="1"/>
      <c r="M63" s="1"/>
      <c r="N63" s="1"/>
      <c r="O63" s="1"/>
      <c r="P63" s="1"/>
      <c r="Q63" s="1"/>
    </row>
    <row r="64">
      <c r="A64" s="1"/>
      <c r="B64" t="s" s="1">
        <v>25</v>
      </c>
      <c r="C64" s="25">
        <v>0.025</v>
      </c>
      <c r="D64" s="1"/>
      <c r="E64" s="1"/>
      <c r="F64" s="1"/>
      <c r="G64" s="1"/>
      <c r="H64" s="1"/>
      <c r="I64" t="s" s="10">
        <v>264</v>
      </c>
      <c r="J64" s="1"/>
      <c r="K64" s="1"/>
      <c r="L64" s="1"/>
      <c r="M64" s="1"/>
      <c r="N64" s="1"/>
      <c r="O64" s="1"/>
      <c r="P64" s="1"/>
      <c r="Q64" s="1"/>
    </row>
    <row r="65">
      <c r="A65" s="1"/>
      <c r="B65" t="s" s="1">
        <v>26</v>
      </c>
      <c r="C65" s="19">
        <v>44.2656</v>
      </c>
      <c r="D65" s="1"/>
      <c r="E65" s="1"/>
      <c r="F65" s="1"/>
      <c r="G65" s="1"/>
      <c r="H65" s="1"/>
      <c r="I65" t="s" s="10">
        <v>265</v>
      </c>
      <c r="J65" s="1"/>
      <c r="K65" s="1"/>
      <c r="L65" s="1"/>
      <c r="M65" s="1"/>
      <c r="N65" s="1"/>
      <c r="O65" s="1"/>
      <c r="P65" s="1"/>
      <c r="Q65" s="1"/>
    </row>
    <row r="66">
      <c r="A66" s="1"/>
      <c r="B66" t="s" s="1">
        <v>27</v>
      </c>
      <c r="C66" s="20">
        <v>0.95</v>
      </c>
      <c r="D66" s="1"/>
      <c r="E66" s="1"/>
      <c r="F66" s="1"/>
      <c r="G66" s="1"/>
      <c r="H66" s="1"/>
      <c r="I66" t="s" s="10">
        <v>117</v>
      </c>
      <c r="J66" s="1"/>
      <c r="K66" s="1"/>
      <c r="L66" s="1"/>
      <c r="M66" s="1"/>
      <c r="N66" s="1"/>
      <c r="O66" s="1"/>
      <c r="P66" s="1"/>
      <c r="Q66" s="1"/>
    </row>
    <row r="67">
      <c r="A67" s="1"/>
      <c r="B67" t="s" s="1">
        <v>28</v>
      </c>
      <c r="C67" s="22">
        <v>111.8378378</v>
      </c>
      <c r="D67" s="1"/>
      <c r="E67" s="1"/>
      <c r="F67" s="1"/>
      <c r="G67" s="1"/>
      <c r="H67" s="1"/>
      <c r="I67" t="s" s="10">
        <v>266</v>
      </c>
      <c r="J67" s="1"/>
      <c r="K67" s="1"/>
      <c r="L67" s="1"/>
      <c r="M67" s="1"/>
      <c r="N67" s="1"/>
      <c r="O67" s="1"/>
      <c r="P67" s="1"/>
      <c r="Q67" s="1"/>
    </row>
    <row r="68">
      <c r="A68" s="1"/>
      <c r="B68" t="s" s="1">
        <v>29</v>
      </c>
      <c r="C68" s="22">
        <v>116</v>
      </c>
      <c r="D68" s="1"/>
      <c r="E68" s="1"/>
      <c r="F68" s="1"/>
      <c r="G68" s="1"/>
      <c r="H68" s="1"/>
      <c r="I68" t="s" s="10">
        <v>267</v>
      </c>
      <c r="J68" s="1"/>
      <c r="K68" s="1"/>
      <c r="L68" s="1"/>
      <c r="M68" s="1"/>
      <c r="N68" s="1"/>
      <c r="O68" s="1"/>
      <c r="P68" s="1"/>
      <c r="Q68" s="1"/>
    </row>
    <row r="69">
      <c r="A69" s="1"/>
      <c r="B69" t="s" s="1">
        <v>30</v>
      </c>
      <c r="C69" s="13">
        <f>C65*(1-C66*C67/C68)</f>
        <v>3.722147040743998</v>
      </c>
      <c r="D69" s="1"/>
      <c r="E69" s="1"/>
      <c r="F69" s="1"/>
      <c r="G69" s="1"/>
      <c r="H69" s="1"/>
      <c r="I69" s="10"/>
      <c r="J69" s="1"/>
      <c r="K69" s="1"/>
      <c r="L69" s="1"/>
      <c r="M69" s="1"/>
      <c r="N69" s="1"/>
      <c r="O69" s="1"/>
      <c r="P69" s="1"/>
      <c r="Q69" s="1"/>
    </row>
    <row r="70">
      <c r="A70" s="1"/>
      <c r="B70" t="s" s="1">
        <v>31</v>
      </c>
      <c r="C70" s="23">
        <v>96</v>
      </c>
      <c r="D70" s="1"/>
      <c r="E70" s="1"/>
      <c r="F70" s="1"/>
      <c r="G70" s="1"/>
      <c r="H70" s="1"/>
      <c r="I70" t="s" s="10">
        <v>268</v>
      </c>
      <c r="J70" s="1"/>
      <c r="K70" s="1"/>
      <c r="L70" s="1"/>
      <c r="M70" s="1"/>
      <c r="N70" s="1"/>
      <c r="O70" s="1"/>
      <c r="P70" s="1"/>
      <c r="Q70" s="1"/>
    </row>
    <row r="71">
      <c r="A71" s="1"/>
      <c r="B71" t="s" s="1">
        <v>32</v>
      </c>
      <c r="C71" s="25">
        <v>0.95</v>
      </c>
      <c r="D71" s="1"/>
      <c r="E71" s="1"/>
      <c r="F71" s="1"/>
      <c r="G71" s="1"/>
      <c r="H71" s="1"/>
      <c r="I71" t="s" s="10">
        <v>128</v>
      </c>
      <c r="J71" s="1"/>
      <c r="K71" s="1"/>
      <c r="L71" s="1"/>
      <c r="M71" s="1"/>
      <c r="N71" s="1"/>
      <c r="O71" s="1"/>
      <c r="P71" s="1"/>
      <c r="Q71" s="1"/>
    </row>
    <row r="72">
      <c r="A72" s="1"/>
      <c r="B72" t="s" s="1">
        <v>33</v>
      </c>
      <c r="C72" s="19">
        <v>246.6</v>
      </c>
      <c r="D72" s="1"/>
      <c r="E72" s="1"/>
      <c r="F72" s="1"/>
      <c r="G72" s="1"/>
      <c r="H72" s="1"/>
      <c r="I72" t="s" s="10">
        <v>122</v>
      </c>
      <c r="J72" s="1"/>
      <c r="K72" s="1"/>
      <c r="L72" s="1"/>
      <c r="M72" s="1"/>
      <c r="N72" s="1"/>
      <c r="O72" s="1"/>
      <c r="P72" s="1"/>
      <c r="Q72" s="1"/>
    </row>
    <row r="73">
      <c r="A73" s="1"/>
      <c r="B73" t="s" s="1">
        <v>34</v>
      </c>
      <c r="C73" s="19">
        <v>305</v>
      </c>
      <c r="D73" s="1"/>
      <c r="E73" s="1"/>
      <c r="F73" s="1"/>
      <c r="G73" s="1"/>
      <c r="H73" s="1"/>
      <c r="I73" t="s" s="10">
        <v>122</v>
      </c>
      <c r="J73" s="1"/>
      <c r="K73" s="1"/>
      <c r="L73" s="1"/>
      <c r="M73" s="1"/>
      <c r="N73" s="1"/>
      <c r="O73" s="1"/>
      <c r="P73" s="1"/>
      <c r="Q73" s="1"/>
    </row>
    <row r="74">
      <c r="A74" s="1"/>
      <c r="B74" t="s" s="4">
        <v>35</v>
      </c>
      <c r="C74" s="14">
        <f>C72/C73</f>
        <v>0.8085245901639344</v>
      </c>
      <c r="D74" s="1"/>
      <c r="E74" s="1"/>
      <c r="F74" s="1"/>
      <c r="G74" s="1"/>
      <c r="H74" s="1"/>
      <c r="I74" s="10"/>
      <c r="J74" s="1"/>
      <c r="K74" s="1"/>
      <c r="L74" s="1"/>
      <c r="M74" s="1"/>
      <c r="N74" s="1"/>
      <c r="O74" s="1"/>
      <c r="P74" s="1"/>
      <c r="Q74" s="1"/>
    </row>
    <row r="75">
      <c r="A75" s="1"/>
      <c r="B75" t="s" s="1">
        <v>36</v>
      </c>
      <c r="C75" s="13">
        <f>C70*C71*C67*12/1000*C74</f>
        <v>98.95963377422855</v>
      </c>
      <c r="D75" s="1"/>
      <c r="E75" s="1"/>
      <c r="F75" s="1"/>
      <c r="G75" s="1"/>
      <c r="H75" s="1"/>
      <c r="I75" s="10"/>
      <c r="J75" s="1"/>
      <c r="K75" s="1"/>
      <c r="L75" s="1"/>
      <c r="M75" s="1"/>
      <c r="N75" s="1"/>
      <c r="O75" s="1"/>
      <c r="P75" s="1"/>
      <c r="Q75" s="1"/>
    </row>
    <row r="76">
      <c r="A76" s="1"/>
      <c r="B76" t="s" s="1">
        <v>37</v>
      </c>
      <c r="C76" s="19">
        <v>480</v>
      </c>
      <c r="D76" s="1"/>
      <c r="E76" s="1"/>
      <c r="F76" s="1"/>
      <c r="G76" s="1"/>
      <c r="H76" s="1"/>
      <c r="I76" t="s" s="10">
        <v>268</v>
      </c>
      <c r="J76" s="1"/>
      <c r="K76" s="1"/>
      <c r="L76" s="1"/>
      <c r="M76" s="1"/>
      <c r="N76" s="1"/>
      <c r="O76" s="1"/>
      <c r="P76" s="1"/>
      <c r="Q76" s="1"/>
    </row>
    <row r="77">
      <c r="A77" s="1"/>
      <c r="B77" t="s" s="35">
        <v>215</v>
      </c>
      <c r="C77" s="13">
        <f>-(C39+C40)</f>
        <v>-366</v>
      </c>
      <c r="D77" s="1"/>
      <c r="E77" s="1"/>
      <c r="F77" s="1"/>
      <c r="G77" s="1"/>
      <c r="H77" s="1"/>
      <c r="I77" s="10"/>
      <c r="J77" s="1"/>
      <c r="K77" s="1"/>
      <c r="L77" s="1"/>
      <c r="M77" s="1"/>
      <c r="N77" s="1"/>
      <c r="O77" s="1"/>
      <c r="P77" s="1"/>
      <c r="Q77" s="1"/>
    </row>
    <row r="78">
      <c r="A78" s="1"/>
      <c r="B78" t="s" s="1">
        <v>38</v>
      </c>
      <c r="C78" s="19">
        <v>17.56</v>
      </c>
      <c r="D78" s="1"/>
      <c r="E78" s="1"/>
      <c r="F78" s="1"/>
      <c r="G78" s="1"/>
      <c r="H78" s="1"/>
      <c r="I78" t="s" s="10">
        <v>269</v>
      </c>
      <c r="J78" s="1"/>
      <c r="K78" s="1"/>
      <c r="L78" s="1"/>
      <c r="M78" s="1"/>
      <c r="N78" s="1"/>
      <c r="O78" s="1"/>
      <c r="P78" s="1"/>
      <c r="Q78" s="1"/>
    </row>
    <row r="79">
      <c r="A79" s="1"/>
      <c r="B79" t="s" s="1">
        <v>216</v>
      </c>
      <c r="C79" s="13">
        <f>SUM(C76:C78)</f>
        <v>131.56</v>
      </c>
      <c r="D79" s="1"/>
      <c r="E79" s="1"/>
      <c r="F79" s="1"/>
      <c r="G79" s="1"/>
      <c r="H79" s="1"/>
      <c r="I79" s="10"/>
      <c r="J79" s="1"/>
      <c r="K79" s="1"/>
      <c r="L79" s="1"/>
      <c r="M79" s="1"/>
      <c r="N79" s="1"/>
      <c r="O79" s="1"/>
      <c r="P79" s="1"/>
      <c r="Q79" s="1"/>
    </row>
    <row r="80">
      <c r="A80" s="1"/>
      <c r="B80" t="s" s="1">
        <v>39</v>
      </c>
      <c r="C80" s="19">
        <v>988</v>
      </c>
      <c r="D80" s="1"/>
      <c r="E80" s="1"/>
      <c r="F80" s="1"/>
      <c r="G80" s="1"/>
      <c r="H80" s="1"/>
      <c r="I80" t="s" s="10">
        <v>268</v>
      </c>
      <c r="J80" s="1"/>
      <c r="K80" s="1"/>
      <c r="L80" s="1"/>
      <c r="M80" s="1"/>
      <c r="N80" s="1"/>
      <c r="O80" s="1"/>
      <c r="P80" s="1"/>
      <c r="Q80" s="1"/>
    </row>
    <row r="81">
      <c r="A81" s="1"/>
      <c r="B81" t="s" s="4">
        <v>40</v>
      </c>
      <c r="C81" s="14">
        <f>C75/(C80+C78)</f>
        <v>0.09841246049388257</v>
      </c>
      <c r="D81" s="1"/>
      <c r="E81" s="1"/>
      <c r="F81" s="1"/>
      <c r="G81" s="1"/>
      <c r="H81" s="1"/>
      <c r="I81" s="10"/>
      <c r="J81" s="1"/>
      <c r="K81" s="1"/>
      <c r="L81" s="1"/>
      <c r="M81" s="1"/>
      <c r="N81" s="1"/>
      <c r="O81" s="1"/>
      <c r="P81" s="1"/>
      <c r="Q81" s="1"/>
    </row>
    <row r="82">
      <c r="A82" s="1"/>
      <c r="B82" t="s" s="1">
        <v>41</v>
      </c>
      <c r="C82" s="19">
        <v>18</v>
      </c>
      <c r="D82" s="1"/>
      <c r="E82" s="1"/>
      <c r="F82" s="1"/>
      <c r="G82" s="1"/>
      <c r="H82" s="1"/>
      <c r="I82" t="s" s="10">
        <v>124</v>
      </c>
      <c r="J82" s="1"/>
      <c r="K82" s="1"/>
      <c r="L82" s="1"/>
      <c r="M82" s="1"/>
      <c r="N82" s="1"/>
      <c r="O82" s="1"/>
      <c r="P82" s="1"/>
      <c r="Q82" s="1"/>
    </row>
    <row r="83">
      <c r="A83" s="1"/>
      <c r="B83" t="s" s="1">
        <v>42</v>
      </c>
      <c r="C83" s="19">
        <v>8.4</v>
      </c>
      <c r="D83" s="1"/>
      <c r="E83" s="1"/>
      <c r="F83" s="1"/>
      <c r="G83" s="1"/>
      <c r="H83" s="1"/>
      <c r="I83" t="s" s="10">
        <v>270</v>
      </c>
      <c r="J83" s="1"/>
      <c r="K83" s="1"/>
      <c r="L83" s="1"/>
      <c r="M83" s="1"/>
      <c r="N83" s="1"/>
      <c r="O83" s="1"/>
      <c r="P83" s="1"/>
      <c r="Q83" s="1"/>
    </row>
    <row r="84">
      <c r="A84" s="1"/>
      <c r="B84" t="s" s="1">
        <v>43</v>
      </c>
      <c r="C84" s="19">
        <v>8.5</v>
      </c>
      <c r="D84" s="1"/>
      <c r="E84" s="1"/>
      <c r="F84" s="1"/>
      <c r="G84" s="1"/>
      <c r="H84" s="1"/>
      <c r="I84" t="s" s="10">
        <v>271</v>
      </c>
      <c r="J84" s="1"/>
      <c r="K84" s="1"/>
      <c r="L84" s="1"/>
      <c r="M84" s="1"/>
      <c r="N84" s="1"/>
      <c r="O84" s="1"/>
      <c r="P84" s="1"/>
      <c r="Q84" s="1"/>
    </row>
    <row r="85">
      <c r="A85" s="1"/>
      <c r="B85" t="s" s="1">
        <v>44</v>
      </c>
      <c r="C85" s="27">
        <v>17.7</v>
      </c>
      <c r="D85" s="1"/>
      <c r="E85" s="1"/>
      <c r="F85" s="1"/>
      <c r="G85" s="1"/>
      <c r="H85" s="1"/>
      <c r="I85" t="s" s="10">
        <v>272</v>
      </c>
      <c r="J85" s="1"/>
      <c r="K85" s="1"/>
      <c r="L85" s="1"/>
      <c r="M85" s="1"/>
      <c r="N85" s="1"/>
      <c r="O85" s="1"/>
      <c r="P85" s="1"/>
      <c r="Q85" s="1"/>
    </row>
    <row r="86">
      <c r="A86" s="1"/>
      <c r="B86" t="s" s="1">
        <v>45</v>
      </c>
      <c r="C86" s="25">
        <v>0.01</v>
      </c>
      <c r="D86" s="1"/>
      <c r="E86" s="1"/>
      <c r="F86" s="1"/>
      <c r="G86" s="1"/>
      <c r="H86" s="1"/>
      <c r="I86" t="s" s="10">
        <v>128</v>
      </c>
      <c r="J86" s="1"/>
      <c r="K86" s="1"/>
      <c r="L86" s="1"/>
      <c r="M86" s="1"/>
      <c r="N86" s="1"/>
      <c r="O86" s="1"/>
      <c r="P86" s="1"/>
      <c r="Q86" s="1"/>
    </row>
    <row r="87">
      <c r="A87" s="1"/>
      <c r="B87" s="1"/>
      <c r="C87" s="1"/>
      <c r="D87" s="1"/>
      <c r="E87" s="1"/>
      <c r="F87" s="1"/>
      <c r="G87" s="1"/>
      <c r="H87" s="1"/>
      <c r="I87" s="10"/>
      <c r="J87" s="1"/>
      <c r="K87" s="1"/>
      <c r="L87" s="1"/>
      <c r="M87" s="1"/>
      <c r="N87" s="1"/>
      <c r="O87" s="1"/>
      <c r="P87" s="1"/>
      <c r="Q87" s="1"/>
    </row>
    <row r="88">
      <c r="A88" s="1"/>
      <c r="B88" t="s" s="7">
        <v>217</v>
      </c>
      <c r="C88" s="7"/>
      <c r="D88" s="7"/>
      <c r="E88" s="7"/>
      <c r="F88" s="7"/>
      <c r="G88" s="7"/>
      <c r="H88" s="7"/>
      <c r="I88" s="11"/>
      <c r="J88" s="1"/>
      <c r="K88" s="1"/>
      <c r="L88" s="1"/>
      <c r="M88" s="1"/>
      <c r="N88" s="1"/>
      <c r="O88" s="1"/>
      <c r="P88" s="1"/>
      <c r="Q88" s="1"/>
    </row>
    <row r="89">
      <c r="A89" s="1"/>
      <c r="B89" t="s" s="8">
        <v>47</v>
      </c>
      <c r="C89" t="s" s="9">
        <v>103</v>
      </c>
      <c r="D89" t="s" s="9">
        <v>104</v>
      </c>
      <c r="E89" s="9"/>
      <c r="F89" s="9"/>
      <c r="G89" s="9"/>
      <c r="H89" s="9"/>
      <c r="I89" s="12"/>
      <c r="J89" s="1"/>
      <c r="K89" s="1"/>
      <c r="L89" s="1"/>
      <c r="M89" s="1"/>
      <c r="N89" s="1"/>
      <c r="O89" s="1"/>
      <c r="P89" s="1"/>
      <c r="Q89" s="1"/>
    </row>
    <row r="90">
      <c r="A90" s="1"/>
      <c r="B90" t="s" s="1">
        <v>218</v>
      </c>
      <c r="C90" s="13">
        <f>C10-C31</f>
        <v>3007</v>
      </c>
      <c r="D90" s="14">
        <f>C90/$C$96</f>
        <v>0.6417664006583709</v>
      </c>
      <c r="E90" s="1"/>
      <c r="F90" s="1"/>
      <c r="G90" s="1"/>
      <c r="H90" s="1"/>
      <c r="I90" t="s" s="10">
        <v>330</v>
      </c>
      <c r="J90" s="1"/>
      <c r="K90" s="1"/>
      <c r="L90" s="1"/>
      <c r="M90" s="1"/>
      <c r="N90" s="1"/>
      <c r="O90" s="1"/>
      <c r="P90" s="1"/>
      <c r="Q90" s="1"/>
    </row>
    <row r="91">
      <c r="A91" s="1"/>
      <c r="B91" t="s" s="1">
        <v>219</v>
      </c>
      <c r="C91" s="13">
        <f>C31</f>
        <v>1584</v>
      </c>
      <c r="D91" s="14">
        <f>C91/$C$96</f>
        <v>0.3380638439118256</v>
      </c>
      <c r="E91" s="1"/>
      <c r="F91" s="1"/>
      <c r="G91" s="1"/>
      <c r="H91" s="1"/>
      <c r="I91" s="10"/>
      <c r="J91" s="1"/>
      <c r="K91" s="1"/>
      <c r="L91" s="1"/>
      <c r="M91" s="1"/>
      <c r="N91" s="1"/>
      <c r="O91" s="1"/>
      <c r="P91" s="1"/>
      <c r="Q91" s="1"/>
    </row>
    <row r="92">
      <c r="A92" s="1"/>
      <c r="B92" t="s" s="1">
        <v>220</v>
      </c>
      <c r="C92" s="13">
        <f>MAX(0,C79-C19)</f>
        <v>0</v>
      </c>
      <c r="D92" s="14">
        <f>C92/$C$96</f>
        <v>0</v>
      </c>
      <c r="E92" s="1"/>
      <c r="F92" s="1"/>
      <c r="G92" s="1"/>
      <c r="H92" s="1"/>
      <c r="I92" s="10"/>
      <c r="J92" s="1"/>
      <c r="K92" s="1"/>
      <c r="L92" s="1"/>
      <c r="M92" s="1"/>
      <c r="N92" s="1"/>
      <c r="O92" s="1"/>
      <c r="P92" s="1"/>
      <c r="Q92" s="1"/>
    </row>
    <row r="93">
      <c r="A93" s="1"/>
      <c r="B93" t="s" s="1">
        <v>50</v>
      </c>
      <c r="C93" s="13">
        <f>C26*(C16+C19)+C27*C21</f>
        <v>36.1815</v>
      </c>
      <c r="D93" s="14">
        <f>C93/$C$96</f>
        <v>0.0077220056619291145</v>
      </c>
      <c r="E93" s="1"/>
      <c r="F93" s="1"/>
      <c r="G93" s="1"/>
      <c r="H93" s="1"/>
      <c r="I93" s="10"/>
      <c r="J93" s="1"/>
      <c r="K93" s="1"/>
      <c r="L93" s="1"/>
      <c r="M93" s="1"/>
      <c r="N93" s="1"/>
      <c r="O93" s="1"/>
      <c r="P93" s="1"/>
      <c r="Q93" s="1"/>
    </row>
    <row r="94">
      <c r="A94" s="1"/>
      <c r="B94" t="s" s="1">
        <v>51</v>
      </c>
      <c r="C94" s="13">
        <f>C16*(1-C18)</f>
        <v>12.414000000000012</v>
      </c>
      <c r="D94" s="14">
        <f>C94/$C$96</f>
        <v>0.002649447322172605</v>
      </c>
      <c r="E94" s="1"/>
      <c r="F94" s="1"/>
      <c r="G94" s="1"/>
      <c r="H94" s="1"/>
      <c r="I94" s="10"/>
      <c r="J94" s="1"/>
      <c r="K94" s="1"/>
      <c r="L94" s="1"/>
      <c r="M94" s="1"/>
      <c r="N94" s="1"/>
      <c r="O94" s="1"/>
      <c r="P94" s="1"/>
      <c r="Q94" s="1"/>
    </row>
    <row r="95">
      <c r="A95" s="1"/>
      <c r="B95" t="s" s="1">
        <v>52</v>
      </c>
      <c r="C95" s="13">
        <f>C30*C10</f>
        <v>45.910000000000004</v>
      </c>
      <c r="D95" s="14">
        <f>C95/$C$96</f>
        <v>0.009798302445701965</v>
      </c>
      <c r="E95" s="1"/>
      <c r="F95" s="1"/>
      <c r="G95" s="1"/>
      <c r="H95" s="1"/>
      <c r="I95" s="10"/>
      <c r="J95" s="1"/>
      <c r="K95" s="1"/>
      <c r="L95" s="1"/>
      <c r="M95" s="1"/>
      <c r="N95" s="1"/>
      <c r="O95" s="1"/>
      <c r="P95" s="1"/>
      <c r="Q95" s="1"/>
    </row>
    <row r="96">
      <c r="A96" s="1"/>
      <c r="B96" t="s" s="29">
        <v>53</v>
      </c>
      <c r="C96" s="30">
        <f>SUM(C90:C95)</f>
        <v>4685.505499999999</v>
      </c>
      <c r="D96" s="31">
        <f>C96/$C$96</f>
        <v>1</v>
      </c>
      <c r="E96" s="29"/>
      <c r="F96" s="29"/>
      <c r="G96" s="29"/>
      <c r="H96" s="29"/>
      <c r="I96" s="10"/>
      <c r="J96" s="1"/>
      <c r="K96" s="1"/>
      <c r="L96" s="1"/>
      <c r="M96" s="1"/>
      <c r="N96" s="1"/>
      <c r="O96" s="1"/>
      <c r="P96" s="1"/>
      <c r="Q96" s="1"/>
    </row>
    <row r="97">
      <c r="A97" s="1"/>
      <c r="B97" t="s" s="1">
        <v>221</v>
      </c>
      <c r="C97" s="13">
        <f>C16</f>
        <v>1241.4</v>
      </c>
      <c r="D97" s="14">
        <f>C97/$C$99</f>
        <v>0.2649447322172603</v>
      </c>
      <c r="E97" s="1"/>
      <c r="F97" s="1"/>
      <c r="G97" s="1"/>
      <c r="H97" s="1"/>
      <c r="I97" s="10"/>
      <c r="J97" s="1"/>
      <c r="K97" s="1"/>
      <c r="L97" s="1"/>
      <c r="M97" s="1"/>
      <c r="N97" s="1"/>
      <c r="O97" s="1"/>
      <c r="P97" s="1"/>
      <c r="Q97" s="1"/>
    </row>
    <row r="98">
      <c r="A98" s="1"/>
      <c r="B98" t="s" s="1">
        <v>55</v>
      </c>
      <c r="C98" s="13">
        <f>C96-C97</f>
        <v>3444.105499999999</v>
      </c>
      <c r="D98" s="14">
        <f>C98/$C$99</f>
        <v>0.7350552677827397</v>
      </c>
      <c r="E98" s="1"/>
      <c r="F98" s="1"/>
      <c r="G98" s="1"/>
      <c r="H98" s="1"/>
      <c r="I98" s="10"/>
      <c r="J98" s="1"/>
      <c r="K98" s="1"/>
      <c r="L98" s="1"/>
      <c r="M98" s="1"/>
      <c r="N98" s="1"/>
      <c r="O98" s="1"/>
      <c r="P98" s="1"/>
      <c r="Q98" s="1"/>
    </row>
    <row r="99">
      <c r="A99" s="1"/>
      <c r="B99" t="s" s="29">
        <v>56</v>
      </c>
      <c r="C99" s="30">
        <f>SUM(C97:C98)</f>
        <v>4685.505499999999</v>
      </c>
      <c r="D99" s="31">
        <f>C99/$C$99</f>
        <v>1</v>
      </c>
      <c r="E99" s="29"/>
      <c r="F99" s="29"/>
      <c r="G99" s="29"/>
      <c r="H99" s="29"/>
      <c r="I99" s="10"/>
      <c r="J99" s="1"/>
      <c r="K99" s="1"/>
      <c r="L99" s="1"/>
      <c r="M99" s="1"/>
      <c r="N99" s="1"/>
      <c r="O99" s="1"/>
      <c r="P99" s="1"/>
      <c r="Q99" s="1"/>
    </row>
    <row r="100">
      <c r="A100" s="1"/>
      <c r="B100" t="s" s="4">
        <v>57</v>
      </c>
      <c r="C100" s="14">
        <f>C98/C99</f>
        <v>0.7350552677827397</v>
      </c>
      <c r="D100" s="14">
        <f>C29</f>
        <v>0.4</v>
      </c>
      <c r="E100" t="s" s="1">
        <v>105</v>
      </c>
      <c r="F100" s="14">
        <f>C100-D100</f>
        <v>0.33505526778273964</v>
      </c>
      <c r="G100" s="1"/>
      <c r="H100" s="1"/>
      <c r="I100" s="10"/>
      <c r="J100" s="1"/>
      <c r="K100" s="1"/>
      <c r="L100" s="1"/>
      <c r="M100" s="1"/>
      <c r="N100" s="1"/>
      <c r="O100" s="1"/>
      <c r="P100" s="1"/>
      <c r="Q100" s="1"/>
    </row>
    <row r="101">
      <c r="A101" s="1"/>
      <c r="B101" t="s" s="4">
        <v>58</v>
      </c>
      <c r="C101" s="15">
        <f>C16/C11</f>
        <v>6</v>
      </c>
      <c r="D101" s="1"/>
      <c r="E101" s="1"/>
      <c r="F101" s="1"/>
      <c r="G101" s="1"/>
      <c r="H101" s="1"/>
      <c r="I101" s="10"/>
      <c r="J101" s="1"/>
      <c r="K101" s="1"/>
      <c r="L101" s="1"/>
      <c r="M101" s="1"/>
      <c r="N101" s="1"/>
      <c r="O101" s="1"/>
      <c r="P101" s="1"/>
      <c r="Q101" s="1"/>
    </row>
    <row r="102">
      <c r="A102" s="1"/>
      <c r="B102" t="s" s="4">
        <v>222</v>
      </c>
      <c r="C102" s="15">
        <f>C16/C12</f>
        <v>5.697108765488757</v>
      </c>
      <c r="D102" s="1"/>
      <c r="E102" s="1"/>
      <c r="F102" s="1"/>
      <c r="G102" s="1"/>
      <c r="H102" s="1"/>
      <c r="I102" s="10"/>
      <c r="J102" s="1"/>
      <c r="K102" s="1"/>
      <c r="L102" s="1"/>
      <c r="M102" s="1"/>
      <c r="N102" s="1"/>
      <c r="O102" s="1"/>
      <c r="P102" s="1"/>
      <c r="Q102" s="1"/>
    </row>
    <row r="103">
      <c r="A103" s="1"/>
      <c r="B103" t="s" s="4">
        <v>60</v>
      </c>
      <c r="C103" s="15">
        <f>C10/C11</f>
        <v>22.189463508941518</v>
      </c>
      <c r="D103" s="1"/>
      <c r="E103" s="1"/>
      <c r="F103" s="1"/>
      <c r="G103" s="1"/>
      <c r="H103" s="1"/>
      <c r="I103" s="10"/>
      <c r="J103" s="1"/>
      <c r="K103" s="1"/>
      <c r="L103" s="1"/>
      <c r="M103" s="1"/>
      <c r="N103" s="1"/>
      <c r="O103" s="1"/>
      <c r="P103" s="1"/>
      <c r="Q103" s="1"/>
    </row>
    <row r="104">
      <c r="A104" s="1"/>
      <c r="B104" t="s" s="4">
        <v>223</v>
      </c>
      <c r="C104" s="15">
        <f>C10/C46</f>
        <v>16.878676470588236</v>
      </c>
      <c r="D104" s="1"/>
      <c r="E104" s="1"/>
      <c r="F104" s="1"/>
      <c r="G104" s="1"/>
      <c r="H104" s="1"/>
      <c r="I104" s="10"/>
      <c r="J104" s="1"/>
      <c r="K104" s="1"/>
      <c r="L104" s="1"/>
      <c r="M104" s="1"/>
      <c r="N104" s="1"/>
      <c r="O104" s="1"/>
      <c r="P104" s="1"/>
      <c r="Q104" s="1"/>
    </row>
    <row r="105">
      <c r="A105" s="1"/>
      <c r="B105" s="1"/>
      <c r="C105" s="1"/>
      <c r="D105" s="1"/>
      <c r="E105" s="1"/>
      <c r="F105" s="1"/>
      <c r="G105" s="1"/>
      <c r="H105" s="1"/>
      <c r="I105" s="10"/>
      <c r="J105" s="1"/>
      <c r="K105" s="1"/>
      <c r="L105" s="1"/>
      <c r="M105" s="1"/>
      <c r="N105" s="1"/>
      <c r="O105" s="1"/>
      <c r="P105" s="1"/>
      <c r="Q105" s="1"/>
    </row>
    <row r="106">
      <c r="A106" s="1"/>
      <c r="B106" t="s" s="7">
        <v>224</v>
      </c>
      <c r="C106" s="7"/>
      <c r="D106" s="7"/>
      <c r="E106" s="7"/>
      <c r="F106" s="7"/>
      <c r="G106" s="7"/>
      <c r="H106" s="7"/>
      <c r="I106" s="11"/>
      <c r="J106" s="1"/>
      <c r="K106" s="1"/>
      <c r="L106" s="1"/>
      <c r="M106" s="1"/>
      <c r="N106" s="1"/>
      <c r="O106" s="1"/>
      <c r="P106" s="1"/>
      <c r="Q106" s="1"/>
    </row>
    <row r="107">
      <c r="A107" s="1"/>
      <c r="B107" t="s" s="8">
        <v>62</v>
      </c>
      <c r="C107" s="18">
        <f>C8</f>
        <v>46387</v>
      </c>
      <c r="D107" s="18">
        <f>EDATE(C107,12)</f>
        <v>46752</v>
      </c>
      <c r="E107" s="18">
        <f>EDATE(D107,12)</f>
        <v>47118</v>
      </c>
      <c r="F107" s="18">
        <f>EDATE(E107,12)</f>
        <v>47483</v>
      </c>
      <c r="G107" s="18">
        <f>EDATE(F107,12)</f>
        <v>47848</v>
      </c>
      <c r="H107" s="18">
        <f>EDATE(G107,12)</f>
        <v>48213</v>
      </c>
      <c r="I107" s="12"/>
      <c r="J107" s="1"/>
      <c r="K107" t="s" s="2">
        <v>169</v>
      </c>
      <c r="L107" t="str" s="79">
        <f>"FY"&amp;TEXT(C107,"yy")&amp;"E"</f>
        <v>FY26E</v>
      </c>
      <c r="M107" t="str" s="79">
        <f>"FY"&amp;TEXT(D107,"yy")&amp;"E"</f>
        <v>FY27E</v>
      </c>
      <c r="N107" t="str" s="79">
        <f>"FY"&amp;TEXT(E107,"yy")&amp;"E"</f>
        <v>FY28E</v>
      </c>
      <c r="O107" t="str" s="79">
        <f>"FY"&amp;TEXT(F107,"yy")&amp;"E"</f>
        <v>FY29E</v>
      </c>
      <c r="P107" t="str" s="79">
        <f>"FY"&amp;TEXT(G107,"yy")&amp;"E"</f>
        <v>FY30E</v>
      </c>
      <c r="Q107" t="str" s="79">
        <f>"FY"&amp;TEXT(H107,"yy")&amp;"E"</f>
        <v>FY31E</v>
      </c>
    </row>
    <row r="108">
      <c r="A108" s="1"/>
      <c r="B108" t="s" s="1">
        <v>63</v>
      </c>
      <c r="C108" s="13">
        <f>C11*(1+C64)</f>
        <v>212.0725</v>
      </c>
      <c r="D108" s="13">
        <f>C108*(1+$C$64)</f>
        <v>217.37431249999997</v>
      </c>
      <c r="E108" s="13">
        <f>D108*(1+$C$64)</f>
        <v>222.80867031249994</v>
      </c>
      <c r="F108" s="13">
        <f>E108*(1+$C$64)</f>
        <v>228.37888707031243</v>
      </c>
      <c r="G108" s="13">
        <f>F108*(1+$C$64)</f>
        <v>234.08835924707023</v>
      </c>
      <c r="H108" s="13">
        <f>G108*(1+$C$64)</f>
        <v>239.94056822824697</v>
      </c>
      <c r="I108" s="10"/>
      <c r="J108" s="1"/>
      <c r="K108" t="s" s="1">
        <v>67</v>
      </c>
      <c r="L108" s="13">
        <f>C112</f>
        <v>212.0725</v>
      </c>
      <c r="M108" s="13">
        <f>D112</f>
        <v>256.9581660096914</v>
      </c>
      <c r="N108" s="13">
        <f>E112</f>
        <v>297.02839564317134</v>
      </c>
      <c r="O108" s="13">
        <f>F112</f>
        <v>318.66839211508557</v>
      </c>
      <c r="P108" s="13">
        <f>G112</f>
        <v>329.3258459805548</v>
      </c>
      <c r="Q108" s="13">
        <f>H112</f>
        <v>335.1780549617315</v>
      </c>
    </row>
    <row r="109">
      <c r="A109" s="1"/>
      <c r="B109" t="s" s="35">
        <v>64</v>
      </c>
      <c r="C109" s="13">
        <f>-$C$69*(YEAR(C107)&gt;2028)</f>
        <v>0</v>
      </c>
      <c r="D109" s="13">
        <f>-$C$69*(YEAR(D107)&gt;2028)</f>
        <v>0</v>
      </c>
      <c r="E109" s="13">
        <f>-$C$69*(YEAR(E107)&gt;2028)</f>
        <v>0</v>
      </c>
      <c r="F109" s="13">
        <f>-$C$69*(YEAR(F107)&gt;2028)</f>
        <v>-3.722147040743998</v>
      </c>
      <c r="G109" s="13">
        <f>-$C$69*(YEAR(G107)&gt;2028)</f>
        <v>-3.722147040743998</v>
      </c>
      <c r="H109" s="13">
        <f>-$C$69*(YEAR(H107)&gt;2028)</f>
        <v>-3.722147040743998</v>
      </c>
      <c r="I109" s="10"/>
      <c r="J109" s="1"/>
      <c r="K109" t="s" s="10">
        <v>176</v>
      </c>
      <c r="L109" s="1"/>
      <c r="M109" s="1"/>
      <c r="N109" s="1"/>
      <c r="O109" s="1"/>
      <c r="P109" s="1"/>
      <c r="Q109" s="1"/>
    </row>
    <row r="110">
      <c r="A110" s="1"/>
      <c r="B110" t="s" s="36">
        <v>65</v>
      </c>
      <c r="C110" s="25">
        <v>0</v>
      </c>
      <c r="D110" s="25">
        <v>0.4</v>
      </c>
      <c r="E110" s="25">
        <v>0.75</v>
      </c>
      <c r="F110" s="25">
        <v>0.95</v>
      </c>
      <c r="G110" s="25">
        <v>1</v>
      </c>
      <c r="H110" s="25">
        <v>1</v>
      </c>
      <c r="I110" t="s" s="10">
        <v>129</v>
      </c>
      <c r="J110" s="1"/>
      <c r="K110" s="1"/>
      <c r="L110" s="1"/>
      <c r="M110" s="1"/>
      <c r="N110" s="1"/>
      <c r="O110" s="1"/>
      <c r="P110" s="1"/>
      <c r="Q110" s="1"/>
    </row>
    <row r="111">
      <c r="A111" s="1"/>
      <c r="B111" t="s" s="35">
        <v>66</v>
      </c>
      <c r="C111" s="13">
        <f>$C$75*C110</f>
        <v>0</v>
      </c>
      <c r="D111" s="13">
        <f>$C$75*D110</f>
        <v>39.58385350969142</v>
      </c>
      <c r="E111" s="13">
        <f>$C$75*E110</f>
        <v>74.21972533067141</v>
      </c>
      <c r="F111" s="13">
        <f>$C$75*F110</f>
        <v>94.01165208551711</v>
      </c>
      <c r="G111" s="13">
        <f>$C$75*G110</f>
        <v>98.95963377422855</v>
      </c>
      <c r="H111" s="13">
        <f>$C$75*H110</f>
        <v>98.95963377422855</v>
      </c>
      <c r="I111" s="10"/>
      <c r="J111" s="1"/>
      <c r="K111" s="1"/>
      <c r="L111" s="1"/>
      <c r="M111" s="1"/>
      <c r="N111" s="1"/>
      <c r="O111" s="1"/>
      <c r="P111" s="1"/>
      <c r="Q111" s="1"/>
    </row>
    <row r="112">
      <c r="A112" s="1"/>
      <c r="B112" t="s" s="29">
        <v>67</v>
      </c>
      <c r="C112" s="30">
        <f>SUM(C108:C109)+C111</f>
        <v>212.0725</v>
      </c>
      <c r="D112" s="30">
        <f>SUM(D108:D109)+D111</f>
        <v>256.9581660096914</v>
      </c>
      <c r="E112" s="30">
        <f>SUM(E108:E109)+E111</f>
        <v>297.02839564317134</v>
      </c>
      <c r="F112" s="30">
        <f>SUM(F108:F109)+F111</f>
        <v>318.66839211508557</v>
      </c>
      <c r="G112" s="30">
        <f>SUM(G108:G109)+G111</f>
        <v>329.3258459805548</v>
      </c>
      <c r="H112" s="30">
        <f>SUM(H108:H109)+H111</f>
        <v>335.1780549617315</v>
      </c>
      <c r="I112" s="10"/>
      <c r="J112" s="1"/>
      <c r="K112" s="1"/>
      <c r="L112" s="1"/>
      <c r="M112" s="1"/>
      <c r="N112" s="1"/>
      <c r="O112" s="1"/>
      <c r="P112" s="1"/>
      <c r="Q112" s="1"/>
    </row>
    <row r="113">
      <c r="A113" s="1"/>
      <c r="B113" t="s" s="35">
        <v>225</v>
      </c>
      <c r="C113" s="13"/>
      <c r="D113" s="13">
        <f>-$C$83</f>
        <v>-8.4</v>
      </c>
      <c r="E113" s="13">
        <f>-$C$83</f>
        <v>-8.4</v>
      </c>
      <c r="F113" s="13">
        <f>-$C$83</f>
        <v>-8.4</v>
      </c>
      <c r="G113" s="13">
        <f>-$C$83</f>
        <v>-8.4</v>
      </c>
      <c r="H113" s="13">
        <f>-$C$83</f>
        <v>-8.4</v>
      </c>
      <c r="I113" s="10"/>
      <c r="J113" s="1"/>
      <c r="K113" s="1"/>
      <c r="L113" s="1"/>
      <c r="M113" s="1"/>
      <c r="N113" s="1"/>
      <c r="O113" s="1"/>
      <c r="P113" s="1"/>
      <c r="Q113" s="1"/>
    </row>
    <row r="114">
      <c r="A114" s="1"/>
      <c r="B114" t="s" s="35">
        <v>226</v>
      </c>
      <c r="C114" s="13"/>
      <c r="D114" s="13">
        <f>-$C$84</f>
        <v>-8.5</v>
      </c>
      <c r="E114" s="13">
        <f>-$C$84</f>
        <v>-8.5</v>
      </c>
      <c r="F114" s="13">
        <f>-$C$84</f>
        <v>-8.5</v>
      </c>
      <c r="G114" s="13">
        <f>-$C$84</f>
        <v>-8.5</v>
      </c>
      <c r="H114" s="13">
        <f>-$C$84</f>
        <v>-8.5</v>
      </c>
      <c r="I114" s="10"/>
      <c r="J114" s="1"/>
      <c r="K114" s="1"/>
      <c r="L114" s="1"/>
      <c r="M114" s="1"/>
      <c r="N114" s="1"/>
      <c r="O114" s="1"/>
      <c r="P114" s="1"/>
      <c r="Q114" s="1"/>
    </row>
    <row r="115">
      <c r="A115" s="1"/>
      <c r="B115" t="s" s="35">
        <v>69</v>
      </c>
      <c r="C115" s="13"/>
      <c r="D115" s="19">
        <v>-16</v>
      </c>
      <c r="E115" s="19">
        <v>-17.5</v>
      </c>
      <c r="F115" s="19">
        <v>-18.5</v>
      </c>
      <c r="G115" s="19">
        <v>-19.5</v>
      </c>
      <c r="H115" s="13">
        <f>G115*(1+$C$64)</f>
        <v>-19.987499999999997</v>
      </c>
      <c r="I115" t="s" s="10">
        <v>130</v>
      </c>
      <c r="J115" s="1"/>
      <c r="K115" s="1"/>
      <c r="L115" s="1"/>
      <c r="M115" s="1"/>
      <c r="N115" s="1"/>
      <c r="O115" s="1"/>
      <c r="P115" s="1"/>
      <c r="Q115" s="1"/>
    </row>
    <row r="116">
      <c r="A116" s="1"/>
      <c r="B116" t="s" s="35">
        <v>70</v>
      </c>
      <c r="C116" s="13"/>
      <c r="D116" s="13">
        <f>-$C$82</f>
        <v>-18</v>
      </c>
      <c r="E116" s="13">
        <f>0</f>
        <v>0</v>
      </c>
      <c r="F116" s="13">
        <f>0</f>
        <v>0</v>
      </c>
      <c r="G116" s="13">
        <f>0</f>
        <v>0</v>
      </c>
      <c r="H116" s="13">
        <f>0</f>
        <v>0</v>
      </c>
      <c r="I116" s="10"/>
      <c r="J116" s="1"/>
      <c r="K116" s="1"/>
      <c r="L116" s="1"/>
      <c r="M116" s="1"/>
      <c r="N116" s="1"/>
      <c r="O116" s="1"/>
      <c r="P116" s="1"/>
      <c r="Q116" s="1"/>
    </row>
    <row r="117">
      <c r="A117" s="1"/>
      <c r="B117" t="s" s="35">
        <v>227</v>
      </c>
      <c r="C117" s="13"/>
      <c r="D117" s="13">
        <f>-$C$79</f>
        <v>-131.56</v>
      </c>
      <c r="E117" s="13">
        <f>0</f>
        <v>0</v>
      </c>
      <c r="F117" s="13">
        <f>0</f>
        <v>0</v>
      </c>
      <c r="G117" s="13">
        <f>0</f>
        <v>0</v>
      </c>
      <c r="H117" s="13">
        <f>0</f>
        <v>0</v>
      </c>
      <c r="I117" s="10"/>
      <c r="J117" s="1"/>
      <c r="K117" s="1"/>
      <c r="L117" s="1"/>
      <c r="M117" s="1"/>
      <c r="N117" s="1"/>
      <c r="O117" s="1"/>
      <c r="P117" s="1"/>
      <c r="Q117" s="1"/>
    </row>
    <row r="118">
      <c r="A118" s="1"/>
      <c r="B118" t="s" s="35">
        <v>72</v>
      </c>
      <c r="C118" s="13"/>
      <c r="D118" s="13">
        <f>-(D124*($C$22+$C$23)+(D129+D130)*($C$22+$C$23)+$C$21*$C$24+$C$28)</f>
        <v>-93.38730000000002</v>
      </c>
      <c r="E118" s="13">
        <f>-(E124*($C$22+$C$23)+(E129+E130)*($C$22+$C$23)+$C$21*$C$24+$C$28)</f>
        <v>-85.87081954434585</v>
      </c>
      <c r="F118" s="13">
        <f>-(F124*($C$22+$C$23)+(F129+F130)*($C$22+$C$23)+$C$21*$C$24+$C$28)</f>
        <v>-73.93968315767512</v>
      </c>
      <c r="G118" s="13">
        <f>-(G124*($C$22+$C$23)+(G129+G130)*($C$22+$C$23)+$C$21*$C$24+$C$28)</f>
        <v>-59.80999530304991</v>
      </c>
      <c r="H118" s="13">
        <f>-(H124*($C$22+$C$23)+(H129+H130)*($C$22+$C$23)+$C$21*$C$24+$C$28)</f>
        <v>-44.07467538231833</v>
      </c>
      <c r="I118" s="10"/>
      <c r="J118" s="1"/>
      <c r="K118" s="1"/>
      <c r="L118" s="1"/>
      <c r="M118" s="1"/>
      <c r="N118" s="1"/>
      <c r="O118" s="1"/>
      <c r="P118" s="1"/>
      <c r="Q118" s="1"/>
    </row>
    <row r="119">
      <c r="A119" s="1"/>
      <c r="B119" t="s" s="29">
        <v>73</v>
      </c>
      <c r="C119" s="30"/>
      <c r="D119" s="30">
        <f>SUM(D112:D118)</f>
        <v>-18.889133990308622</v>
      </c>
      <c r="E119" s="30">
        <f>SUM(E112:E118)</f>
        <v>176.7575760988255</v>
      </c>
      <c r="F119" s="30">
        <f>SUM(F112:F118)</f>
        <v>209.32870895741047</v>
      </c>
      <c r="G119" s="30">
        <f>SUM(G112:G118)</f>
        <v>233.1158506775049</v>
      </c>
      <c r="H119" s="30">
        <f>SUM(H112:H118)</f>
        <v>254.21587957941318</v>
      </c>
      <c r="I119" s="10"/>
      <c r="J119" s="1"/>
      <c r="K119" s="1"/>
      <c r="L119" s="1"/>
      <c r="M119" s="1"/>
      <c r="N119" s="1"/>
      <c r="O119" s="1"/>
      <c r="P119" s="1"/>
      <c r="Q119" s="1"/>
    </row>
    <row r="120">
      <c r="A120" s="1"/>
      <c r="B120" t="s" s="35">
        <v>74</v>
      </c>
      <c r="C120" s="13"/>
      <c r="D120" s="13">
        <f>$C$92</f>
        <v>0</v>
      </c>
      <c r="E120" s="13">
        <f>0</f>
        <v>0</v>
      </c>
      <c r="F120" s="13">
        <f>0</f>
        <v>0</v>
      </c>
      <c r="G120" s="13">
        <f>0</f>
        <v>0</v>
      </c>
      <c r="H120" s="13">
        <f>0</f>
        <v>0</v>
      </c>
      <c r="I120" s="10"/>
      <c r="J120" s="1"/>
      <c r="K120" s="1"/>
      <c r="L120" s="1"/>
      <c r="M120" s="1"/>
      <c r="N120" s="1"/>
      <c r="O120" s="1"/>
      <c r="P120" s="1"/>
      <c r="Q120" s="1"/>
    </row>
    <row r="121">
      <c r="A121" s="1"/>
      <c r="B121" t="s" s="35">
        <v>75</v>
      </c>
      <c r="C121" s="13"/>
      <c r="D121" s="13">
        <f>D130*$C$20</f>
        <v>130.2444</v>
      </c>
      <c r="E121" s="13">
        <f>E130*$C$20</f>
        <v>0</v>
      </c>
      <c r="F121" s="13">
        <f>F130*$C$20</f>
        <v>0</v>
      </c>
      <c r="G121" s="13">
        <f>G130*$C$20</f>
        <v>0</v>
      </c>
      <c r="H121" s="13">
        <f>H130*$C$20</f>
        <v>0</v>
      </c>
      <c r="I121" s="10"/>
      <c r="J121" s="1"/>
      <c r="K121" s="1"/>
      <c r="L121" s="1"/>
      <c r="M121" s="1"/>
      <c r="N121" s="1"/>
      <c r="O121" s="1"/>
      <c r="P121" s="1"/>
      <c r="Q121" s="1"/>
    </row>
    <row r="122">
      <c r="A122" s="1"/>
      <c r="B122" t="s" s="35">
        <v>76</v>
      </c>
      <c r="C122" s="13"/>
      <c r="D122" s="13">
        <f>D125+D131</f>
        <v>-13.729600000000001</v>
      </c>
      <c r="E122" s="13">
        <f>E125+E131</f>
        <v>-13.729600000000001</v>
      </c>
      <c r="F122" s="13">
        <f>F125+F131</f>
        <v>-13.729600000000001</v>
      </c>
      <c r="G122" s="13">
        <f>G125+G131</f>
        <v>-13.729600000000001</v>
      </c>
      <c r="H122" s="13">
        <f>H125+H131</f>
        <v>-13.729600000000001</v>
      </c>
      <c r="I122" s="10"/>
      <c r="J122" s="1"/>
      <c r="K122" s="1"/>
      <c r="L122" s="1"/>
      <c r="M122" s="1"/>
      <c r="N122" s="1"/>
      <c r="O122" s="1"/>
      <c r="P122" s="1"/>
      <c r="Q122" s="1"/>
    </row>
    <row r="123">
      <c r="A123" s="1"/>
      <c r="B123" t="s" s="29">
        <v>77</v>
      </c>
      <c r="C123" s="30"/>
      <c r="D123" s="30">
        <f>SUM(D119:D122)</f>
        <v>97.62566600969139</v>
      </c>
      <c r="E123" s="30">
        <f>SUM(E119:E122)</f>
        <v>163.0279760988255</v>
      </c>
      <c r="F123" s="30">
        <f>SUM(F119:F122)</f>
        <v>195.59910895741046</v>
      </c>
      <c r="G123" s="30">
        <f>SUM(G119:G122)</f>
        <v>219.3862506775049</v>
      </c>
      <c r="H123" s="30">
        <f>SUM(H119:H122)</f>
        <v>240.48627957941318</v>
      </c>
      <c r="I123" s="10"/>
      <c r="J123" s="1"/>
      <c r="K123" s="1"/>
      <c r="L123" s="1"/>
      <c r="M123" s="1"/>
      <c r="N123" s="1"/>
      <c r="O123" s="1"/>
      <c r="P123" s="1"/>
      <c r="Q123" s="1"/>
    </row>
    <row r="124">
      <c r="A124" s="1"/>
      <c r="B124" t="s" s="1">
        <v>78</v>
      </c>
      <c r="C124" s="13"/>
      <c r="D124" s="13">
        <f>C127</f>
        <v>1241.4</v>
      </c>
      <c r="E124" s="13">
        <f>D127</f>
        <v>1131.3603339903086</v>
      </c>
      <c r="F124" s="13">
        <f>E127</f>
        <v>955.9183578914831</v>
      </c>
      <c r="G124" s="13">
        <f>F127</f>
        <v>747.9052489340727</v>
      </c>
      <c r="H124" s="13">
        <f>G127</f>
        <v>516.1049982565678</v>
      </c>
      <c r="I124" s="10"/>
      <c r="J124" s="1"/>
      <c r="K124" s="1"/>
      <c r="L124" s="1"/>
      <c r="M124" s="1"/>
      <c r="N124" s="1"/>
      <c r="O124" s="1"/>
      <c r="P124" s="1"/>
      <c r="Q124" s="1"/>
    </row>
    <row r="125">
      <c r="A125" s="1"/>
      <c r="B125" t="s" s="35">
        <v>76</v>
      </c>
      <c r="C125" s="13"/>
      <c r="D125" s="13">
        <f>-MIN($C$25*$C$16,D124)</f>
        <v>-12.414000000000001</v>
      </c>
      <c r="E125" s="13">
        <f>-MIN($C$25*$C$16,E124)</f>
        <v>-12.414000000000001</v>
      </c>
      <c r="F125" s="13">
        <f>-MIN($C$25*$C$16,F124)</f>
        <v>-12.414000000000001</v>
      </c>
      <c r="G125" s="13">
        <f>-MIN($C$25*$C$16,G124)</f>
        <v>-12.414000000000001</v>
      </c>
      <c r="H125" s="13">
        <f>-MIN($C$25*$C$16,H124)</f>
        <v>-12.414000000000001</v>
      </c>
      <c r="I125" s="10"/>
      <c r="J125" s="1"/>
      <c r="K125" s="1"/>
      <c r="L125" s="1"/>
      <c r="M125" s="1"/>
      <c r="N125" s="1"/>
      <c r="O125" s="1"/>
      <c r="P125" s="1"/>
      <c r="Q125" s="1"/>
    </row>
    <row r="126">
      <c r="A126" s="1"/>
      <c r="B126" t="s" s="35">
        <v>79</v>
      </c>
      <c r="C126" s="13"/>
      <c r="D126" s="13">
        <f>-MAX(0,MIN(D123,D124+D125))</f>
        <v>-97.62566600969139</v>
      </c>
      <c r="E126" s="13">
        <f>-MAX(0,MIN(E123,E124+E125))</f>
        <v>-163.0279760988255</v>
      </c>
      <c r="F126" s="13">
        <f>-MAX(0,MIN(F123,F124+F125))</f>
        <v>-195.59910895741046</v>
      </c>
      <c r="G126" s="13">
        <f>-MAX(0,MIN(G123,G124+G125))</f>
        <v>-219.3862506775049</v>
      </c>
      <c r="H126" s="13">
        <f>-MAX(0,MIN(H123,H124+H125))</f>
        <v>-240.48627957941318</v>
      </c>
      <c r="I126" s="10"/>
      <c r="J126" s="1"/>
      <c r="K126" s="1"/>
      <c r="L126" s="1"/>
      <c r="M126" s="1"/>
      <c r="N126" s="1"/>
      <c r="O126" s="1"/>
      <c r="P126" s="1"/>
      <c r="Q126" s="1"/>
    </row>
    <row r="127">
      <c r="A127" s="1"/>
      <c r="B127" t="s" s="29">
        <v>80</v>
      </c>
      <c r="C127" s="30">
        <f>C16</f>
        <v>1241.4</v>
      </c>
      <c r="D127" s="30">
        <f>SUM(D124:D126)</f>
        <v>1131.3603339903086</v>
      </c>
      <c r="E127" s="30">
        <f>SUM(E124:E126)</f>
        <v>955.9183578914831</v>
      </c>
      <c r="F127" s="30">
        <f>SUM(F124:F126)</f>
        <v>747.9052489340727</v>
      </c>
      <c r="G127" s="30">
        <f>SUM(G124:G126)</f>
        <v>516.1049982565678</v>
      </c>
      <c r="H127" s="30">
        <f>SUM(H124:H126)</f>
        <v>263.20471867715463</v>
      </c>
      <c r="I127" s="10"/>
      <c r="J127" s="1"/>
      <c r="K127" s="1"/>
      <c r="L127" s="1"/>
      <c r="M127" s="1"/>
      <c r="N127" s="1"/>
      <c r="O127" s="1"/>
      <c r="P127" s="1"/>
      <c r="Q127" s="1"/>
    </row>
    <row r="128">
      <c r="A128" s="1"/>
      <c r="B128" s="1"/>
      <c r="C128" s="13"/>
      <c r="D128" s="13"/>
      <c r="E128" s="13"/>
      <c r="F128" s="13"/>
      <c r="G128" s="13"/>
      <c r="H128" s="13"/>
      <c r="I128" s="10"/>
      <c r="J128" s="1"/>
      <c r="K128" s="1"/>
      <c r="L128" s="1"/>
      <c r="M128" s="1"/>
      <c r="N128" s="1"/>
      <c r="O128" s="1"/>
      <c r="P128" s="1"/>
      <c r="Q128" s="1"/>
    </row>
    <row r="129">
      <c r="A129" s="1"/>
      <c r="B129" t="s" s="1">
        <v>81</v>
      </c>
      <c r="C129" s="13"/>
      <c r="D129" s="13">
        <f>C132</f>
        <v>0</v>
      </c>
      <c r="E129" s="13">
        <f>D132</f>
        <v>130.2444</v>
      </c>
      <c r="F129" s="13">
        <f>E132</f>
        <v>128.92880000000002</v>
      </c>
      <c r="G129" s="13">
        <f>F132</f>
        <v>127.61320000000002</v>
      </c>
      <c r="H129" s="13">
        <f>G132</f>
        <v>126.29760000000002</v>
      </c>
      <c r="I129" s="10"/>
      <c r="J129" s="1"/>
      <c r="K129" s="1"/>
      <c r="L129" s="1"/>
      <c r="M129" s="1"/>
      <c r="N129" s="1"/>
      <c r="O129" s="1"/>
      <c r="P129" s="1"/>
      <c r="Q129" s="1"/>
    </row>
    <row r="130">
      <c r="A130" s="1"/>
      <c r="B130" t="s" s="35">
        <v>82</v>
      </c>
      <c r="C130" s="13"/>
      <c r="D130" s="13">
        <f>MIN($C$19,$C$79)</f>
        <v>131.56</v>
      </c>
      <c r="E130" s="13">
        <f>0</f>
        <v>0</v>
      </c>
      <c r="F130" s="13">
        <f>0</f>
        <v>0</v>
      </c>
      <c r="G130" s="13">
        <f>0</f>
        <v>0</v>
      </c>
      <c r="H130" s="13">
        <f>0</f>
        <v>0</v>
      </c>
      <c r="I130" s="10"/>
      <c r="J130" s="1"/>
      <c r="K130" s="1"/>
      <c r="L130" s="1"/>
      <c r="M130" s="1"/>
      <c r="N130" s="1"/>
      <c r="O130" s="1"/>
      <c r="P130" s="1"/>
      <c r="Q130" s="1"/>
    </row>
    <row r="131">
      <c r="A131" s="1"/>
      <c r="B131" t="s" s="35">
        <v>76</v>
      </c>
      <c r="C131" s="13"/>
      <c r="D131" s="13">
        <f>-IF(D129+D130&gt;0,MIN($C$25*$D$130,D129+D130),0)</f>
        <v>-1.3156</v>
      </c>
      <c r="E131" s="13">
        <f>-IF(E129+E130&gt;0,MIN($C$25*$D$130,E129+E130),0)</f>
        <v>-1.3156</v>
      </c>
      <c r="F131" s="13">
        <f>-IF(F129+F130&gt;0,MIN($C$25*$D$130,F129+F130),0)</f>
        <v>-1.3156</v>
      </c>
      <c r="G131" s="13">
        <f>-IF(G129+G130&gt;0,MIN($C$25*$D$130,G129+G130),0)</f>
        <v>-1.3156</v>
      </c>
      <c r="H131" s="13">
        <f>-IF(H129+H130&gt;0,MIN($C$25*$D$130,H129+H130),0)</f>
        <v>-1.3156</v>
      </c>
      <c r="I131" s="10"/>
      <c r="J131" s="1"/>
      <c r="K131" s="1"/>
      <c r="L131" s="1"/>
      <c r="M131" s="1"/>
      <c r="N131" s="1"/>
      <c r="O131" s="1"/>
      <c r="P131" s="1"/>
      <c r="Q131" s="1"/>
    </row>
    <row r="132">
      <c r="A132" s="1"/>
      <c r="B132" t="s" s="29">
        <v>83</v>
      </c>
      <c r="C132" s="30">
        <f>0</f>
        <v>0</v>
      </c>
      <c r="D132" s="30">
        <f>SUM(D129:D131)</f>
        <v>130.2444</v>
      </c>
      <c r="E132" s="30">
        <f>SUM(E129:E131)</f>
        <v>128.92880000000002</v>
      </c>
      <c r="F132" s="30">
        <f>SUM(F129:F131)</f>
        <v>127.61320000000002</v>
      </c>
      <c r="G132" s="30">
        <f>SUM(G129:G131)</f>
        <v>126.29760000000002</v>
      </c>
      <c r="H132" s="30">
        <f>SUM(H129:H131)</f>
        <v>124.98200000000001</v>
      </c>
      <c r="I132" s="10"/>
      <c r="J132" s="1"/>
      <c r="K132" s="1"/>
      <c r="L132" s="1"/>
      <c r="M132" s="1"/>
      <c r="N132" s="1"/>
      <c r="O132" s="1"/>
      <c r="P132" s="1"/>
      <c r="Q132" s="1"/>
    </row>
    <row r="133">
      <c r="A133" s="1"/>
      <c r="B133" t="s" s="1">
        <v>84</v>
      </c>
      <c r="C133" s="13">
        <f>0</f>
        <v>0</v>
      </c>
      <c r="D133" s="13">
        <f>C133+D123+D126</f>
        <v>0</v>
      </c>
      <c r="E133" s="13">
        <f>D133+E123+E126</f>
        <v>0</v>
      </c>
      <c r="F133" s="13">
        <f>E133+F123+F126</f>
        <v>0</v>
      </c>
      <c r="G133" s="13">
        <f>F133+G123+G126</f>
        <v>0</v>
      </c>
      <c r="H133" s="13">
        <f>G133+H123+H126</f>
        <v>0</v>
      </c>
      <c r="I133" s="10"/>
      <c r="J133" s="1"/>
      <c r="K133" s="1"/>
      <c r="L133" s="1"/>
      <c r="M133" s="1"/>
      <c r="N133" s="1"/>
      <c r="O133" s="1"/>
      <c r="P133" s="1"/>
      <c r="Q133" s="1"/>
    </row>
    <row r="134">
      <c r="A134" s="1"/>
      <c r="B134" t="s" s="29">
        <v>85</v>
      </c>
      <c r="C134" s="30">
        <f>C127+C132-C133</f>
        <v>1241.4</v>
      </c>
      <c r="D134" s="30">
        <f>D127+D132-D133</f>
        <v>1261.6047339903087</v>
      </c>
      <c r="E134" s="30">
        <f>E127+E132-E133</f>
        <v>1084.8471578914832</v>
      </c>
      <c r="F134" s="30">
        <f>F127+F132-F133</f>
        <v>875.5184489340727</v>
      </c>
      <c r="G134" s="30">
        <f>G127+G132-G133</f>
        <v>642.4025982565678</v>
      </c>
      <c r="H134" s="30">
        <f>H127+H132-H133</f>
        <v>388.18671867715466</v>
      </c>
      <c r="I134" s="10"/>
      <c r="J134" s="1"/>
      <c r="K134" s="1"/>
      <c r="L134" s="1"/>
      <c r="M134" s="1"/>
      <c r="N134" s="1"/>
      <c r="O134" s="1"/>
      <c r="P134" s="1"/>
      <c r="Q134" s="1"/>
    </row>
    <row r="135">
      <c r="A135" s="1"/>
      <c r="B135" t="s" s="4">
        <v>86</v>
      </c>
      <c r="C135" s="15">
        <f>C134/C112</f>
        <v>5.853658536585367</v>
      </c>
      <c r="D135" s="15">
        <f>D134/D112</f>
        <v>4.909767039443791</v>
      </c>
      <c r="E135" s="15">
        <f>E134/E112</f>
        <v>3.6523348400492357</v>
      </c>
      <c r="F135" s="15">
        <f>F134/F112</f>
        <v>2.7474279551951404</v>
      </c>
      <c r="G135" s="15">
        <f>G134/G112</f>
        <v>1.9506595248965026</v>
      </c>
      <c r="H135" s="15">
        <f>H134/H112</f>
        <v>1.1581507587705149</v>
      </c>
      <c r="I135" s="10"/>
      <c r="J135" s="1"/>
      <c r="K135" s="1"/>
      <c r="L135" s="1"/>
      <c r="M135" s="1"/>
      <c r="N135" s="1"/>
      <c r="O135" s="1"/>
      <c r="P135" s="1"/>
      <c r="Q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>
      <c r="A137" s="1"/>
      <c r="B137" t="s" s="7">
        <v>228</v>
      </c>
      <c r="C137" s="7"/>
      <c r="D137" s="7"/>
      <c r="E137" s="7"/>
      <c r="F137" s="7"/>
      <c r="G137" s="7"/>
      <c r="H137" s="7"/>
      <c r="I137" s="7"/>
      <c r="J137" s="1"/>
      <c r="K137" s="1"/>
      <c r="L137" s="1"/>
      <c r="M137" s="1"/>
      <c r="N137" s="1"/>
      <c r="O137" s="1"/>
      <c r="P137" s="1"/>
      <c r="Q137" s="1"/>
    </row>
    <row r="138">
      <c r="A138" s="1"/>
      <c r="B138" t="s" s="8">
        <v>88</v>
      </c>
      <c r="C138" s="18">
        <f>C107</f>
        <v>46387</v>
      </c>
      <c r="D138" s="18">
        <f>D107</f>
        <v>46752</v>
      </c>
      <c r="E138" s="18">
        <f>E107</f>
        <v>47118</v>
      </c>
      <c r="F138" s="18">
        <f>F107</f>
        <v>47483</v>
      </c>
      <c r="G138" s="18">
        <f>G107</f>
        <v>47848</v>
      </c>
      <c r="H138" s="18">
        <f>H107</f>
        <v>48213</v>
      </c>
      <c r="I138" s="8"/>
      <c r="J138" s="1"/>
      <c r="K138" s="1"/>
      <c r="L138" s="1"/>
      <c r="M138" s="1"/>
      <c r="N138" s="1"/>
      <c r="O138" s="1"/>
      <c r="P138" s="1"/>
      <c r="Q138" s="1"/>
    </row>
    <row r="139">
      <c r="A139" s="1"/>
      <c r="B139" t="s" s="35">
        <v>89</v>
      </c>
      <c r="C139" s="13"/>
      <c r="D139" s="13">
        <f>D112*$C$85</f>
        <v>4548.159538371538</v>
      </c>
      <c r="E139" s="13">
        <f>E112*$C$85</f>
        <v>5257.402602884133</v>
      </c>
      <c r="F139" s="13">
        <f>F112*$C$85</f>
        <v>5640.430540437014</v>
      </c>
      <c r="G139" s="13">
        <f>G112*$C$85</f>
        <v>5829.067473855819</v>
      </c>
      <c r="H139" s="13">
        <f>H112*$C$85</f>
        <v>5932.651572822648</v>
      </c>
      <c r="I139" s="1"/>
      <c r="J139" s="1"/>
      <c r="K139" s="1"/>
      <c r="L139" s="1"/>
      <c r="M139" s="1"/>
      <c r="N139" s="1"/>
      <c r="O139" s="1"/>
      <c r="P139" s="1"/>
      <c r="Q139" s="1"/>
    </row>
    <row r="140">
      <c r="A140" s="1"/>
      <c r="B140" t="s" s="35">
        <v>90</v>
      </c>
      <c r="C140" s="13"/>
      <c r="D140" s="13">
        <f>-D139*$C$86</f>
        <v>-45.48159538371538</v>
      </c>
      <c r="E140" s="13">
        <f>-E139*$C$86</f>
        <v>-52.57402602884133</v>
      </c>
      <c r="F140" s="13">
        <f>-F139*$C$86</f>
        <v>-56.40430540437014</v>
      </c>
      <c r="G140" s="13">
        <f>-G139*$C$86</f>
        <v>-58.290674738558195</v>
      </c>
      <c r="H140" s="13">
        <f>-H139*$C$86</f>
        <v>-59.326515728226475</v>
      </c>
      <c r="I140" s="1"/>
      <c r="J140" s="1"/>
      <c r="K140" s="1"/>
      <c r="L140" s="1"/>
      <c r="M140" s="1"/>
      <c r="N140" s="1"/>
      <c r="O140" s="1"/>
      <c r="P140" s="1"/>
      <c r="Q140" s="1"/>
    </row>
    <row r="141">
      <c r="A141" s="1"/>
      <c r="B141" t="s" s="35">
        <v>91</v>
      </c>
      <c r="C141" s="13"/>
      <c r="D141" s="13">
        <f>-D134</f>
        <v>-1261.6047339903087</v>
      </c>
      <c r="E141" s="13">
        <f>-E134</f>
        <v>-1084.8471578914832</v>
      </c>
      <c r="F141" s="13">
        <f>-F134</f>
        <v>-875.5184489340727</v>
      </c>
      <c r="G141" s="13">
        <f>-G134</f>
        <v>-642.4025982565678</v>
      </c>
      <c r="H141" s="13">
        <f>-H134</f>
        <v>-388.18671867715466</v>
      </c>
      <c r="I141" s="1"/>
      <c r="J141" s="1"/>
      <c r="K141" s="1"/>
      <c r="L141" s="1"/>
      <c r="M141" s="1"/>
      <c r="N141" s="1"/>
      <c r="O141" s="1"/>
      <c r="P141" s="1"/>
      <c r="Q141" s="1"/>
    </row>
    <row r="142">
      <c r="A142" s="1"/>
      <c r="B142" t="s" s="29">
        <v>92</v>
      </c>
      <c r="C142" s="30"/>
      <c r="D142" s="30">
        <f>SUM(D139:D141)</f>
        <v>3241.0732089975136</v>
      </c>
      <c r="E142" s="30">
        <f>SUM(E139:E141)</f>
        <v>4119.981418963808</v>
      </c>
      <c r="F142" s="30">
        <f>SUM(F139:F141)</f>
        <v>4708.507786098571</v>
      </c>
      <c r="G142" s="30">
        <f>SUM(G139:G141)</f>
        <v>5128.374200860693</v>
      </c>
      <c r="H142" s="30">
        <f>SUM(H139:H141)</f>
        <v>5485.138338417266</v>
      </c>
      <c r="I142" s="1"/>
      <c r="J142" s="1"/>
      <c r="K142" s="1"/>
      <c r="L142" s="1"/>
      <c r="M142" s="1"/>
      <c r="N142" s="1"/>
      <c r="O142" s="1"/>
      <c r="P142" s="1"/>
      <c r="Q142" s="1"/>
    </row>
    <row r="143">
      <c r="A143" s="1"/>
      <c r="B143" t="s" s="4">
        <v>93</v>
      </c>
      <c r="C143" s="1"/>
      <c r="D143" s="16">
        <f>D142/$C$98</f>
        <v>0.9410493403867897</v>
      </c>
      <c r="E143" s="16">
        <f>E142/$C$98</f>
        <v>1.196241351771544</v>
      </c>
      <c r="F143" s="16">
        <f>F142/$C$98</f>
        <v>1.3671206605310355</v>
      </c>
      <c r="G143" s="16">
        <f>G142/$C$98</f>
        <v>1.4890293578000715</v>
      </c>
      <c r="H143" s="16">
        <f>H142/$C$98</f>
        <v>1.5926162361801248</v>
      </c>
      <c r="I143" s="1"/>
      <c r="J143" s="1"/>
      <c r="K143" s="1"/>
      <c r="L143" s="1"/>
      <c r="M143" s="1"/>
      <c r="N143" s="1"/>
      <c r="O143" s="1"/>
      <c r="P143" s="1"/>
      <c r="Q143" s="1"/>
    </row>
    <row r="144">
      <c r="A144" s="1"/>
      <c r="B144" t="s" s="4">
        <v>94</v>
      </c>
      <c r="C144" s="1"/>
      <c r="D144" s="73">
        <f>(D142/$C$98)^(365/(D138-$C$138))-1</f>
        <v>-0.05895065961321033</v>
      </c>
      <c r="E144" s="73">
        <f>(E142/$C$98)^(365/(E138-$C$138))-1</f>
        <v>0.09359414876870442</v>
      </c>
      <c r="F144" s="73">
        <f>(F142/$C$98)^(365/(F138-$C$138))-1</f>
        <v>0.10975636623727336</v>
      </c>
      <c r="G144" s="73">
        <f>(G142/$C$98)^(365/(G138-$C$138))-1</f>
        <v>0.10457759194534422</v>
      </c>
      <c r="H144" s="73">
        <f>(H142/$C$98)^(365/(H138-$C$138))-1</f>
        <v>0.09748878441306918</v>
      </c>
      <c r="I144" s="1"/>
      <c r="J144" s="1"/>
      <c r="K144" s="1"/>
      <c r="L144" s="1"/>
      <c r="M144" s="1"/>
      <c r="N144" s="1"/>
      <c r="O144" s="1"/>
      <c r="P144" s="1"/>
      <c r="Q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>
      <c r="A146" s="1"/>
      <c r="B146" t="s" s="1">
        <v>95</v>
      </c>
      <c r="C146" s="13">
        <f>-C98</f>
        <v>-3444.105499999999</v>
      </c>
      <c r="D146" s="13">
        <f>D142*(D138=$C$9)</f>
        <v>0</v>
      </c>
      <c r="E146" s="13">
        <f>E142*(E138=$C$9)</f>
        <v>0</v>
      </c>
      <c r="F146" s="13">
        <f>F142*(F138=$C$9)</f>
        <v>0</v>
      </c>
      <c r="G146" s="13">
        <f>G142*(G138=$C$9)</f>
        <v>0</v>
      </c>
      <c r="H146" s="13">
        <f>H142*(H138=$C$9)</f>
        <v>5485.138338417266</v>
      </c>
      <c r="I146" s="1"/>
      <c r="J146" s="1"/>
      <c r="K146" s="1"/>
      <c r="L146" s="1"/>
      <c r="M146" s="1"/>
      <c r="N146" s="1"/>
      <c r="O146" s="1"/>
      <c r="P146" s="1"/>
      <c r="Q146" s="1"/>
    </row>
    <row r="147">
      <c r="A147" s="1"/>
      <c r="B147" t="s" s="32">
        <v>96</v>
      </c>
      <c r="C147" s="33">
        <f>XIRR(C146:H146,C138:H138)</f>
        <v>0.09748877882957457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>
      <c r="A148" s="1"/>
      <c r="B148" t="s" s="32">
        <v>97</v>
      </c>
      <c r="C148" s="34">
        <f>SUMIF(C146:H146,"&gt;0")/-SUMIF(C146:H146,"&lt;0")</f>
        <v>1.5926162361801248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>
      <c r="A149" s="1"/>
      <c r="B149" t="s" s="1">
        <v>98</v>
      </c>
      <c r="C149" s="17">
        <f>YEARFRAC(C8,C9)</f>
        <v>5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>
      <c r="A151" s="1"/>
      <c r="B151" t="s" s="7">
        <v>229</v>
      </c>
      <c r="C151" s="7"/>
      <c r="D151" s="7"/>
      <c r="E151" s="7"/>
      <c r="F151" s="7"/>
      <c r="G151" s="7"/>
      <c r="H151" s="7"/>
      <c r="I151" s="7"/>
      <c r="J151" s="1"/>
      <c r="K151" s="1"/>
      <c r="L151" s="1"/>
      <c r="M151" s="1"/>
      <c r="N151" s="1"/>
      <c r="O151" s="1"/>
      <c r="P151" s="1"/>
      <c r="Q151" s="1"/>
    </row>
    <row r="152" ht="28" customHeight="1">
      <c r="A152" s="1"/>
      <c r="B152" t="s" s="71">
        <v>230</v>
      </c>
      <c r="C152" t="s" s="72">
        <v>237</v>
      </c>
      <c r="D152" t="s" s="72">
        <v>238</v>
      </c>
      <c r="E152" t="s" s="72">
        <v>239</v>
      </c>
      <c r="F152" t="s" s="72">
        <v>240</v>
      </c>
      <c r="G152" t="s" s="72">
        <v>241</v>
      </c>
      <c r="H152" s="9"/>
      <c r="I152" s="8"/>
      <c r="J152" s="1"/>
      <c r="K152" s="1"/>
      <c r="L152" s="1"/>
      <c r="M152" s="1"/>
      <c r="N152" s="1"/>
      <c r="O152" s="1"/>
      <c r="P152" s="1"/>
      <c r="Q152" s="1"/>
    </row>
    <row r="153">
      <c r="A153" s="1"/>
      <c r="B153" t="s" s="4">
        <v>231</v>
      </c>
      <c r="C153" s="1"/>
      <c r="D153" s="14">
        <f>C147</f>
        <v>0.09748877882957457</v>
      </c>
      <c r="E153" s="16">
        <f>C148</f>
        <v>1.5926162361801248</v>
      </c>
      <c r="F153" s="13">
        <f>C98</f>
        <v>3444.105499999999</v>
      </c>
      <c r="G153" s="14">
        <f>C100</f>
        <v>0.7350552677827397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>
      <c r="A154" s="1"/>
      <c r="B154" t="s" s="32">
        <v>232</v>
      </c>
      <c r="C154" s="62">
        <f>C41</f>
        <v>4591</v>
      </c>
      <c r="D154" s="74">
        <f t="dataTable" ref="D154:G156" r1="C10"/>
        <v>0.09748877882957457</v>
      </c>
      <c r="E154" s="75">
        <v>1.5926162361801248</v>
      </c>
      <c r="F154" s="76">
        <v>3444.105499999999</v>
      </c>
      <c r="G154" s="74">
        <v>0.7350552677827397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>
      <c r="A155" s="1"/>
      <c r="B155" t="s" s="1">
        <v>233</v>
      </c>
      <c r="C155" s="13">
        <f>C52</f>
        <v>4546.428264</v>
      </c>
      <c r="D155" s="41">
        <v>0.10037894845008852</v>
      </c>
      <c r="E155" s="42">
        <v>1.6137088134093283</v>
      </c>
      <c r="F155" s="40">
        <v>3399.08804664</v>
      </c>
      <c r="G155" s="41">
        <v>0.732485034435365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>
      <c r="A156" s="1"/>
      <c r="B156" t="s" s="1">
        <v>333</v>
      </c>
      <c r="C156" s="13">
        <f>C48</f>
        <v>4896</v>
      </c>
      <c r="D156" s="41">
        <v>0.07885552346706393</v>
      </c>
      <c r="E156" s="42">
        <v>1.4618632778991347</v>
      </c>
      <c r="F156" s="40">
        <v>3752.1554999999994</v>
      </c>
      <c r="G156" s="41">
        <v>0.7513995789172664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>
      <c r="A158" s="1"/>
      <c r="B158" t="s" s="7">
        <v>235</v>
      </c>
      <c r="C158" s="7"/>
      <c r="D158" s="7"/>
      <c r="E158" s="7"/>
      <c r="F158" s="7"/>
      <c r="G158" s="7"/>
      <c r="H158" s="7"/>
      <c r="I158" s="7"/>
      <c r="J158" s="1"/>
      <c r="K158" s="1"/>
      <c r="L158" s="1"/>
      <c r="M158" s="1"/>
      <c r="N158" s="1"/>
      <c r="O158" s="1"/>
      <c r="P158" s="1"/>
      <c r="Q158" s="1"/>
    </row>
    <row r="159">
      <c r="A159" s="1"/>
      <c r="B159" t="s" s="2">
        <v>100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>
      <c r="A161" s="1"/>
      <c r="B161" t="s" s="10">
        <v>131</v>
      </c>
      <c r="C161" s="37">
        <f>C147</f>
        <v>0.09748877882957457</v>
      </c>
      <c r="D161" s="38">
        <v>15.7</v>
      </c>
      <c r="E161" s="38">
        <v>16.7</v>
      </c>
      <c r="F161" s="38">
        <v>17.7</v>
      </c>
      <c r="G161" s="38">
        <v>18.7</v>
      </c>
      <c r="H161" s="38">
        <v>19.7</v>
      </c>
      <c r="I161" s="1"/>
      <c r="J161" s="1"/>
      <c r="K161" s="1"/>
      <c r="L161" s="1"/>
      <c r="M161" s="1"/>
      <c r="N161" s="1"/>
      <c r="O161" s="1"/>
      <c r="P161" s="1"/>
      <c r="Q161" s="1"/>
    </row>
    <row r="162">
      <c r="A162" s="1"/>
      <c r="B162" s="1"/>
      <c r="C162" s="28">
        <v>4286</v>
      </c>
      <c r="D162" s="41">
        <f t="dataTable" ref="D162:H166" dt2D="1" dtr="1" r1="C85" r2="C10"/>
        <v>0.0897803455591202</v>
      </c>
      <c r="E162" s="41">
        <v>0.10437588095664979</v>
      </c>
      <c r="F162" s="41">
        <v>0.11823781132698058</v>
      </c>
      <c r="G162" s="41">
        <v>0.13144422173500062</v>
      </c>
      <c r="H162" s="41">
        <v>0.1440609753131867</v>
      </c>
      <c r="I162" s="1"/>
      <c r="J162" s="1"/>
      <c r="K162" s="1"/>
      <c r="L162" s="1"/>
      <c r="M162" s="1"/>
      <c r="N162" s="1"/>
      <c r="O162" s="1"/>
      <c r="P162" s="1"/>
      <c r="Q162" s="1"/>
    </row>
    <row r="163">
      <c r="A163" s="1"/>
      <c r="B163" s="1"/>
      <c r="C163" s="28">
        <v>4439</v>
      </c>
      <c r="D163" s="41">
        <v>0.07935267388820649</v>
      </c>
      <c r="E163" s="41">
        <v>0.09380855262279511</v>
      </c>
      <c r="F163" s="41">
        <v>0.10753784775733949</v>
      </c>
      <c r="G163" s="41">
        <v>0.1206178843975067</v>
      </c>
      <c r="H163" s="41">
        <v>0.1331139028072357</v>
      </c>
      <c r="I163" s="1"/>
      <c r="J163" s="1"/>
      <c r="K163" s="1"/>
      <c r="L163" s="1"/>
      <c r="M163" s="1"/>
      <c r="N163" s="1"/>
      <c r="O163" s="1"/>
      <c r="P163" s="1"/>
      <c r="Q163" s="1"/>
    </row>
    <row r="164">
      <c r="A164" s="1"/>
      <c r="B164" s="1"/>
      <c r="C164" s="28">
        <v>4591</v>
      </c>
      <c r="D164" s="41">
        <v>0.06955934464931487</v>
      </c>
      <c r="E164" s="41">
        <v>0.08388406336307527</v>
      </c>
      <c r="F164" s="56">
        <v>0.09748877882957457</v>
      </c>
      <c r="G164" s="41">
        <v>0.11045014262199401</v>
      </c>
      <c r="H164" s="41">
        <v>0.12283278107643128</v>
      </c>
      <c r="I164" s="1"/>
      <c r="J164" s="1"/>
      <c r="K164" s="1"/>
      <c r="L164" s="1"/>
      <c r="M164" s="1"/>
      <c r="N164" s="1"/>
      <c r="O164" s="1"/>
      <c r="P164" s="1"/>
      <c r="Q164" s="1"/>
    </row>
    <row r="165">
      <c r="A165" s="1"/>
      <c r="B165" s="1"/>
      <c r="C165" s="28">
        <v>4744</v>
      </c>
      <c r="D165" s="41">
        <v>0.060216823220252985</v>
      </c>
      <c r="E165" s="41">
        <v>0.0744164139032364</v>
      </c>
      <c r="F165" s="41">
        <v>0.08790230453014374</v>
      </c>
      <c r="G165" s="41">
        <v>0.10075044035911562</v>
      </c>
      <c r="H165" s="41">
        <v>0.1130249321460724</v>
      </c>
      <c r="I165" s="1"/>
      <c r="J165" s="1"/>
      <c r="K165" s="1"/>
      <c r="L165" s="1"/>
      <c r="M165" s="1"/>
      <c r="N165" s="1"/>
      <c r="O165" s="1"/>
      <c r="P165" s="1"/>
      <c r="Q165" s="1"/>
    </row>
    <row r="166">
      <c r="A166" s="1"/>
      <c r="B166" s="1"/>
      <c r="C166" s="28">
        <v>4896</v>
      </c>
      <c r="D166" s="41">
        <v>0.05140027105808259</v>
      </c>
      <c r="E166" s="41">
        <v>0.06548178493976593</v>
      </c>
      <c r="F166" s="41">
        <v>0.07885552346706393</v>
      </c>
      <c r="G166" s="41">
        <v>0.09159682095050815</v>
      </c>
      <c r="H166" s="41">
        <v>0.1037692368030548</v>
      </c>
      <c r="I166" s="1"/>
      <c r="J166" s="1"/>
      <c r="K166" s="1"/>
      <c r="L166" s="1"/>
      <c r="M166" s="1"/>
      <c r="N166" s="1"/>
      <c r="O166" s="1"/>
      <c r="P166" s="1"/>
      <c r="Q166" s="1"/>
    </row>
    <row r="167">
      <c r="A167" s="1"/>
      <c r="B167" t="s" s="2">
        <v>101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>
      <c r="A169" s="1"/>
      <c r="B169" t="s" s="10">
        <v>131</v>
      </c>
      <c r="C169" s="39">
        <f>C148</f>
        <v>1.5926162361801248</v>
      </c>
      <c r="D169" s="38">
        <v>15.7</v>
      </c>
      <c r="E169" s="38">
        <v>16.7</v>
      </c>
      <c r="F169" s="38">
        <v>17.7</v>
      </c>
      <c r="G169" s="38">
        <v>18.7</v>
      </c>
      <c r="H169" s="38">
        <v>19.7</v>
      </c>
      <c r="I169" s="1"/>
      <c r="J169" s="1"/>
      <c r="K169" s="1"/>
      <c r="L169" s="1"/>
      <c r="M169" s="1"/>
      <c r="N169" s="1"/>
      <c r="O169" s="1"/>
      <c r="P169" s="1"/>
      <c r="Q169" s="1"/>
    </row>
    <row r="170">
      <c r="A170" s="1"/>
      <c r="B170" s="1"/>
      <c r="C170" s="28">
        <v>4286</v>
      </c>
      <c r="D170" s="42">
        <f t="dataTable" ref="D170:H174" dt2D="1" dtr="1" r1="C85" r2="C10"/>
        <v>1.5374363717711754</v>
      </c>
      <c r="E170" s="42">
        <v>1.6432464489245022</v>
      </c>
      <c r="F170" s="42">
        <v>1.7490565260778286</v>
      </c>
      <c r="G170" s="42">
        <v>1.8548666032311554</v>
      </c>
      <c r="H170" s="42">
        <v>1.9606766803844822</v>
      </c>
      <c r="I170" s="1"/>
      <c r="J170" s="1"/>
      <c r="K170" s="1"/>
      <c r="L170" s="1"/>
      <c r="M170" s="1"/>
      <c r="N170" s="1"/>
      <c r="O170" s="1"/>
      <c r="P170" s="1"/>
      <c r="Q170" s="1"/>
    </row>
    <row r="171">
      <c r="A171" s="1"/>
      <c r="B171" s="1"/>
      <c r="C171" s="28">
        <v>4439</v>
      </c>
      <c r="D171" s="42">
        <v>1.465236441840833</v>
      </c>
      <c r="E171" s="42">
        <v>1.5660775457757148</v>
      </c>
      <c r="F171" s="42">
        <v>1.6669186497105961</v>
      </c>
      <c r="G171" s="42">
        <v>1.7677597536454777</v>
      </c>
      <c r="H171" s="42">
        <v>1.8686008575803594</v>
      </c>
      <c r="I171" s="1"/>
      <c r="J171" s="1"/>
      <c r="K171" s="1"/>
      <c r="L171" s="1"/>
      <c r="M171" s="1"/>
      <c r="N171" s="1"/>
      <c r="O171" s="1"/>
      <c r="P171" s="1"/>
      <c r="Q171" s="1"/>
    </row>
    <row r="172">
      <c r="A172" s="1"/>
      <c r="B172" s="1"/>
      <c r="C172" s="28">
        <v>4591</v>
      </c>
      <c r="D172" s="42">
        <v>1.3999239540115826</v>
      </c>
      <c r="E172" s="42">
        <v>1.496270095095854</v>
      </c>
      <c r="F172" s="57">
        <v>1.5926162361801248</v>
      </c>
      <c r="G172" s="42">
        <v>1.6889623772643962</v>
      </c>
      <c r="H172" s="42">
        <v>1.7853085183486677</v>
      </c>
      <c r="I172" s="1"/>
      <c r="J172" s="1"/>
      <c r="K172" s="1"/>
      <c r="L172" s="1"/>
      <c r="M172" s="1"/>
      <c r="N172" s="1"/>
      <c r="O172" s="1"/>
      <c r="P172" s="1"/>
      <c r="Q172" s="1"/>
    </row>
    <row r="173">
      <c r="A173" s="1"/>
      <c r="B173" s="1"/>
      <c r="C173" s="28">
        <v>4744</v>
      </c>
      <c r="D173" s="42">
        <v>1.3398094332124049</v>
      </c>
      <c r="E173" s="42">
        <v>1.43201834806697</v>
      </c>
      <c r="F173" s="42">
        <v>1.5242272629215343</v>
      </c>
      <c r="G173" s="42">
        <v>1.6164361777760994</v>
      </c>
      <c r="H173" s="42">
        <v>1.7086450926306644</v>
      </c>
      <c r="I173" s="1"/>
      <c r="J173" s="1"/>
      <c r="K173" s="1"/>
      <c r="L173" s="1"/>
      <c r="M173" s="1"/>
      <c r="N173" s="1"/>
      <c r="O173" s="1"/>
      <c r="P173" s="1"/>
      <c r="Q173" s="1"/>
    </row>
    <row r="174">
      <c r="A174" s="1"/>
      <c r="B174" s="1"/>
      <c r="C174" s="28">
        <v>4896</v>
      </c>
      <c r="D174" s="42">
        <v>1.2849909311042782</v>
      </c>
      <c r="E174" s="42">
        <v>1.3734271045017068</v>
      </c>
      <c r="F174" s="42">
        <v>1.4618632778991347</v>
      </c>
      <c r="G174" s="42">
        <v>1.550299451296563</v>
      </c>
      <c r="H174" s="42">
        <v>1.6387356246939917</v>
      </c>
      <c r="I174" s="1"/>
      <c r="J174" s="1"/>
      <c r="K174" s="1"/>
      <c r="L174" s="1"/>
      <c r="M174" s="1"/>
      <c r="N174" s="1"/>
      <c r="O174" s="1"/>
      <c r="P174" s="1"/>
      <c r="Q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>
      <c r="A176" s="1"/>
      <c r="B176" t="s" s="7">
        <v>236</v>
      </c>
      <c r="C176" s="7"/>
      <c r="D176" s="7"/>
      <c r="E176" s="7"/>
      <c r="F176" s="7"/>
      <c r="G176" s="7"/>
      <c r="H176" s="7"/>
      <c r="I176" s="7"/>
      <c r="J176" s="1"/>
      <c r="K176" s="1"/>
      <c r="L176" s="1"/>
      <c r="M176" s="1"/>
      <c r="N176" s="1"/>
      <c r="O176" s="1"/>
      <c r="P176" s="1"/>
      <c r="Q176" s="1"/>
    </row>
    <row r="177">
      <c r="A177" s="1"/>
      <c r="B177" t="s" s="8">
        <v>47</v>
      </c>
      <c r="C177" t="s" s="9">
        <v>103</v>
      </c>
      <c r="D177" s="9"/>
      <c r="E177" s="9"/>
      <c r="F177" s="9"/>
      <c r="G177" s="9"/>
      <c r="H177" s="9"/>
      <c r="I177" s="8"/>
      <c r="J177" s="1"/>
      <c r="K177" s="1"/>
      <c r="L177" s="1"/>
      <c r="M177" s="1"/>
      <c r="N177" s="1"/>
      <c r="O177" s="1"/>
      <c r="P177" s="1"/>
      <c r="Q177" s="1"/>
    </row>
    <row r="178">
      <c r="A178" s="1"/>
      <c r="B178" t="s" s="1">
        <v>163</v>
      </c>
      <c r="C178" s="13">
        <f>C98</f>
        <v>3444.105499999999</v>
      </c>
      <c r="D178" s="13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>
      <c r="A179" s="1"/>
      <c r="B179" t="s" s="35">
        <v>164</v>
      </c>
      <c r="C179" s="13">
        <f>(H112-C11)*C85</f>
        <v>2270.5215728226476</v>
      </c>
      <c r="D179" s="13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>
      <c r="A180" s="1"/>
      <c r="B180" t="s" s="35">
        <v>165</v>
      </c>
      <c r="C180" s="13">
        <f>(C85-C103)*C11</f>
        <v>-928.8700000000002</v>
      </c>
      <c r="D180" s="13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>
      <c r="A181" s="1"/>
      <c r="B181" t="s" s="35">
        <v>166</v>
      </c>
      <c r="C181" s="13">
        <f>C16-H134</f>
        <v>853.2132813228454</v>
      </c>
      <c r="D181" s="13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>
      <c r="A182" s="1"/>
      <c r="B182" t="s" s="35">
        <v>167</v>
      </c>
      <c r="C182" s="13">
        <f>-(C96-C10)</f>
        <v>-94.5054999999993</v>
      </c>
      <c r="D182" s="13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>
      <c r="A183" s="1"/>
      <c r="B183" t="s" s="35">
        <v>90</v>
      </c>
      <c r="C183" s="13">
        <f>H140</f>
        <v>-59.326515728226475</v>
      </c>
      <c r="D183" s="13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>
      <c r="A184" s="1"/>
      <c r="B184" t="s" s="29">
        <v>92</v>
      </c>
      <c r="C184" s="30">
        <f>SUM(C178:C183)</f>
        <v>5485.138338417266</v>
      </c>
      <c r="D184" s="30"/>
      <c r="E184" s="30"/>
      <c r="F184" s="29"/>
      <c r="G184" s="29"/>
      <c r="H184" s="29"/>
      <c r="I184" s="1"/>
      <c r="J184" s="1"/>
      <c r="K184" s="1"/>
      <c r="L184" s="1"/>
      <c r="M184" s="1"/>
      <c r="N184" s="1"/>
      <c r="O184" s="1"/>
      <c r="P184" s="1"/>
      <c r="Q184" s="1"/>
    </row>
    <row r="185">
      <c r="A185" s="1"/>
      <c r="B185" t="s" s="4">
        <v>168</v>
      </c>
      <c r="C185" s="13"/>
      <c r="D185" s="13">
        <f>H142</f>
        <v>5485.138338417266</v>
      </c>
      <c r="E185" s="13">
        <f>C184-D185</f>
        <v>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</sheetData>
  <mergeCells count="1">
    <mergeCell ref="B4:I4"/>
  </mergeCells>
  <conditionalFormatting sqref="D162:H166">
    <cfRule type="colorScale" priority="1">
      <colorScale>
        <cfvo type="min"/>
        <cfvo type="percentile" val="50"/>
        <cfvo type="max"/>
        <color rgb="FFF4CCCC"/>
        <color rgb="FFFFFFFF"/>
        <color rgb="FFD9EAD3"/>
      </colorScale>
    </cfRule>
  </conditionalFormatting>
  <conditionalFormatting sqref="D170:H174">
    <cfRule type="colorScale" priority="2">
      <colorScale>
        <cfvo type="min"/>
        <cfvo type="percentile" val="50"/>
        <cfvo type="max"/>
        <color rgb="FFF4CCCC"/>
        <color rgb="FFFFFFFF"/>
        <color rgb="FFD9EAD3"/>
      </colorScale>
    </cfRule>
  </conditionalFormatting>
  <pageMargins left="0.7" right="0.7" top="0.75" bottom="0.75" header="0.3" footer="0.3"/>
  <drawing r:id="rId1"/>
  <legacyDrawing r:id="rId3"/>
</worksheet>
</file>

<file path=ccalc/calcState.xml><?xml version="1.0" encoding="utf-8"?>
<calcState xmlns="urn:twentyai:ccalc:calc-state" version="1" digest="d7e300500855587bd87db3e5907342151c11cd146b15eee7a57c3415609ffa80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2026-10-22T23:46:00Z</dcterms:created>
  <dcterms:modified xsi:type="dcterms:W3CDTF">2026-10-22T23:46:00Z</dcterms:modified>
  <cp:category/>
  <cp:contentStatus/>
</cp:coreProperties>
</file>