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0"/>
  </bookViews>
  <sheets>
    <sheet name="Performance" sheetId="1" r:id="rId1"/>
    <sheet name="Valuation" sheetId="2" r:id="rId2"/>
  </sheets>
  <calcPr/>
  <extLst>
    <ext xmlns:xccaches="urn:twentyai:ccalc:caches" uri="{3C5F2E7A-9B41-4D6E-A8C2-19409CCA1C01}">
      <xccaches:writer/>
    </ext>
  </extLst>
</workbook>
</file>

<file path=xl/comments1.xml><?xml version="1.0" encoding="utf-8"?>
<comments xmlns="http://schemas.openxmlformats.org/spreadsheetml/2006/main">
  <authors>
    <author>Compound</author>
  </authors>
  <commentList>
    <comment ref="C12" authorId="0">
      <text>
        <t xml:space="preserve">2.09 Q1_FY26_Consolidated Financial Statements.xlsx (Q1 FY26 IS A22:B22)</t>
      </text>
    </comment>
    <comment ref="C16" authorId="0">
      <text>
        <t xml:space="preserve">3.06 KPI_Dashboard_Q1_FY26.xlsx (KPI Dashboard A7:K7)</t>
      </text>
    </comment>
    <comment ref="C17" authorId="0">
      <text>
        <t xml:space="preserve">3.06 KPI_Dashboard_Q1_FY26.xlsx (KPI Dashboard A9:K9)</t>
      </text>
    </comment>
    <comment ref="C18" authorId="0">
      <text>
        <t xml:space="preserve">3.06 KPI_Dashboard_Q1_FY26.xlsx (KPI Dashboard A10:K10)</t>
      </text>
    </comment>
    <comment ref="C19" authorId="0">
      <text>
        <t xml:space="preserve">3.06 KPI_Dashboard_Q1_FY26.xlsx (KPI Dashboard A11:K11)</t>
      </text>
    </comment>
    <comment ref="C20" authorId="0">
      <text>
        <t xml:space="preserve">3.06 KPI_Dashboard_Q1_FY26.xlsx (KPI Dashboard A12:K12)</t>
      </text>
    </comment>
    <comment ref="C33" authorId="0">
      <text>
        <t xml:space="preserve">Cited for C33:C34
10.06 Board_Deck_2026.05_Q1_FY26_Review.pdf (page 2)</t>
      </text>
    </comment>
    <comment ref="C35" authorId="0">
      <text>
        <t xml:space="preserve">10.06 Board_Deck_2026.05_Q1_FY26_Review.pdf (page 2)</t>
      </text>
    </comment>
    <comment ref="C39" authorId="0">
      <text>
        <t xml:space="preserve">2.09 Q1_FY26_Consolidated Financial Statements.xlsx (Q1 FY26 CF A22:B22)</t>
      </text>
    </comment>
    <comment ref="C40" authorId="0">
      <text>
        <t xml:space="preserve">2.09 Q1_FY26_Consolidated Financial Statements.xlsx (Q1 FY26 CF A28:B28)</t>
      </text>
    </comment>
    <comment ref="C41" authorId="0">
      <text>
        <t xml:space="preserve">2.09 Q1_FY26_Consolidated Financial Statements.xlsx (Q1 FY26 CF A30:B30)</t>
      </text>
    </comment>
    <comment ref="C42" authorId="0">
      <text>
        <t xml:space="preserve">2.09 Q1_FY26_Consolidated Financial Statements.xlsx (Q1 FY26 CF A19:B19)</t>
      </text>
    </comment>
    <comment ref="C43" authorId="0">
      <text>
        <t xml:space="preserve">2.09 Q1_FY26_Consolidated Financial Statements.xlsx (Q1 FY26 BS A7:B7)</t>
      </text>
    </comment>
    <comment ref="C44" authorId="0">
      <text>
        <t xml:space="preserve">2.03 Audited_Financial_Statements_FY25_vF.pdf (page 12)</t>
      </text>
    </comment>
    <comment ref="C45" authorId="0">
      <text>
        <t xml:space="preserve">2.09 Q1_FY26_Consolidated Financial Statements.xlsx (Q1 FY26 BS A26:B26)</t>
      </text>
    </comment>
    <comment ref="C47" authorId="0">
      <text>
        <t xml:space="preserve">2.03 Audited_Financial_Statements_FY25_vF.pdf (page 12)</t>
      </text>
    </comment>
    <comment ref="C48" authorId="0">
      <text>
        <t xml:space="preserve">2.05 Management_Accounts_FY25_Monthly_v3.xlsx (P&amp;L (Monthly) N17)</t>
      </text>
    </comment>
    <comment ref="C51" authorId="0">
      <text>
        <t xml:space="preserve">2.03 Audited_Financial_Statements_FY25_vF.pdf (page 12)</t>
      </text>
    </comment>
    <comment ref="C58" authorId="0">
      <text>
        <t xml:space="preserve">2.03 Audited_Financial_Statements_FY25_vF.pdf (page 12)</t>
      </text>
    </comment>
    <comment ref="C66" authorId="0">
      <text>
        <t xml:space="preserve">Cited for C66:C68
2.06 FY26_Budget_and_Long-Range_Plan_FY26-FY30_v3.2.xlsx (2. P&amp;L (FY26-FY30) A10:C17)</t>
      </text>
    </comment>
    <comment ref="C69" authorId="0">
      <text>
        <t xml:space="preserve">Cited for C69:C70
2.06 FY26_Budget_and_Long-Range_Plan_FY26-FY30_v3.2.xlsx (1. Assumptions A7:C9)</t>
      </text>
    </comment>
    <comment ref="C71" authorId="0">
      <text>
        <t xml:space="preserve">2.06 FY26_Budget_and_Long-Range_Plan_FY26-FY30_v3.2.xlsx (1. Assumptions A24:C24)</t>
      </text>
    </comment>
    <comment ref="D10" authorId="0">
      <text>
        <t xml:space="preserve">Cited for C10:D10
2.07 Q1_FY26_Flash_Report_2026.04.xlsx (Q1 FY26 Flash A17:E17)</t>
      </text>
    </comment>
    <comment ref="D13" authorId="0">
      <text>
        <t xml:space="preserve">Cited for C13:D13
2.07 Q1_FY26_Flash_Report_2026.04.xlsx (Q1 FY26 Flash A21:E21)</t>
      </text>
    </comment>
    <comment ref="D14" authorId="0">
      <text>
        <t xml:space="preserve">Cited for C14:D14
2.07 Q1_FY26_Flash_Report_2026.04.xlsx (Q1 FY26 Flash A20:E20)</t>
      </text>
    </comment>
    <comment ref="D55" authorId="0">
      <text>
        <t xml:space="preserve">Cited for C55:D55
10.06 Board_Deck_2026.05_Q1_FY26_Review.pdf (page 3)</t>
      </text>
    </comment>
    <comment ref="D56" authorId="0">
      <text>
        <t xml:space="preserve">Cited for C56:D56
10.06 Board_Deck_2026.05_Q1_FY26_Review.pdf (page 6)</t>
      </text>
    </comment>
    <comment ref="D8" authorId="0">
      <text>
        <t xml:space="preserve">Cited for C8:D8
2.07 Q1_FY26_Flash_Report_2026.04.xlsx (Q1 FY26 Flash A10:E10)</t>
      </text>
    </comment>
    <comment ref="D9" authorId="0">
      <text>
        <t xml:space="preserve">Cited for C9:D9
2.07 Q1_FY26_Flash_Report_2026.04.xlsx (Q1 FY26 Flash A14:E14)</t>
      </text>
    </comment>
    <comment ref="E24" authorId="0">
      <text>
        <t xml:space="preserve">Cited for C24:E26
2.05 Management_Accounts_FY25_Monthly_v3.xlsx (P&amp;L (Monthly) K5:M17)</t>
      </text>
    </comment>
    <comment ref="E27" authorId="0">
      <text>
        <t xml:space="preserve">Cited for C27:E27
2.05 Management_Accounts_FY25_Monthly_v3.xlsx (P&amp;L (Monthly) H5:J10)</t>
      </text>
    </comment>
    <comment ref="E28" authorId="0">
      <text>
        <t xml:space="preserve">Cited for C28:E29
2.05 Management_Accounts_FY25_Monthly_v3.xlsx (P&amp;L (Monthly) B5:D17)</t>
      </text>
    </comment>
    <comment ref="E62" authorId="0">
      <text>
        <t xml:space="preserve">Cited for C62:E62
4.06 PHX_II_Construction_Budget_and_Draw_Schedule.xlsx (Budget by Division A14:H15)</t>
      </text>
    </comment>
    <comment ref="G13" authorId="0">
      <text>
        <t xml:space="preserve">3.06 KPI_Dashboard_Q1_FY26.xlsx (KPI Dashboard A4:K4)</t>
      </text>
    </comment>
    <comment ref="G14" authorId="0">
      <text>
        <t xml:space="preserve">3.06 KPI_Dashboard_Q1_FY26.xlsx (KPI Dashboard A5:K5)</t>
      </text>
    </comment>
    <comment ref="G16" authorId="0">
      <text>
        <t xml:space="preserve">3.06 KPI_Dashboard_Q1_FY26.xlsx (KPI Dashboard A7:K7)</t>
      </text>
    </comment>
    <comment ref="G17" authorId="0">
      <text>
        <t xml:space="preserve">3.06 KPI_Dashboard_Q1_FY26.xlsx (KPI Dashboard A9:K9)</t>
      </text>
    </comment>
    <comment ref="G18" authorId="0">
      <text>
        <t xml:space="preserve">3.06 KPI_Dashboard_Q1_FY26.xlsx (KPI Dashboard A10:K10)</t>
      </text>
    </comment>
    <comment ref="G19" authorId="0">
      <text>
        <t xml:space="preserve">3.06 KPI_Dashboard_Q1_FY26.xlsx (KPI Dashboard A11:K11)</t>
      </text>
    </comment>
    <comment ref="G20" authorId="0">
      <text>
        <t xml:space="preserve">3.06 KPI_Dashboard_Q1_FY26.xlsx (KPI Dashboard A12:K12)</t>
      </text>
    </comment>
    <comment ref="I10" authorId="0">
      <text>
        <t xml:space="preserve">2.07 Q1_FY26_Flash_Report_2026.04.xlsx (Q1 FY26 Flash A17:E17)</t>
      </text>
    </comment>
    <comment ref="I12" authorId="0">
      <text>
        <t xml:space="preserve">2.04 Consolidated_Financial_Statements_2023-2025_Excel.xlsx (2025 IS A22:B22)</t>
      </text>
    </comment>
    <comment ref="I13" authorId="0">
      <text>
        <t xml:space="preserve">2.07 Q1_FY26_Flash_Report_2026.04.xlsx (Q1 FY26 Flash A21:E21)</t>
      </text>
    </comment>
    <comment ref="I14" authorId="0">
      <text>
        <t xml:space="preserve">2.07 Q1_FY26_Flash_Report_2026.04.xlsx (Q1 FY26 Flash A20:E20)</t>
      </text>
    </comment>
    <comment ref="I16" authorId="0">
      <text>
        <t xml:space="preserve">3.06 KPI_Dashboard_Q1_FY26.xlsx (KPI Dashboard A7:K7)</t>
      </text>
    </comment>
    <comment ref="I17" authorId="0">
      <text>
        <t xml:space="preserve">3.06 KPI_Dashboard_Q1_FY26.xlsx (KPI Dashboard A9:K9)</t>
      </text>
    </comment>
    <comment ref="I18" authorId="0">
      <text>
        <t xml:space="preserve">3.06 KPI_Dashboard_Q1_FY26.xlsx (KPI Dashboard A10:K10)</t>
      </text>
    </comment>
    <comment ref="I19" authorId="0">
      <text>
        <t xml:space="preserve">3.06 KPI_Dashboard_Q1_FY26.xlsx (KPI Dashboard A11:K11)</t>
      </text>
    </comment>
    <comment ref="I20" authorId="0">
      <text>
        <t xml:space="preserve">3.06 KPI_Dashboard_Q1_FY26.xlsx (KPI Dashboard A12:K12)</t>
      </text>
    </comment>
    <comment ref="I8" authorId="0">
      <text>
        <t xml:space="preserve">2.07 Q1_FY26_Flash_Report_2026.04.xlsx (Q1 FY26 Flash A10:E10)</t>
      </text>
    </comment>
    <comment ref="I9" authorId="0">
      <text>
        <t xml:space="preserve">2.07 Q1_FY26_Flash_Report_2026.04.xlsx (Q1 FY26 Flash A14:E14)</t>
      </text>
    </comment>
  </commentList>
</comments>
</file>

<file path=xl/comments2.xml><?xml version="1.0" encoding="utf-8"?>
<comments xmlns="http://schemas.openxmlformats.org/spreadsheetml/2006/main">
  <authors>
    <author>Compound</author>
  </authors>
  <commentList>
    <comment ref="C10" authorId="0">
      <text>
        <t xml:space="preserve">Appraisal Report - PHX I.pdf (page 4)</t>
      </text>
    </comment>
    <comment ref="C11" authorId="0">
      <text>
        <t xml:space="preserve">Appraisal Report - ATL I.pdf (page 4)</t>
      </text>
    </comment>
    <comment ref="C12" authorId="0">
      <text>
        <t xml:space="preserve">Appraisal Report - CMH I.pdf (page 4)</t>
      </text>
    </comment>
    <comment ref="C13" authorId="0">
      <text>
        <t xml:space="preserve">Appraisal Report - RNO I.pdf (page 4)</t>
      </text>
    </comment>
    <comment ref="C27" authorId="0">
      <text>
        <t xml:space="preserve">1.03 Cap_Table_Fully_Diluted_2026.03.31_vF.xlsx (Cap Table (FD) A18:E18)</t>
      </text>
    </comment>
    <comment ref="C28" authorId="0">
      <text>
        <t xml:space="preserve">1.03 Cap_Table_Fully_Diluted_2026.03.31_vF.xlsx (Cap Table (FD) A18:D18)</t>
      </text>
    </comment>
    <comment ref="C29" authorId="0">
      <text>
        <t xml:space="preserve">1.03 Cap_Table_Fully_Diluted_2026.03.31_vF.xlsx (Cap Table (FD) A6:F6)</t>
      </text>
    </comment>
    <comment ref="C37" authorId="0">
      <text>
        <t xml:space="preserve">Cited for C37:C38
1.03 Cap_Table_Fully_Diluted_2026.03.31_vF.xlsx (Issuance &amp; Distribution History A6:G6)</t>
      </text>
    </comment>
    <comment ref="C8" authorId="0">
      <text>
        <t xml:space="preserve">Appraisal Report - NOVA I.pdf (page 4)</t>
      </text>
    </comment>
    <comment ref="C9" authorId="0">
      <text>
        <t xml:space="preserve">Appraisal Report - DFW I.pdf (page 4)</t>
      </text>
    </comment>
    <comment ref="D22" authorId="0">
      <text>
        <t xml:space="preserve">Cited for C22:D25
1.03 Cap_Table_Fully_Diluted_2026.03.31_vF.xlsx (Distribution Waterfall A13:G16)</t>
      </text>
    </comment>
  </commentList>
</comments>
</file>

<file path=xl/sharedStrings.xml><?xml version="1.0" encoding="utf-8"?>
<sst xmlns="http://schemas.openxmlformats.org/spreadsheetml/2006/main" count="204" uniqueCount="204">
  <si>
    <t>Ironvale Digital Infrastructure: Q1 FY26 performance support for the LP update</t>
  </si>
  <si>
    <t>Illustrative: Ironvale Digital Infrastructure is a fictional company (PE Bench)</t>
  </si>
  <si>
    <t>US$ millions unless the row says otherwise. Quarter ended 31-Mar-2026. Actual and budget per the Q1 FY26 flash report (2.07); prior quarter per FY25 management accounts (2.05) and KPI dashboard (3.06).</t>
  </si>
  <si>
    <t>Q1 FY26 VS BUDGET, PRIOR QUARTER AND PRIOR YEAR</t>
  </si>
  <si>
    <t>Metric</t>
  </si>
  <si>
    <t>Total revenue</t>
  </si>
  <si>
    <t>Net operating income (NOI)</t>
  </si>
  <si>
    <t>Adjusted EBITDA</t>
  </si>
  <si>
    <t>Adjusted EBITDA margin (%)</t>
  </si>
  <si>
    <t>Net income (loss)</t>
  </si>
  <si>
    <t>Leased MW (period end)</t>
  </si>
  <si>
    <t>Commissioned MW (period end)</t>
  </si>
  <si>
    <t>Occupancy (%)</t>
  </si>
  <si>
    <t>Annualized billed base rent</t>
  </si>
  <si>
    <t>Fleet average PUE (x)</t>
  </si>
  <si>
    <t>Uptime (%)</t>
  </si>
  <si>
    <t>LTM retention, MW-weighted (%)</t>
  </si>
  <si>
    <t>DSO (days)</t>
  </si>
  <si>
    <t>PRIOR-QUARTER BUILD FROM MONTHLY MANAGEMENT ACCOUNTS</t>
  </si>
  <si>
    <t>Q4 FY25 total revenue</t>
  </si>
  <si>
    <t>Q4 FY25 NOI</t>
  </si>
  <si>
    <t>Q4 FY25 adjusted EBITDA</t>
  </si>
  <si>
    <t>Q3 FY25 total revenue (Jul to Sep)</t>
  </si>
  <si>
    <t>Q1 FY25 total revenue</t>
  </si>
  <si>
    <t>Q1 FY25 adjusted EBITDA</t>
  </si>
  <si>
    <t>BOARD DECK CHART VS MANAGEMENT ACCOUNTS</t>
  </si>
  <si>
    <t>Q1 FY26 revenue growth vs Q1 FY25 (%)</t>
  </si>
  <si>
    <t>CAPITAL DEPLOYMENT AND LEVERAGE (Q1 FY26)</t>
  </si>
  <si>
    <t>Development and maintenance capex</t>
  </si>
  <si>
    <t>Construction facility draws</t>
  </si>
  <si>
    <t>Distributions to members</t>
  </si>
  <si>
    <t>Net cash from operating activities</t>
  </si>
  <si>
    <t>Cash and cash equivalents, 31-Mar-26</t>
  </si>
  <si>
    <t>Term loan principal, 31-Mar-26</t>
  </si>
  <si>
    <t>Construction facilities drawn, 31-Mar-26</t>
  </si>
  <si>
    <t>Net debt (excl. lease liabilities), 31-Mar-26</t>
  </si>
  <si>
    <t>Net debt (excl. lease liabilities), 31-Dec-25</t>
  </si>
  <si>
    <t>FY25 adjusted EBITDA</t>
  </si>
  <si>
    <t>LTM adjusted EBITDA, Q1 FY26</t>
  </si>
  <si>
    <t/>
  </si>
  <si>
    <t>Covenant maximum net leverage (x)</t>
  </si>
  <si>
    <t>DEVELOPMENT AND FUNDING</t>
  </si>
  <si>
    <t>PHX II (60 MW)</t>
  </si>
  <si>
    <t>ATL II (36 MW)</t>
  </si>
  <si>
    <t>Capacity in flight</t>
  </si>
  <si>
    <t>Construction facility commitments (PHX II $450M + ATL II $150M)</t>
  </si>
  <si>
    <t>Undrawn construction facilities</t>
  </si>
  <si>
    <t>Remaining spend not covered by undrawn facilities</t>
  </si>
  <si>
    <t>PHX II owner contingency</t>
  </si>
  <si>
    <t>FY26 OUTLOOK</t>
  </si>
  <si>
    <t>NOI</t>
  </si>
  <si>
    <t>Commissioned MW, year end</t>
  </si>
  <si>
    <t>Leased MW, year end</t>
  </si>
  <si>
    <t>Development capex</t>
  </si>
  <si>
    <t>Q1 FY26 actual</t>
  </si>
  <si>
    <t>Oct-25 / Jan-25</t>
  </si>
  <si>
    <t>Board deck (10.06 p2)</t>
  </si>
  <si>
    <t>Value</t>
  </si>
  <si>
    <t>Budget</t>
  </si>
  <si>
    <t>FY26 budget</t>
  </si>
  <si>
    <t>Q1 FY26 budget</t>
  </si>
  <si>
    <t>Nov-25 / Feb-25</t>
  </si>
  <si>
    <t>Mgmt accounts</t>
  </si>
  <si>
    <t>Spent to 31-Mar-26</t>
  </si>
  <si>
    <t>Var vs budget</t>
  </si>
  <si>
    <t>Dec-25 / Mar-25</t>
  </si>
  <si>
    <t>Difference</t>
  </si>
  <si>
    <t>Remaining</t>
  </si>
  <si>
    <t>Q1 share of FY26 budget (%)</t>
  </si>
  <si>
    <t>Var vs budget %</t>
  </si>
  <si>
    <t>Quarter</t>
  </si>
  <si>
    <t>% spent</t>
  </si>
  <si>
    <t>Q4 FY25</t>
  </si>
  <si>
    <t>Var vs Q4 %</t>
  </si>
  <si>
    <t>Q1 FY25</t>
  </si>
  <si>
    <t>Var vs Q1 FY25 %</t>
  </si>
  <si>
    <t>Source (document, cell)</t>
  </si>
  <si>
    <t>2.07 Flash B10:E10; Q4 FY25 = 2.05 P&amp;L (Monthly) K10:M10</t>
  </si>
  <si>
    <t>2.07 Flash B14:E14; Q4 FY25 = 2.05 P&amp;L (Monthly) K14:M14</t>
  </si>
  <si>
    <t>2.07 Flash B17:E17; Q4 FY25 = 2.05 P&amp;L (Monthly) K17:M17</t>
  </si>
  <si>
    <t>Computed</t>
  </si>
  <si>
    <t>2.09 Q1 FY26 IS B22; FY25 full year 2.04 2025 IS B22</t>
  </si>
  <si>
    <t>2.07 Flash B21:E21; Q4 FY25 = 3.06 KPI Dashboard J4</t>
  </si>
  <si>
    <t>2.07 Flash B20:E20; Q4 FY25 = 3.06 KPI Dashboard J5</t>
  </si>
  <si>
    <t>3.06 KPI Dashboard row 7 (quarter billed base rent x 4)</t>
  </si>
  <si>
    <t>3.06 KPI Dashboard row 9</t>
  </si>
  <si>
    <t>3.06 KPI Dashboard row 10</t>
  </si>
  <si>
    <t>3.06 KPI Dashboard row 11</t>
  </si>
  <si>
    <t>3.06 KPI Dashboard row 12</t>
  </si>
  <si>
    <t>2.05 P&amp;L (Monthly) K10:M10</t>
  </si>
  <si>
    <t>2.05 P&amp;L (Monthly) K14:M14</t>
  </si>
  <si>
    <t>2.05 P&amp;L (Monthly) K17:M17</t>
  </si>
  <si>
    <t>2.05 P&amp;L (Monthly) H10:J10</t>
  </si>
  <si>
    <t>2.05 P&amp;L (Monthly) B10:D10</t>
  </si>
  <si>
    <t>2.05 P&amp;L (Monthly) B17:D17</t>
  </si>
  <si>
    <t>10.06 p2 chart; 2.05 P&amp;L (Monthly)</t>
  </si>
  <si>
    <t>10.06 p2 headline (+17.1%); computed</t>
  </si>
  <si>
    <t>Source (document, cell or page)</t>
  </si>
  <si>
    <t>2.09 Q1 FY26 CF B22</t>
  </si>
  <si>
    <t>2.09 Q1 FY26 CF B28</t>
  </si>
  <si>
    <t>2.09 Q1 FY26 CF B30</t>
  </si>
  <si>
    <t>2.09 Q1 FY26 CF B19</t>
  </si>
  <si>
    <t>2.09 Q1 FY26 BS B7</t>
  </si>
  <si>
    <t>2.03 p12 (principal $1,150.0M; amortization starts June 2026)</t>
  </si>
  <si>
    <t>2.09 Q1 FY26 BS B26</t>
  </si>
  <si>
    <t>Computed: term loan principal + construction facilities - cash (2.03 p12 definition)</t>
  </si>
  <si>
    <t>2.03 p12</t>
  </si>
  <si>
    <t>2.05 P&amp;L (Monthly) N17</t>
  </si>
  <si>
    <t>Computed: FY25 - Q1 FY25 + Q1 FY26</t>
  </si>
  <si>
    <t>Source (document, page)</t>
  </si>
  <si>
    <t>10.06 p3</t>
  </si>
  <si>
    <t>10.06 p6</t>
  </si>
  <si>
    <t>4.06 Budget by Division row 14</t>
  </si>
  <si>
    <t>2.06 P&amp;L C10; 10.04 p5</t>
  </si>
  <si>
    <t>2.06 P&amp;L C14; 10.04 p5</t>
  </si>
  <si>
    <t>2.06 P&amp;L C17; 10.04 p5</t>
  </si>
  <si>
    <t>2.06 Assumptions C7</t>
  </si>
  <si>
    <t>2.06 Assumptions C8</t>
  </si>
  <si>
    <t>2.06 Assumptions C24</t>
  </si>
  <si>
    <t>Ironvale Digital Infrastructure: illustrative valuation basis and value bridge, 31-Mar-2026</t>
  </si>
  <si>
    <t>US$ millions. No Fund IV carrying value is in the data room; this basis uses the six as-is campus appraisals effective 31-Mar-2026 plus capacity in flight at cost, less net debt, split through the cap table waterfall. Illustrative, not a fund mark.</t>
  </si>
  <si>
    <t>ILLUSTRATIVE EQUITY VALUE AT 31-MAR-2026</t>
  </si>
  <si>
    <t>Appraised value as is: NOVA I</t>
  </si>
  <si>
    <t>Appraised value as is: DFW I</t>
  </si>
  <si>
    <t>Appraised value as is: PHX I</t>
  </si>
  <si>
    <t>Appraised value as is: ATL I</t>
  </si>
  <si>
    <t>Appraised value as is: CMH I</t>
  </si>
  <si>
    <t>Appraised value as is: RNO I</t>
  </si>
  <si>
    <t>Appraised operating campuses</t>
  </si>
  <si>
    <t>Capacity in flight at cost (PHX II + ATL II)</t>
  </si>
  <si>
    <t>Gross asset value</t>
  </si>
  <si>
    <t>Less: net debt (excl. lease liabilities)</t>
  </si>
  <si>
    <t>Equity value, 100%</t>
  </si>
  <si>
    <t>CLASS B PROFITS INTERESTS AND FUND IV SHARE</t>
  </si>
  <si>
    <t>2019 grants</t>
  </si>
  <si>
    <t>2020 grants (illustrated at the 2019 threshold)</t>
  </si>
  <si>
    <t>2021 grants</t>
  </si>
  <si>
    <t>2021 to 2023 grants (illustrated at the 2023 threshold)</t>
  </si>
  <si>
    <t>Total Class B profits interests</t>
  </si>
  <si>
    <t>Fully diluted units</t>
  </si>
  <si>
    <t>Class A units</t>
  </si>
  <si>
    <t>Fund IV Class A units</t>
  </si>
  <si>
    <t>Class A value (equity less Class B)</t>
  </si>
  <si>
    <t>Fund IV share of Class A units (%)</t>
  </si>
  <si>
    <t>Fund IV share of equity value</t>
  </si>
  <si>
    <t>Founder and co-invest Class A value</t>
  </si>
  <si>
    <t>Fund IV fully diluted ownership (%)</t>
  </si>
  <si>
    <t>Halcyon 2019 investment (Fund IV and co-invest)</t>
  </si>
  <si>
    <t>Fund IV and co-invest Class A units</t>
  </si>
  <si>
    <t>Fund IV invested capital (derived pro rata to units)</t>
  </si>
  <si>
    <t>Fund IV value / invested capital (x, excludes distributions received)</t>
  </si>
  <si>
    <t>Appraised operating campuses / LTM adjusted EBITDA (x)</t>
  </si>
  <si>
    <t>VALUE BRIDGE: APPRAISED CAMPUSES TO FUND IV SHARE</t>
  </si>
  <si>
    <t>Capacity in flight at cost</t>
  </si>
  <si>
    <t>Net debt</t>
  </si>
  <si>
    <t>Class B profits interests</t>
  </si>
  <si>
    <t>Founder and co-invest Class A</t>
  </si>
  <si>
    <t>Units</t>
  </si>
  <si>
    <t>Step</t>
  </si>
  <si>
    <t>Threshold</t>
  </si>
  <si>
    <t>Source (document, page or cell)</t>
  </si>
  <si>
    <t>Appraisal report NOVA I (7.08) p4</t>
  </si>
  <si>
    <t>Appraisal report DFW I (7.08) p4</t>
  </si>
  <si>
    <t>Appraisal report PHX I (7.08) p4</t>
  </si>
  <si>
    <t>Appraisal report ATL I (7.08) p4</t>
  </si>
  <si>
    <t>Appraisal report CMH I (7.08) p4</t>
  </si>
  <si>
    <t>Appraisal report RNO I (7.08) p4</t>
  </si>
  <si>
    <t>Performance tab, from board deck 10.06 p3, p6</t>
  </si>
  <si>
    <t>Performance tab; 2.03 p12 definition</t>
  </si>
  <si>
    <t>1.03 Distribution Waterfall F13:G16 (thresholds and units)</t>
  </si>
  <si>
    <t>Computed: max(0, equity - threshold) x units / FD units</t>
  </si>
  <si>
    <t>1.03 Cap Table (FD) D18</t>
  </si>
  <si>
    <t>1.03 Cap Table (FD) B18</t>
  </si>
  <si>
    <t>1.03 Cap Table (FD) B6</t>
  </si>
  <si>
    <t>1.03 Issuance &amp; Distribution History D6</t>
  </si>
  <si>
    <t>1.03 Issuance &amp; Distribution History E6</t>
  </si>
  <si>
    <t>Computed (assumes the $480.0M split pro rata to units)</t>
  </si>
  <si>
    <t>Check vs Fund IV value</t>
  </si>
  <si>
    <t>RECONCILIATION: EQUITY VALUE TO FUND IV'S 62.0% AND $1,967M</t>
  </si>
  <si>
    <t>Appraised operating campuses, as is, 31-Mar-26 (operating buildings only)</t>
  </si>
  <si>
    <t>Plus: development work in progress at cost (PHX II $412M + ATL II $96M)</t>
  </si>
  <si>
    <t>Gross value</t>
  </si>
  <si>
    <t>Less: net debt at 31-Mar-26 (term loan principal + construction facilities - cash)</t>
  </si>
  <si>
    <t>Fund IV at 62.0% fully diluted</t>
  </si>
  <si>
    <t>Class B at 9.0% fully diluted (pro rata, before thresholds)</t>
  </si>
  <si>
    <t>Class B actual value above thresholds</t>
  </si>
  <si>
    <t>Class B value below thresholds, reallocated to Class A</t>
  </si>
  <si>
    <t>Fund IV share of reallocation (62/91 of Class A)</t>
  </si>
  <si>
    <t>Check vs waterfall (row 33 / recomputed)</t>
  </si>
  <si>
    <t>Fund IV share of equity value (%)</t>
  </si>
  <si>
    <t>Fund IV value / invested capital (x)</t>
  </si>
  <si>
    <t>Campuses-only Class B tranches</t>
  </si>
  <si>
    <t>Incl. WIP at cost</t>
  </si>
  <si>
    <t>Campuses only</t>
  </si>
  <si>
    <t>Source / basis</t>
  </si>
  <si>
    <t>Appraisal reports (7.08) p4</t>
  </si>
  <si>
    <t>Board deck (10.06) p3, p6; book cost, not appraised</t>
  </si>
  <si>
    <t>Q1 FY26 BS (2.09); audited FY25 (2.03) p12</t>
  </si>
  <si>
    <t>1.03 Cap Table (FD) E6</t>
  </si>
  <si>
    <t>1.03 Cap Table (FD) row 18</t>
  </si>
  <si>
    <t>Rows 22-26 method</t>
  </si>
  <si>
    <t>Must be zero</t>
  </si>
  <si>
    <t>Net debt at 31-Mar-26 / LTM adjusted EBITDA, management definition (x)</t>
  </si>
  <si>
    <t>Computed; management-defined adjusted EBITDA (2.05, 2.07), not a buyer diligence figure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</si>
</sst>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;(#,##0.0)"/>
    <numFmt numFmtId="165" formatCode="0.0%;(0.0%)"/>
    <numFmt numFmtId="166" formatCode="0.00&quot;x&quot;"/>
    <numFmt numFmtId="167" formatCode="0.0000"/>
    <numFmt numFmtId="168" formatCode="#,##0.00;(#,##0.00)"/>
    <numFmt numFmtId="169" formatCode="0.0&quot;x&quot;"/>
    <numFmt numFmtId="170" formatCode="#,##0.0"/>
  </numFmts>
  <fonts count="14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0"/>
      <color rgb="FF595959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b/>
      <sz val="10"/>
      <color rgb="FF7F7F7F"/>
      <name val="Arial"/>
      <family val="2"/>
    </font>
    <font>
      <sz val="10"/>
      <color rgb="FF7F7F7F"/>
      <name val="Arial"/>
      <family val="2"/>
    </font>
    <font>
      <b/>
      <i/>
      <sz val="10"/>
      <color rgb="FF7F7F7F"/>
      <name val="Arial"/>
      <family val="2"/>
    </font>
    <font>
      <i/>
      <sz val="10"/>
      <color rgb="FF7F7F7F"/>
      <name val="Arial"/>
      <family val="2"/>
    </font>
    <font>
      <sz val="10"/>
      <color rgb="FF008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</borders>
  <cellStyleXfs count="1">
    <xf borderId="0" fillId="0" fontId="0" numFmtId="0" applyAlignment="1" applyFont="1" applyFill="1"/>
  </cellStyleXfs>
  <cellXfs count="43">
    <xf xfId="0" borderId="0" fillId="0" fontId="0" numFmtId="0"/>
    <xf xfId="0" borderId="0" fillId="0" fontId="1" numFmtId="0" applyFont="1"/>
    <xf xfId="0" borderId="0" fillId="0" fontId="2" numFmtId="0" applyFont="1"/>
    <xf xfId="0" borderId="0" fillId="0" fontId="3" numFmtId="0" applyFont="1"/>
    <xf xfId="0" borderId="0" fillId="0" fontId="4" numFmtId="0" applyFont="1"/>
    <xf xfId="0" borderId="0" fillId="2" fontId="6" numFmtId="0" applyFont="1" applyFill="1"/>
    <xf xfId="0" borderId="1" fillId="0" fontId="1" numFmtId="0" applyAlignment="1" applyFont="1">
      <alignment wrapText="1" horizontal="center"/>
    </xf>
    <xf xfId="0" borderId="1" fillId="0" fontId="1" numFmtId="0" applyAlignment="1" applyFont="1">
      <alignment wrapText="1" horizontal="left"/>
    </xf>
    <xf xfId="0" borderId="0" fillId="0" fontId="0" numFmtId="164"/>
    <xf xfId="0" borderId="0" fillId="0" fontId="0" numFmtId="165"/>
    <xf xfId="0" borderId="0" fillId="0" fontId="0" numFmtId="166"/>
    <xf xfId="0" borderId="0" fillId="0" fontId="0" numFmtId="167"/>
    <xf xfId="0" borderId="0" fillId="0" fontId="0" numFmtId="3"/>
    <xf xfId="0" borderId="0" fillId="0" fontId="0" numFmtId="168"/>
    <xf xfId="0" borderId="0" fillId="0" fontId="0" numFmtId="169"/>
    <xf xfId="0" borderId="0" fillId="0" fontId="1" numFmtId="164" applyFont="1"/>
    <xf xfId="0" borderId="0" fillId="0" fontId="1" numFmtId="165" applyFont="1"/>
    <xf xfId="0" borderId="0" fillId="0" fontId="1" numFmtId="168" applyFont="1"/>
    <xf xfId="0" borderId="2" fillId="0" fontId="1" numFmtId="0" applyFont="1"/>
    <xf xfId="0" borderId="2" fillId="0" fontId="1" numFmtId="164" applyFont="1"/>
    <xf xfId="0" borderId="2" fillId="0" fontId="1" numFmtId="165" applyFont="1"/>
    <xf xfId="0" borderId="0" fillId="0" fontId="7" numFmtId="164" applyFont="1"/>
    <xf xfId="0" borderId="0" fillId="0" fontId="8" numFmtId="164" applyFont="1"/>
    <xf xfId="0" borderId="2" fillId="0" fontId="7" numFmtId="164" applyFont="1"/>
    <xf xfId="0" borderId="0" fillId="0" fontId="8" numFmtId="166" applyFont="1"/>
    <xf xfId="0" borderId="0" fillId="0" fontId="8" numFmtId="167" applyFont="1"/>
    <xf xfId="0" borderId="0" fillId="0" fontId="8" numFmtId="165" applyFont="1"/>
    <xf xfId="0" borderId="0" fillId="0" fontId="8" numFmtId="3" applyFont="1"/>
    <xf xfId="0" borderId="0" fillId="0" fontId="7" numFmtId="168" applyFont="1"/>
    <xf xfId="0" borderId="0" fillId="0" fontId="8" numFmtId="168" applyFont="1"/>
    <xf xfId="0" borderId="0" fillId="0" fontId="8" numFmtId="169" applyFont="1"/>
    <xf xfId="0" borderId="1" fillId="0" fontId="11" numFmtId="0" applyAlignment="1" applyFont="1">
      <alignment wrapText="1" horizontal="center"/>
    </xf>
    <xf xfId="0" borderId="0" fillId="0" fontId="12" numFmtId="0" applyFont="1"/>
    <xf xfId="0" borderId="0" fillId="2" fontId="11" numFmtId="0" applyFont="1" applyFill="1"/>
    <xf xfId="0" borderId="0" fillId="0" fontId="4" numFmtId="0" applyAlignment="1" applyFont="1"/>
    <xf xfId="0" borderId="0" fillId="0" fontId="0" numFmtId="170"/>
    <xf xfId="0" borderId="2" fillId="0" fontId="1" numFmtId="3" applyFont="1"/>
    <xf xfId="0" borderId="0" fillId="0" fontId="8" numFmtId="170" applyFont="1"/>
    <xf xfId="0" borderId="0" fillId="0" fontId="13" numFmtId="164" applyFont="1"/>
    <xf xfId="0" borderId="1" fillId="0" fontId="7" numFmtId="164" applyAlignment="1" applyFont="1">
      <alignment wrapText="1" horizontal="right"/>
    </xf>
    <xf xfId="0" borderId="1" fillId="0" fontId="1" numFmtId="164" applyAlignment="1" applyFont="1">
      <alignment wrapText="1" horizontal="right"/>
    </xf>
    <xf xfId="0" borderId="1" fillId="0" fontId="1" numFmtId="0" applyAlignment="1" applyFont="1">
      <alignment horizontal="center"/>
    </xf>
    <xf xfId="0" borderId="1" fillId="0" fontId="11" numFmt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comments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comments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71"/>
  <sheetViews>
    <sheetView showGridLines="0" tabSelected="1" workbookViewId="0">
      <selection activeCell="A1" sqref="A1"/>
    </sheetView>
  </sheetViews>
  <cols>
    <col min="1" max="1" width="2.21875" customWidth="1"/>
    <col min="2" max="2" width="57.07421875" customWidth="1"/>
    <col min="3" max="9" width="14.7890625" customWidth="1"/>
    <col min="10" max="10" width="15.9296875" customWidth="1"/>
    <col min="11" max="11" width="62.7890625" customWidth="1"/>
  </cols>
  <sheetData>
    <row r="2">
      <c r="B2" t="s" s="2">
        <v>0</v>
      </c>
    </row>
    <row r="3">
      <c r="B3" t="s" s="3">
        <v>1</v>
      </c>
    </row>
    <row r="4">
      <c r="B4" t="s" s="34">
        <v>2</v>
      </c>
    </row>
    <row r="6">
      <c r="B6" t="s" s="5">
        <v>3</v>
      </c>
      <c r="C6" s="5"/>
      <c r="D6" s="5"/>
      <c r="E6" s="5"/>
      <c r="F6" s="5"/>
      <c r="G6" s="5"/>
      <c r="H6" s="5"/>
      <c r="I6" s="5"/>
      <c r="J6" s="5"/>
      <c r="K6" s="5"/>
    </row>
    <row r="7">
      <c r="B7" t="s" s="7">
        <v>4</v>
      </c>
      <c r="C7" t="s" s="6">
        <v>54</v>
      </c>
      <c r="D7" t="s" s="6">
        <v>60</v>
      </c>
      <c r="E7" t="s" s="6">
        <v>64</v>
      </c>
      <c r="F7" t="s" s="6">
        <v>69</v>
      </c>
      <c r="G7" t="s" s="6">
        <v>72</v>
      </c>
      <c r="H7" t="s" s="6">
        <v>73</v>
      </c>
      <c r="I7" t="s" s="6">
        <v>74</v>
      </c>
      <c r="J7" t="s" s="6">
        <v>75</v>
      </c>
      <c r="K7" t="s" s="31">
        <v>76</v>
      </c>
    </row>
    <row r="8">
      <c r="B8" t="s" s="1">
        <v>5</v>
      </c>
      <c r="C8" s="21">
        <v>113</v>
      </c>
      <c r="D8" s="21">
        <v>111.5</v>
      </c>
      <c r="E8" s="15">
        <f>C8-D8</f>
        <v>1.5</v>
      </c>
      <c r="F8" s="16">
        <f>E8/D8</f>
        <v>0.013452914798206279</v>
      </c>
      <c r="G8" s="15">
        <f>F24</f>
        <v>104.41</v>
      </c>
      <c r="H8" s="16">
        <f>C8/G8-1</f>
        <v>0.08227181304472753</v>
      </c>
      <c r="I8" s="21">
        <v>94.2</v>
      </c>
      <c r="J8" s="16">
        <f>C8/I8-1</f>
        <v>0.1995753715498938</v>
      </c>
      <c r="K8" t="s" s="32">
        <v>77</v>
      </c>
    </row>
    <row r="9">
      <c r="B9" t="s">
        <v>6</v>
      </c>
      <c r="C9" s="22">
        <v>67.5</v>
      </c>
      <c r="D9" s="22">
        <v>66.8</v>
      </c>
      <c r="E9" s="8">
        <f>C9-D9</f>
        <v>0.7000000000000028</v>
      </c>
      <c r="F9" s="9">
        <f>E9/D9</f>
        <v>0.010479041916167707</v>
      </c>
      <c r="G9" s="8">
        <f>F25</f>
        <v>64.17</v>
      </c>
      <c r="H9" s="9">
        <f>C9/G9-1</f>
        <v>0.05189340813464227</v>
      </c>
      <c r="I9" s="22">
        <v>56.5</v>
      </c>
      <c r="J9" s="9">
        <f>C9/I9-1</f>
        <v>0.19469026548672574</v>
      </c>
      <c r="K9" t="s" s="32">
        <v>78</v>
      </c>
    </row>
    <row r="10">
      <c r="B10" t="s" s="18">
        <v>7</v>
      </c>
      <c r="C10" s="23">
        <v>62</v>
      </c>
      <c r="D10" s="23">
        <v>61.2</v>
      </c>
      <c r="E10" s="19">
        <f>C10-D10</f>
        <v>0.7999999999999972</v>
      </c>
      <c r="F10" s="20">
        <f>E10/D10</f>
        <v>0.013071895424836555</v>
      </c>
      <c r="G10" s="19">
        <f>F26</f>
        <v>57.65</v>
      </c>
      <c r="H10" s="20">
        <f>C10/G10-1</f>
        <v>0.07545533391153514</v>
      </c>
      <c r="I10" s="23">
        <v>50.4</v>
      </c>
      <c r="J10" s="20">
        <f>C10/I10-1</f>
        <v>0.23015873015873023</v>
      </c>
      <c r="K10" t="s" s="32">
        <v>79</v>
      </c>
    </row>
    <row r="11">
      <c r="B11" t="s">
        <v>8</v>
      </c>
      <c r="C11" s="9">
        <f>C10/C8</f>
        <v>0.5486725663716814</v>
      </c>
      <c r="D11" s="9">
        <f>D10/D8</f>
        <v>0.5488789237668161</v>
      </c>
      <c r="E11" s="9">
        <f>C11-D11</f>
        <v>-0.0002063573951347486</v>
      </c>
      <c r="F11" s="9"/>
      <c r="G11" s="9">
        <f>G10/G8</f>
        <v>0.5521501771860933</v>
      </c>
      <c r="H11" s="9"/>
      <c r="I11" s="9">
        <f>I10/I8</f>
        <v>0.535031847133758</v>
      </c>
      <c r="J11" s="9"/>
      <c r="K11" t="s" s="32">
        <v>80</v>
      </c>
    </row>
    <row r="12">
      <c r="B12" t="s">
        <v>9</v>
      </c>
      <c r="C12" s="22">
        <v>0.4</v>
      </c>
      <c r="D12" s="8"/>
      <c r="E12" s="8"/>
      <c r="F12" s="8"/>
      <c r="G12" s="8"/>
      <c r="H12" s="8"/>
      <c r="I12" s="22">
        <v>-2.1</v>
      </c>
      <c r="J12" s="9"/>
      <c r="K12" t="s" s="32">
        <v>81</v>
      </c>
    </row>
    <row r="13">
      <c r="B13" t="s">
        <v>10</v>
      </c>
      <c r="C13" s="22">
        <v>202.2</v>
      </c>
      <c r="D13" s="22">
        <v>201</v>
      </c>
      <c r="E13" s="8">
        <f>C13-D13</f>
        <v>1.1999999999999886</v>
      </c>
      <c r="F13" s="8"/>
      <c r="G13" s="22">
        <v>200.65</v>
      </c>
      <c r="H13" s="9">
        <f>C13/G13-1</f>
        <v>0.007724894094193857</v>
      </c>
      <c r="I13" s="22">
        <v>188.6</v>
      </c>
      <c r="J13" s="9">
        <f>C13/I13-1</f>
        <v>0.07211028632025451</v>
      </c>
      <c r="K13" t="s" s="32">
        <v>82</v>
      </c>
    </row>
    <row r="14">
      <c r="B14" t="s">
        <v>11</v>
      </c>
      <c r="C14" s="22">
        <v>220</v>
      </c>
      <c r="D14" s="22">
        <v>220</v>
      </c>
      <c r="E14" s="8"/>
      <c r="F14" s="8"/>
      <c r="G14" s="22">
        <v>220</v>
      </c>
      <c r="H14" s="8"/>
      <c r="I14" s="22">
        <v>214</v>
      </c>
      <c r="J14" s="9"/>
      <c r="K14" t="s" s="32">
        <v>83</v>
      </c>
    </row>
    <row r="15">
      <c r="B15" t="s">
        <v>12</v>
      </c>
      <c r="C15" s="9">
        <f>C13/C14</f>
        <v>0.9190909090909091</v>
      </c>
      <c r="D15" s="9">
        <f>D13/D14</f>
        <v>0.9136363636363637</v>
      </c>
      <c r="E15" s="9">
        <f>C15-D15</f>
        <v>0.005454545454545379</v>
      </c>
      <c r="F15" s="9"/>
      <c r="G15" s="9">
        <f>G13/G14</f>
        <v>0.9120454545454546</v>
      </c>
      <c r="H15" s="9"/>
      <c r="I15" s="9">
        <f>I13/I14</f>
        <v>0.8813084112149533</v>
      </c>
      <c r="J15" s="9"/>
      <c r="K15" t="s" s="32">
        <v>80</v>
      </c>
    </row>
    <row r="16">
      <c r="B16" t="s">
        <v>13</v>
      </c>
      <c r="C16" s="22">
        <v>331.6</v>
      </c>
      <c r="D16" s="8"/>
      <c r="E16" s="8"/>
      <c r="F16" s="8"/>
      <c r="G16" s="22">
        <v>312.9</v>
      </c>
      <c r="H16" s="9">
        <f>C16/G16-1</f>
        <v>0.05976350271652309</v>
      </c>
      <c r="I16" s="22">
        <v>296</v>
      </c>
      <c r="J16" s="9">
        <f>C16/I16-1</f>
        <v>0.12027027027027026</v>
      </c>
      <c r="K16" t="s" s="32">
        <v>84</v>
      </c>
    </row>
    <row r="17">
      <c r="B17" t="s">
        <v>14</v>
      </c>
      <c r="C17" s="24">
        <v>1.29</v>
      </c>
      <c r="D17" s="10"/>
      <c r="E17" s="10"/>
      <c r="F17" s="10"/>
      <c r="G17" s="24">
        <v>1.29</v>
      </c>
      <c r="H17" s="10"/>
      <c r="I17" s="24">
        <v>1.31</v>
      </c>
      <c r="K17" t="s" s="32">
        <v>85</v>
      </c>
    </row>
    <row r="18">
      <c r="B18" t="s">
        <v>15</v>
      </c>
      <c r="C18" s="25">
        <v>99.9996</v>
      </c>
      <c r="D18" s="11"/>
      <c r="E18" s="11"/>
      <c r="F18" s="11"/>
      <c r="G18" s="25">
        <v>99.9995</v>
      </c>
      <c r="H18" s="11"/>
      <c r="I18" s="25">
        <v>99.9996</v>
      </c>
      <c r="K18" t="s" s="32">
        <v>86</v>
      </c>
    </row>
    <row r="19">
      <c r="B19" t="s">
        <v>16</v>
      </c>
      <c r="C19" s="26">
        <v>0.913</v>
      </c>
      <c r="D19" s="9"/>
      <c r="E19" s="9"/>
      <c r="F19" s="9"/>
      <c r="G19" s="26">
        <v>0.91</v>
      </c>
      <c r="H19" s="9"/>
      <c r="I19" s="26">
        <v>0.904</v>
      </c>
      <c r="K19" t="s" s="32">
        <v>87</v>
      </c>
    </row>
    <row r="20">
      <c r="B20" t="s">
        <v>17</v>
      </c>
      <c r="C20" s="27">
        <v>19</v>
      </c>
      <c r="D20" s="12"/>
      <c r="E20" s="12"/>
      <c r="F20" s="12"/>
      <c r="G20" s="27">
        <v>19</v>
      </c>
      <c r="H20" s="12"/>
      <c r="I20" s="27">
        <v>22</v>
      </c>
      <c r="K20" t="s" s="32">
        <v>88</v>
      </c>
    </row>
    <row r="21">
      <c r="K21" s="32"/>
    </row>
    <row r="22">
      <c r="B22" t="s" s="5">
        <v>18</v>
      </c>
      <c r="C22" s="5"/>
      <c r="D22" s="5"/>
      <c r="E22" s="5"/>
      <c r="F22" s="5"/>
      <c r="G22" s="5"/>
      <c r="H22" s="5"/>
      <c r="I22" s="5"/>
      <c r="J22" s="5"/>
      <c r="K22" s="33"/>
    </row>
    <row r="23">
      <c r="B23" s="7"/>
      <c r="C23" t="s" s="6">
        <v>55</v>
      </c>
      <c r="D23" t="s" s="6">
        <v>61</v>
      </c>
      <c r="E23" t="s" s="6">
        <v>65</v>
      </c>
      <c r="F23" t="s" s="6">
        <v>70</v>
      </c>
      <c r="G23" s="6"/>
      <c r="H23" s="6"/>
      <c r="I23" s="6"/>
      <c r="J23" s="6"/>
      <c r="K23" t="s" s="31">
        <v>76</v>
      </c>
    </row>
    <row r="24">
      <c r="B24" t="s" s="1">
        <v>19</v>
      </c>
      <c r="C24" s="28">
        <v>35.18</v>
      </c>
      <c r="D24" s="28">
        <v>34.52</v>
      </c>
      <c r="E24" s="28">
        <v>34.71</v>
      </c>
      <c r="F24" s="17">
        <f>SUM(C24:E24)</f>
        <v>104.41</v>
      </c>
      <c r="G24" s="1"/>
      <c r="H24" s="1"/>
      <c r="I24" s="1"/>
      <c r="J24" s="1"/>
      <c r="K24" t="s" s="32">
        <v>89</v>
      </c>
    </row>
    <row r="25">
      <c r="B25" t="s">
        <v>20</v>
      </c>
      <c r="C25" s="29">
        <v>21.39</v>
      </c>
      <c r="D25" s="29">
        <v>21.29</v>
      </c>
      <c r="E25" s="29">
        <v>21.49</v>
      </c>
      <c r="F25" s="13">
        <f>SUM(C25:E25)</f>
        <v>64.17</v>
      </c>
      <c r="K25" t="s" s="32">
        <v>90</v>
      </c>
    </row>
    <row r="26">
      <c r="B26" t="s">
        <v>21</v>
      </c>
      <c r="C26" s="29">
        <v>19.41</v>
      </c>
      <c r="D26" s="29">
        <v>19.16</v>
      </c>
      <c r="E26" s="29">
        <v>19.08</v>
      </c>
      <c r="F26" s="13">
        <f>SUM(C26:E26)</f>
        <v>57.65</v>
      </c>
      <c r="K26" t="s" s="32">
        <v>91</v>
      </c>
    </row>
    <row r="27">
      <c r="B27" t="s">
        <v>22</v>
      </c>
      <c r="C27" s="29">
        <v>37.32</v>
      </c>
      <c r="D27" s="29">
        <v>37.4</v>
      </c>
      <c r="E27" s="29">
        <v>36.22</v>
      </c>
      <c r="F27" s="13">
        <f>SUM(C27:E27)</f>
        <v>110.94</v>
      </c>
      <c r="K27" t="s" s="32">
        <v>92</v>
      </c>
    </row>
    <row r="28">
      <c r="B28" t="s">
        <v>23</v>
      </c>
      <c r="C28" s="29">
        <v>31</v>
      </c>
      <c r="D28" s="29">
        <v>31.2</v>
      </c>
      <c r="E28" s="29">
        <v>31.95</v>
      </c>
      <c r="F28" s="13">
        <f>SUM(C28:E28)</f>
        <v>94.15</v>
      </c>
      <c r="K28" t="s" s="32">
        <v>93</v>
      </c>
    </row>
    <row r="29">
      <c r="B29" t="s">
        <v>24</v>
      </c>
      <c r="C29" s="29">
        <v>16.5</v>
      </c>
      <c r="D29" s="29">
        <v>16.71</v>
      </c>
      <c r="E29" s="29">
        <v>17.19</v>
      </c>
      <c r="F29" s="13">
        <f>SUM(C29:E29)</f>
        <v>50.400000000000006</v>
      </c>
      <c r="K29" t="s" s="32">
        <v>94</v>
      </c>
    </row>
    <row r="30">
      <c r="K30" s="32"/>
    </row>
    <row r="31">
      <c r="B31" t="s" s="5">
        <v>25</v>
      </c>
      <c r="C31" s="5"/>
      <c r="D31" s="5"/>
      <c r="E31" s="5"/>
      <c r="F31" s="5"/>
      <c r="G31" s="5"/>
      <c r="H31" s="5"/>
      <c r="I31" s="5"/>
      <c r="J31" s="5"/>
      <c r="K31" s="33"/>
    </row>
    <row r="32">
      <c r="B32" s="7"/>
      <c r="C32" t="s" s="6">
        <v>56</v>
      </c>
      <c r="D32" t="s" s="6">
        <v>62</v>
      </c>
      <c r="E32" t="s" s="6">
        <v>66</v>
      </c>
      <c r="F32" s="6"/>
      <c r="G32" s="6"/>
      <c r="H32" s="6"/>
      <c r="I32" s="6"/>
      <c r="J32" s="6"/>
      <c r="K32" s="31"/>
    </row>
    <row r="33">
      <c r="B33" t="s">
        <v>23</v>
      </c>
      <c r="C33" s="22">
        <v>96.5</v>
      </c>
      <c r="D33" s="8">
        <f>F28</f>
        <v>94.15</v>
      </c>
      <c r="E33" s="8">
        <f>C33-D33</f>
        <v>2.3499999999999943</v>
      </c>
      <c r="K33" t="s" s="32">
        <v>95</v>
      </c>
    </row>
    <row r="34">
      <c r="B34" t="s">
        <v>19</v>
      </c>
      <c r="C34" s="22">
        <v>108.7</v>
      </c>
      <c r="D34" s="8">
        <f>F24</f>
        <v>104.41</v>
      </c>
      <c r="E34" s="8">
        <f>C34-D34</f>
        <v>4.290000000000006</v>
      </c>
      <c r="K34" t="s" s="32">
        <v>95</v>
      </c>
    </row>
    <row r="35">
      <c r="B35" t="s">
        <v>26</v>
      </c>
      <c r="C35" s="26">
        <v>0.171</v>
      </c>
      <c r="D35" s="9">
        <f>C8/D33-1</f>
        <v>0.20021242697822617</v>
      </c>
      <c r="E35" s="9">
        <f>C35-D35</f>
        <v>-0.029212426978226153</v>
      </c>
      <c r="K35" t="s" s="32">
        <v>96</v>
      </c>
    </row>
    <row r="36">
      <c r="K36" s="32"/>
    </row>
    <row r="37">
      <c r="B37" t="s" s="5">
        <v>27</v>
      </c>
      <c r="C37" s="5"/>
      <c r="D37" s="5"/>
      <c r="E37" s="5"/>
      <c r="F37" s="5"/>
      <c r="G37" s="5"/>
      <c r="H37" s="5"/>
      <c r="I37" s="5"/>
      <c r="J37" s="5"/>
      <c r="K37" s="33"/>
    </row>
    <row r="38">
      <c r="B38" s="7"/>
      <c r="C38" t="s" s="6">
        <v>57</v>
      </c>
      <c r="D38" s="6"/>
      <c r="E38" s="6"/>
      <c r="F38" s="6"/>
      <c r="G38" s="6"/>
      <c r="H38" s="6"/>
      <c r="I38" s="6"/>
      <c r="J38" s="6"/>
      <c r="K38" t="s" s="31">
        <v>97</v>
      </c>
    </row>
    <row r="39">
      <c r="B39" t="s">
        <v>28</v>
      </c>
      <c r="C39" s="22">
        <v>-75.7</v>
      </c>
      <c r="K39" t="s" s="32">
        <v>98</v>
      </c>
    </row>
    <row r="40">
      <c r="B40" t="s">
        <v>29</v>
      </c>
      <c r="C40" s="22">
        <v>65</v>
      </c>
      <c r="K40" t="s" s="32">
        <v>99</v>
      </c>
    </row>
    <row r="41">
      <c r="B41" t="s">
        <v>30</v>
      </c>
      <c r="C41" s="22">
        <v>-19.4</v>
      </c>
      <c r="K41" t="s" s="32">
        <v>100</v>
      </c>
    </row>
    <row r="42">
      <c r="B42" t="s">
        <v>31</v>
      </c>
      <c r="C42" s="22">
        <v>38.1</v>
      </c>
      <c r="K42" t="s" s="32">
        <v>101</v>
      </c>
    </row>
    <row r="43">
      <c r="B43" t="s">
        <v>32</v>
      </c>
      <c r="C43" s="22">
        <v>91.2</v>
      </c>
      <c r="K43" t="s" s="32">
        <v>102</v>
      </c>
    </row>
    <row r="44">
      <c r="B44" t="s">
        <v>33</v>
      </c>
      <c r="C44" s="22">
        <v>1150</v>
      </c>
      <c r="K44" t="s" s="32">
        <v>103</v>
      </c>
    </row>
    <row r="45">
      <c r="B45" t="s">
        <v>34</v>
      </c>
      <c r="C45" s="22">
        <v>485</v>
      </c>
      <c r="K45" t="s" s="32">
        <v>104</v>
      </c>
    </row>
    <row r="46">
      <c r="B46" t="s" s="1">
        <v>35</v>
      </c>
      <c r="C46" s="15">
        <f>C44+C45-C43</f>
        <v>1543.8</v>
      </c>
      <c r="D46" s="1"/>
      <c r="E46" s="1"/>
      <c r="F46" s="1"/>
      <c r="G46" s="1"/>
      <c r="H46" s="1"/>
      <c r="I46" s="1"/>
      <c r="J46" s="1"/>
      <c r="K46" t="s" s="32">
        <v>105</v>
      </c>
    </row>
    <row r="47">
      <c r="B47" t="s">
        <v>36</v>
      </c>
      <c r="C47" s="22">
        <v>1485</v>
      </c>
      <c r="K47" t="s" s="32">
        <v>106</v>
      </c>
    </row>
    <row r="48">
      <c r="B48" t="s">
        <v>37</v>
      </c>
      <c r="C48" s="22">
        <v>224</v>
      </c>
      <c r="K48" t="s" s="32">
        <v>107</v>
      </c>
    </row>
    <row r="49">
      <c r="B49" t="s" s="1">
        <v>38</v>
      </c>
      <c r="C49" s="15">
        <f>C48-F29+C10</f>
        <v>235.6</v>
      </c>
      <c r="D49" s="1"/>
      <c r="E49" s="1"/>
      <c r="F49" s="1"/>
      <c r="G49" s="1"/>
      <c r="H49" s="1"/>
      <c r="I49" s="1"/>
      <c r="J49" s="1"/>
      <c r="K49" t="s" s="32">
        <v>108</v>
      </c>
    </row>
    <row r="50">
      <c r="B50" t="s">
        <v>202</v>
      </c>
      <c r="C50" s="14">
        <f>C46/C49</f>
        <v>6.552631578947368</v>
      </c>
      <c r="K50" t="s" s="32">
        <v>203</v>
      </c>
    </row>
    <row r="51">
      <c r="B51" t="s">
        <v>40</v>
      </c>
      <c r="C51" s="30">
        <v>7.5</v>
      </c>
      <c r="K51" t="s" s="32">
        <v>106</v>
      </c>
    </row>
    <row r="52">
      <c r="K52" s="32"/>
    </row>
    <row r="53">
      <c r="B53" t="s" s="5">
        <v>41</v>
      </c>
      <c r="C53" s="5"/>
      <c r="D53" s="5"/>
      <c r="E53" s="5"/>
      <c r="F53" s="5"/>
      <c r="G53" s="5"/>
      <c r="H53" s="5"/>
      <c r="I53" s="5"/>
      <c r="J53" s="5"/>
      <c r="K53" s="33"/>
    </row>
    <row r="54">
      <c r="B54" s="7"/>
      <c r="C54" t="s" s="6">
        <v>58</v>
      </c>
      <c r="D54" t="s" s="6">
        <v>63</v>
      </c>
      <c r="E54" t="s" s="6">
        <v>67</v>
      </c>
      <c r="F54" t="s" s="6">
        <v>71</v>
      </c>
      <c r="G54" s="6"/>
      <c r="H54" s="6"/>
      <c r="I54" s="6"/>
      <c r="J54" s="6"/>
      <c r="K54" t="s" s="31">
        <v>109</v>
      </c>
    </row>
    <row r="55">
      <c r="B55" t="s">
        <v>42</v>
      </c>
      <c r="C55" s="22">
        <v>618</v>
      </c>
      <c r="D55" s="22">
        <v>412</v>
      </c>
      <c r="E55" s="8">
        <f>C55-D55</f>
        <v>206</v>
      </c>
      <c r="F55" s="9">
        <f>D55/C55</f>
        <v>0.6666666666666666</v>
      </c>
      <c r="K55" t="s" s="32">
        <v>110</v>
      </c>
    </row>
    <row r="56">
      <c r="B56" t="s">
        <v>43</v>
      </c>
      <c r="C56" s="22">
        <v>370</v>
      </c>
      <c r="D56" s="22">
        <v>96</v>
      </c>
      <c r="E56" s="8">
        <f>C56-D56</f>
        <v>274</v>
      </c>
      <c r="F56" s="9">
        <f>D56/C56</f>
        <v>0.2594594594594595</v>
      </c>
      <c r="K56" t="s" s="32">
        <v>111</v>
      </c>
    </row>
    <row r="57">
      <c r="B57" t="s" s="18">
        <v>44</v>
      </c>
      <c r="C57" s="19">
        <f>C55+C56</f>
        <v>988</v>
      </c>
      <c r="D57" s="19">
        <f>D55+D56</f>
        <v>508</v>
      </c>
      <c r="E57" s="19">
        <f>E55+E56</f>
        <v>480</v>
      </c>
      <c r="F57" s="20">
        <f>D57/C57</f>
        <v>0.5141700404858299</v>
      </c>
      <c r="G57" s="18"/>
      <c r="H57" s="18"/>
      <c r="I57" s="18"/>
      <c r="J57" s="18"/>
      <c r="K57" t="s" s="32">
        <v>80</v>
      </c>
    </row>
    <row r="58">
      <c r="B58" t="s">
        <v>45</v>
      </c>
      <c r="C58" s="22">
        <v>600</v>
      </c>
      <c r="D58" s="8"/>
      <c r="E58" s="8"/>
      <c r="K58" t="s" s="32">
        <v>106</v>
      </c>
    </row>
    <row r="59">
      <c r="B59" t="s">
        <v>46</v>
      </c>
      <c r="C59" s="8">
        <f>C58-C45</f>
        <v>115</v>
      </c>
      <c r="D59" s="8"/>
      <c r="E59" s="8"/>
      <c r="K59" t="s" s="32">
        <v>80</v>
      </c>
    </row>
    <row r="60">
      <c r="B60" t="s" s="1">
        <v>47</v>
      </c>
      <c r="C60" s="15">
        <f>E57-C59</f>
        <v>365</v>
      </c>
      <c r="D60" s="15"/>
      <c r="E60" s="15"/>
      <c r="F60" s="1"/>
      <c r="G60" s="1"/>
      <c r="H60" s="1"/>
      <c r="I60" s="1"/>
      <c r="J60" s="1"/>
      <c r="K60" t="s" s="32">
        <v>80</v>
      </c>
    </row>
    <row r="61">
      <c r="K61" s="32"/>
    </row>
    <row r="62">
      <c r="B62" t="s" s="7">
        <v>48</v>
      </c>
      <c r="C62" s="39">
        <v>14</v>
      </c>
      <c r="D62" s="39">
        <v>2.2</v>
      </c>
      <c r="E62" s="39">
        <v>4</v>
      </c>
      <c r="F62" s="40">
        <f>D62-E62</f>
        <v>-1.7999999999999998</v>
      </c>
      <c r="G62" s="6"/>
      <c r="H62" s="6"/>
      <c r="I62" s="6"/>
      <c r="J62" s="6"/>
      <c r="K62" t="s" s="31">
        <v>112</v>
      </c>
    </row>
    <row r="63">
      <c r="K63" s="32"/>
    </row>
    <row r="64">
      <c r="B64" t="s" s="5">
        <v>49</v>
      </c>
      <c r="C64" s="5"/>
      <c r="D64" s="5"/>
      <c r="E64" s="5"/>
      <c r="F64" s="5"/>
      <c r="G64" s="5"/>
      <c r="H64" s="5"/>
      <c r="I64" s="5"/>
      <c r="J64" s="5"/>
      <c r="K64" s="33"/>
    </row>
    <row r="65">
      <c r="B65" s="7"/>
      <c r="C65" t="s" s="6">
        <v>59</v>
      </c>
      <c r="D65" t="s" s="6">
        <v>54</v>
      </c>
      <c r="E65" t="s" s="6">
        <v>68</v>
      </c>
      <c r="F65" s="6"/>
      <c r="G65" s="6"/>
      <c r="H65" s="6"/>
      <c r="I65" s="6"/>
      <c r="J65" s="6"/>
      <c r="K65" t="s" s="31">
        <v>97</v>
      </c>
    </row>
    <row r="66">
      <c r="B66" t="s">
        <v>5</v>
      </c>
      <c r="C66" s="22">
        <v>486</v>
      </c>
      <c r="D66" s="8">
        <f>C8</f>
        <v>113</v>
      </c>
      <c r="E66" s="9">
        <f>D66/C66</f>
        <v>0.23251028806584362</v>
      </c>
      <c r="K66" t="s" s="32">
        <v>113</v>
      </c>
    </row>
    <row r="67">
      <c r="B67" t="s">
        <v>50</v>
      </c>
      <c r="C67" s="22">
        <v>293</v>
      </c>
      <c r="D67" s="8">
        <f>C9</f>
        <v>67.5</v>
      </c>
      <c r="E67" s="9">
        <f>D67/C67</f>
        <v>0.23037542662116042</v>
      </c>
      <c r="K67" t="s" s="32">
        <v>114</v>
      </c>
    </row>
    <row r="68">
      <c r="B68" t="s">
        <v>7</v>
      </c>
      <c r="C68" s="22">
        <v>272</v>
      </c>
      <c r="D68" s="8">
        <f>C10</f>
        <v>62</v>
      </c>
      <c r="E68" s="9">
        <f>D68/C68</f>
        <v>0.22794117647058823</v>
      </c>
      <c r="K68" t="s" s="32">
        <v>115</v>
      </c>
    </row>
    <row r="69">
      <c r="B69" t="s">
        <v>51</v>
      </c>
      <c r="C69" s="22">
        <v>250</v>
      </c>
      <c r="D69" s="8">
        <f>C14</f>
        <v>220</v>
      </c>
      <c r="K69" t="s" s="32">
        <v>116</v>
      </c>
    </row>
    <row r="70">
      <c r="B70" t="s">
        <v>52</v>
      </c>
      <c r="C70" s="22">
        <v>232</v>
      </c>
      <c r="D70" s="8">
        <f>C13</f>
        <v>202.2</v>
      </c>
      <c r="K70" t="s" s="32">
        <v>117</v>
      </c>
    </row>
    <row r="71">
      <c r="B71" t="s">
        <v>53</v>
      </c>
      <c r="C71" s="22">
        <v>420</v>
      </c>
      <c r="D71" s="8">
        <f>-C39</f>
        <v>75.7</v>
      </c>
      <c r="K71" t="s" s="32">
        <v>118</v>
      </c>
    </row>
  </sheetData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4"/>
  <sheetViews>
    <sheetView showGridLines="0" workbookViewId="0">
      <selection activeCell="A1" sqref="A1"/>
    </sheetView>
  </sheetViews>
  <cols>
    <col min="1" max="1" width="2.21875" customWidth="1"/>
    <col min="2" max="2" width="68.50390625" customWidth="1"/>
    <col min="3" max="5" width="18.21875" customWidth="1"/>
    <col min="6" max="6" width="62.7890625" customWidth="1"/>
  </cols>
  <sheetData>
    <row r="2">
      <c r="B2" t="s" s="2">
        <v>119</v>
      </c>
    </row>
    <row r="3">
      <c r="B3" t="s" s="3">
        <v>1</v>
      </c>
    </row>
    <row r="4">
      <c r="B4" t="s" s="4">
        <v>120</v>
      </c>
    </row>
    <row r="6">
      <c r="B6" t="s" s="5">
        <v>121</v>
      </c>
      <c r="C6" s="5"/>
      <c r="D6" s="5"/>
      <c r="E6" s="5"/>
      <c r="F6" s="5"/>
    </row>
    <row r="7">
      <c r="B7" s="7"/>
      <c r="C7" t="s" s="6">
        <v>57</v>
      </c>
      <c r="D7" s="6"/>
      <c r="E7" s="6"/>
      <c r="F7" t="s" s="31">
        <v>160</v>
      </c>
    </row>
    <row r="8">
      <c r="B8" t="s">
        <v>122</v>
      </c>
      <c r="C8" s="22">
        <v>1365</v>
      </c>
      <c r="F8" t="s" s="32">
        <v>161</v>
      </c>
    </row>
    <row r="9">
      <c r="B9" t="s">
        <v>123</v>
      </c>
      <c r="C9" s="22">
        <v>630</v>
      </c>
      <c r="F9" t="s" s="32">
        <v>162</v>
      </c>
    </row>
    <row r="10">
      <c r="B10" t="s">
        <v>124</v>
      </c>
      <c r="C10" s="22">
        <v>925</v>
      </c>
      <c r="F10" t="s" s="32">
        <v>163</v>
      </c>
    </row>
    <row r="11">
      <c r="B11" t="s">
        <v>125</v>
      </c>
      <c r="C11" s="22">
        <v>525</v>
      </c>
      <c r="F11" t="s" s="32">
        <v>164</v>
      </c>
    </row>
    <row r="12">
      <c r="B12" t="s">
        <v>126</v>
      </c>
      <c r="C12" s="22">
        <v>465</v>
      </c>
      <c r="F12" t="s" s="32">
        <v>165</v>
      </c>
    </row>
    <row r="13">
      <c r="B13" t="s">
        <v>127</v>
      </c>
      <c r="C13" s="22">
        <v>185</v>
      </c>
      <c r="F13" t="s" s="32">
        <v>166</v>
      </c>
    </row>
    <row r="14">
      <c r="B14" t="s" s="18">
        <v>128</v>
      </c>
      <c r="C14" s="19">
        <f>SUM(C8:C13)</f>
        <v>4095</v>
      </c>
      <c r="D14" s="18"/>
      <c r="E14" s="18"/>
      <c r="F14" t="s" s="32">
        <v>80</v>
      </c>
    </row>
    <row r="15">
      <c r="B15" t="s">
        <v>129</v>
      </c>
      <c r="C15" s="38">
        <f>Performance!D57</f>
        <v>508</v>
      </c>
      <c r="F15" t="s" s="32">
        <v>167</v>
      </c>
    </row>
    <row r="16">
      <c r="B16" t="s">
        <v>130</v>
      </c>
      <c r="C16" s="8">
        <f>C14+C15</f>
        <v>4603</v>
      </c>
      <c r="F16" t="s" s="32">
        <v>80</v>
      </c>
    </row>
    <row r="17">
      <c r="B17" t="s">
        <v>131</v>
      </c>
      <c r="C17" s="38">
        <f>-Performance!C46</f>
        <v>-1543.8</v>
      </c>
      <c r="F17" t="s" s="32">
        <v>168</v>
      </c>
    </row>
    <row r="18">
      <c r="B18" t="s" s="18">
        <v>132</v>
      </c>
      <c r="C18" s="19">
        <f>C16+C17</f>
        <v>3059.2</v>
      </c>
      <c r="D18" s="18"/>
      <c r="E18" s="18"/>
      <c r="F18" t="s" s="32">
        <v>80</v>
      </c>
    </row>
    <row r="19">
      <c r="F19" s="32"/>
    </row>
    <row r="20">
      <c r="B20" t="s" s="5">
        <v>133</v>
      </c>
      <c r="C20" s="5"/>
      <c r="D20" s="5"/>
      <c r="E20" s="5"/>
      <c r="F20" s="33"/>
    </row>
    <row r="21">
      <c r="B21" s="7"/>
      <c r="C21" t="s" s="6">
        <v>157</v>
      </c>
      <c r="D21" t="s" s="6">
        <v>159</v>
      </c>
      <c r="E21" t="s" s="6">
        <v>57</v>
      </c>
      <c r="F21" s="31"/>
    </row>
    <row r="22">
      <c r="B22" t="s">
        <v>134</v>
      </c>
      <c r="C22" s="27">
        <v>4200000</v>
      </c>
      <c r="D22" s="22">
        <v>1050</v>
      </c>
      <c r="E22" s="8">
        <f>MAX(0,$C$18-D22)*C22/$C$27</f>
        <v>84.3864</v>
      </c>
      <c r="F22" t="s" s="32">
        <v>169</v>
      </c>
    </row>
    <row r="23">
      <c r="B23" t="s">
        <v>135</v>
      </c>
      <c r="C23" s="27">
        <v>2200000</v>
      </c>
      <c r="D23" s="22">
        <v>1050</v>
      </c>
      <c r="E23" s="8">
        <f>MAX(0,$C$18-D23)*C23/$C$27</f>
        <v>44.2024</v>
      </c>
      <c r="F23" s="32"/>
    </row>
    <row r="24">
      <c r="B24" t="s">
        <v>136</v>
      </c>
      <c r="C24" s="27">
        <v>1500000</v>
      </c>
      <c r="D24" s="22">
        <v>1280</v>
      </c>
      <c r="E24" s="8">
        <f>MAX(0,$C$18-D24)*C24/$C$27</f>
        <v>26.687999999999995</v>
      </c>
      <c r="F24" s="32"/>
    </row>
    <row r="25">
      <c r="B25" t="s">
        <v>137</v>
      </c>
      <c r="C25" s="27">
        <v>1100000</v>
      </c>
      <c r="D25" s="22">
        <v>1550</v>
      </c>
      <c r="E25" s="8">
        <f>MAX(0,$C$18-D25)*C25/$C$27</f>
        <v>16.6012</v>
      </c>
      <c r="F25" s="32"/>
    </row>
    <row r="26">
      <c r="B26" t="s" s="18">
        <v>138</v>
      </c>
      <c r="C26" s="36">
        <f>SUM(C22:C25)</f>
        <v>9000000</v>
      </c>
      <c r="D26" s="19"/>
      <c r="E26" s="19">
        <f>SUM(E22:E25)</f>
        <v>171.878</v>
      </c>
      <c r="F26" t="s" s="32">
        <v>170</v>
      </c>
    </row>
    <row r="27">
      <c r="B27" t="s">
        <v>139</v>
      </c>
      <c r="C27" s="27">
        <v>100000000</v>
      </c>
      <c r="F27" t="s" s="32">
        <v>171</v>
      </c>
    </row>
    <row r="28">
      <c r="B28" t="s">
        <v>140</v>
      </c>
      <c r="C28" s="27">
        <v>91000000</v>
      </c>
      <c r="F28" t="s" s="32">
        <v>172</v>
      </c>
    </row>
    <row r="29">
      <c r="B29" t="s">
        <v>141</v>
      </c>
      <c r="C29" s="27">
        <v>62000000</v>
      </c>
      <c r="F29" t="s" s="32">
        <v>173</v>
      </c>
    </row>
    <row r="30">
      <c r="F30" s="32"/>
    </row>
    <row r="31">
      <c r="B31" t="s">
        <v>142</v>
      </c>
      <c r="C31" s="8">
        <f>C18-E26</f>
        <v>2887.3219999999997</v>
      </c>
      <c r="F31" t="s" s="32">
        <v>80</v>
      </c>
    </row>
    <row r="32">
      <c r="B32" t="s">
        <v>143</v>
      </c>
      <c r="C32" s="9">
        <f>C29/C28</f>
        <v>0.6813186813186813</v>
      </c>
      <c r="F32" t="s" s="32">
        <v>80</v>
      </c>
    </row>
    <row r="33">
      <c r="B33" t="s" s="18">
        <v>144</v>
      </c>
      <c r="C33" s="19">
        <f>C31*C32</f>
        <v>1967.1864175824173</v>
      </c>
      <c r="D33" s="18"/>
      <c r="E33" s="18"/>
      <c r="F33" t="s" s="32">
        <v>80</v>
      </c>
    </row>
    <row r="34">
      <c r="B34" t="s">
        <v>145</v>
      </c>
      <c r="C34" s="8">
        <f>C31-C33</f>
        <v>920.1355824175823</v>
      </c>
      <c r="F34" t="s" s="32">
        <v>80</v>
      </c>
    </row>
    <row r="35">
      <c r="B35" t="s">
        <v>146</v>
      </c>
      <c r="C35" s="9">
        <f>C29/C27</f>
        <v>0.62</v>
      </c>
      <c r="F35" t="s" s="32">
        <v>80</v>
      </c>
    </row>
    <row r="36">
      <c r="F36" s="32"/>
    </row>
    <row r="37">
      <c r="B37" t="s">
        <v>147</v>
      </c>
      <c r="C37" s="37">
        <v>480</v>
      </c>
      <c r="F37" t="s" s="32">
        <v>174</v>
      </c>
    </row>
    <row r="38">
      <c r="B38" t="s">
        <v>148</v>
      </c>
      <c r="C38" s="27">
        <v>70000000</v>
      </c>
      <c r="F38" t="s" s="32">
        <v>175</v>
      </c>
    </row>
    <row r="39">
      <c r="B39" t="s">
        <v>149</v>
      </c>
      <c r="C39" s="35">
        <f>C37*C29/C38</f>
        <v>425.14285714285717</v>
      </c>
      <c r="F39" t="s" s="32">
        <v>176</v>
      </c>
    </row>
    <row r="40">
      <c r="B40" t="s">
        <v>150</v>
      </c>
      <c r="C40" s="14">
        <f>C33/C39</f>
        <v>4.6271185897435885</v>
      </c>
      <c r="F40" t="s" s="32">
        <v>80</v>
      </c>
    </row>
    <row r="41">
      <c r="B41" t="s">
        <v>151</v>
      </c>
      <c r="C41" s="14">
        <f>C14/Performance!C49</f>
        <v>17.381154499151105</v>
      </c>
      <c r="F41" t="s" s="32">
        <v>80</v>
      </c>
    </row>
    <row r="42">
      <c r="F42" s="32"/>
    </row>
    <row r="43">
      <c r="B43" t="s" s="5">
        <v>152</v>
      </c>
      <c r="C43" s="5"/>
      <c r="D43" s="5"/>
      <c r="E43" s="5"/>
      <c r="F43" s="33"/>
    </row>
    <row r="44">
      <c r="B44" s="7"/>
      <c r="C44" t="s" s="6">
        <v>158</v>
      </c>
      <c r="D44" t="s" s="6">
        <v>177</v>
      </c>
      <c r="E44" s="6"/>
      <c r="F44" s="31"/>
    </row>
    <row r="45">
      <c r="B45" t="s">
        <v>128</v>
      </c>
      <c r="C45" s="8">
        <f>C14</f>
        <v>4095</v>
      </c>
      <c r="D45" s="8"/>
      <c r="F45" s="32"/>
    </row>
    <row r="46">
      <c r="B46" t="s">
        <v>153</v>
      </c>
      <c r="C46" s="8">
        <f>C15</f>
        <v>508</v>
      </c>
      <c r="D46" s="8"/>
      <c r="F46" s="32"/>
    </row>
    <row r="47">
      <c r="B47" t="s">
        <v>154</v>
      </c>
      <c r="C47" s="8">
        <f>C17</f>
        <v>-1543.8</v>
      </c>
      <c r="D47" s="8"/>
      <c r="F47" s="32"/>
    </row>
    <row r="48">
      <c r="B48" t="s">
        <v>155</v>
      </c>
      <c r="C48" s="8">
        <f>-E26</f>
        <v>-171.878</v>
      </c>
      <c r="D48" s="8"/>
      <c r="F48" s="32"/>
    </row>
    <row r="49">
      <c r="B49" t="s">
        <v>156</v>
      </c>
      <c r="C49" s="8">
        <f>-C34</f>
        <v>-920.1355824175823</v>
      </c>
      <c r="D49" s="8"/>
      <c r="F49" s="32"/>
    </row>
    <row r="50">
      <c r="B50" t="s" s="18">
        <v>144</v>
      </c>
      <c r="C50" s="19">
        <f>SUM(C45:C49)</f>
        <v>1967.1864175824173</v>
      </c>
      <c r="D50" s="19">
        <f>C50-C33</f>
        <v>0</v>
      </c>
      <c r="E50" s="18"/>
      <c r="F50" s="32"/>
    </row>
    <row r="52">
      <c r="B52" t="s" s="5">
        <v>178</v>
      </c>
      <c r="C52" s="5"/>
      <c r="D52" s="5"/>
      <c r="E52" s="5"/>
      <c r="F52" s="5"/>
    </row>
    <row r="53">
      <c r="B53" s="41"/>
      <c r="C53" t="s" s="41">
        <v>192</v>
      </c>
      <c r="D53" t="s" s="41">
        <v>193</v>
      </c>
      <c r="E53" s="41"/>
      <c r="F53" t="s" s="42">
        <v>194</v>
      </c>
    </row>
    <row r="54">
      <c r="B54" t="s">
        <v>179</v>
      </c>
      <c r="C54" s="8">
        <f>C14</f>
        <v>4095</v>
      </c>
      <c r="D54" s="8">
        <f>C14</f>
        <v>4095</v>
      </c>
      <c r="F54" t="s" s="32">
        <v>195</v>
      </c>
    </row>
    <row r="55">
      <c r="B55" t="s">
        <v>180</v>
      </c>
      <c r="C55" s="8">
        <f>C15</f>
        <v>508</v>
      </c>
      <c r="D55" s="8">
        <f>0</f>
        <v>0</v>
      </c>
      <c r="F55" t="s" s="32">
        <v>196</v>
      </c>
    </row>
    <row r="56">
      <c r="B56" t="s">
        <v>181</v>
      </c>
      <c r="C56" s="8">
        <f>C54+C55</f>
        <v>4603</v>
      </c>
      <c r="D56" s="8">
        <f>D54+D55</f>
        <v>4095</v>
      </c>
      <c r="F56" s="32"/>
    </row>
    <row r="57">
      <c r="B57" t="s">
        <v>182</v>
      </c>
      <c r="C57" s="8">
        <f>C17</f>
        <v>-1543.8</v>
      </c>
      <c r="D57" s="8">
        <f>C17</f>
        <v>-1543.8</v>
      </c>
      <c r="F57" t="s" s="32">
        <v>197</v>
      </c>
    </row>
    <row r="58">
      <c r="B58" t="s" s="18">
        <v>132</v>
      </c>
      <c r="C58" s="19">
        <f>C56+C57</f>
        <v>3059.2</v>
      </c>
      <c r="D58" s="19">
        <f>D56+D57</f>
        <v>2551.2</v>
      </c>
      <c r="F58" s="32"/>
    </row>
    <row r="59">
      <c r="B59" t="s">
        <v>183</v>
      </c>
      <c r="C59" s="8">
        <f>C58*$C$35</f>
        <v>1896.704</v>
      </c>
      <c r="D59" s="8">
        <f>D58*$C$35</f>
        <v>1581.744</v>
      </c>
      <c r="F59" t="s" s="32">
        <v>198</v>
      </c>
    </row>
    <row r="60">
      <c r="B60" t="s">
        <v>184</v>
      </c>
      <c r="C60" s="8">
        <f>C58*$C$26/$C$27</f>
        <v>275.328</v>
      </c>
      <c r="D60" s="8">
        <f>D58*$C$26/$C$27</f>
        <v>229.608</v>
      </c>
      <c r="F60" t="s" s="32">
        <v>199</v>
      </c>
    </row>
    <row r="61">
      <c r="B61" t="s">
        <v>185</v>
      </c>
      <c r="C61" s="8">
        <f>E26</f>
        <v>171.878</v>
      </c>
      <c r="D61" s="8">
        <f>SUM(C71:C74)</f>
        <v>126.15799999999999</v>
      </c>
      <c r="F61" t="s" s="32">
        <v>200</v>
      </c>
    </row>
    <row r="62">
      <c r="B62" t="s">
        <v>186</v>
      </c>
      <c r="C62" s="8">
        <f>C60-C61</f>
        <v>103.44999999999999</v>
      </c>
      <c r="D62" s="8">
        <f>D60-D61</f>
        <v>103.45000000000002</v>
      </c>
      <c r="F62" t="s" s="32">
        <v>80</v>
      </c>
    </row>
    <row r="63">
      <c r="B63" t="s">
        <v>187</v>
      </c>
      <c r="C63" s="8">
        <f>C62*$C$32</f>
        <v>70.48241758241758</v>
      </c>
      <c r="D63" s="8">
        <f>D62*$C$32</f>
        <v>70.4824175824176</v>
      </c>
      <c r="F63" t="s" s="32">
        <v>80</v>
      </c>
    </row>
    <row r="64">
      <c r="B64" t="s" s="18">
        <v>144</v>
      </c>
      <c r="C64" s="19">
        <f>C59+C63</f>
        <v>1967.1864175824176</v>
      </c>
      <c r="D64" s="19">
        <f>D59+D63</f>
        <v>1652.2264175824175</v>
      </c>
      <c r="F64" t="s" s="32">
        <v>80</v>
      </c>
    </row>
    <row r="65">
      <c r="B65" t="s">
        <v>188</v>
      </c>
      <c r="C65" s="8">
        <f>C64-C33</f>
        <v>0</v>
      </c>
      <c r="D65" s="8">
        <f>D64-(D58-D61)*$C$32</f>
        <v>0</v>
      </c>
      <c r="F65" t="s" s="32">
        <v>201</v>
      </c>
    </row>
    <row r="66">
      <c r="B66" t="s">
        <v>189</v>
      </c>
      <c r="C66" s="9">
        <f>C64/C58</f>
        <v>0.6430394931950895</v>
      </c>
      <c r="D66" s="9">
        <f>D64/D58</f>
        <v>0.6476271627400508</v>
      </c>
      <c r="F66" t="s" s="32">
        <v>80</v>
      </c>
    </row>
    <row r="67">
      <c r="B67" t="s">
        <v>190</v>
      </c>
      <c r="C67" s="14">
        <f>C64/$C$39</f>
        <v>4.627118589743589</v>
      </c>
      <c r="D67" s="14">
        <f>D64/$C$39</f>
        <v>3.886285256410256</v>
      </c>
      <c r="F67" t="s" s="32">
        <v>80</v>
      </c>
    </row>
    <row r="69">
      <c r="B69" t="s" s="5">
        <v>191</v>
      </c>
      <c r="C69" s="5"/>
      <c r="D69" s="5"/>
      <c r="E69" s="5"/>
      <c r="F69" s="5"/>
    </row>
    <row r="70">
      <c r="B70" s="41"/>
      <c r="C70" t="s" s="41">
        <v>57</v>
      </c>
      <c r="D70" s="41"/>
      <c r="E70" s="41"/>
      <c r="F70" s="41"/>
    </row>
    <row r="71">
      <c r="B71" t="str">
        <f>B22</f>
        <v>2019 grants</v>
      </c>
      <c r="C71" s="8">
        <f>MAX(0,$D$58-D22)*C22/$C$27</f>
        <v>63.05039999999999</v>
      </c>
    </row>
    <row r="72">
      <c r="B72" t="str">
        <f>B23</f>
        <v>2020 grants (illustrated at the 2019 threshold)</v>
      </c>
      <c r="C72" s="8">
        <f>MAX(0,$D$58-D23)*C23/$C$27</f>
        <v>33.026399999999995</v>
      </c>
    </row>
    <row r="73">
      <c r="B73" t="str">
        <f>B24</f>
        <v>2021 grants</v>
      </c>
      <c r="C73" s="8">
        <f>MAX(0,$D$58-D24)*C24/$C$27</f>
        <v>19.067999999999998</v>
      </c>
    </row>
    <row r="74">
      <c r="B74" t="str">
        <f>B25</f>
        <v>2021 to 2023 grants (illustrated at the 2023 threshold)</v>
      </c>
      <c r="C74" s="8">
        <f>MAX(0,$D$58-D25)*C25/$C$27</f>
        <v>11.013199999999998</v>
      </c>
    </row>
  </sheetData>
  <pageMargins left="0.7" right="0.7" top="0.75" bottom="0.75" header="0.3" footer="0.3"/>
  <legacyDrawing r:id="rId2"/>
</worksheet>
</file>

<file path=ccalc/calcState.xml><?xml version="1.0" encoding="utf-8"?>
<calcState xmlns="urn:twentyai:ccalc:calc-state" version="1" digest="bed3b91550a9f2abe31cceefcb3f080297037a9f4eae95383a698422bcbb87a9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2026-10-22T23:45:34Z</dcterms:created>
  <dcterms:modified xsi:type="dcterms:W3CDTF">2026-10-22T23:45:34Z</dcterms:modified>
  <cp:category/>
  <cp:contentStatus/>
</cp:coreProperties>
</file>