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Claims" sheetId="1" r:id="rId1"/>
    <sheet name="Bottom-up" sheetId="2" r:id="rId2"/>
    <sheet name="Top-down" sheetId="3" r:id="rId3"/>
    <sheet name="Plan test" sheetId="4" r:id="rId4"/>
  </sheets>
  <calcPr/>
</workbook>
</file>

<file path=xl/comments1.xml><?xml version="1.0" encoding="utf-8"?>
<comments xmlns="http://schemas.openxmlformats.org/spreadsheetml/2006/main">
  <authors>
    <author>Compound</author>
  </authors>
  <commentList>
    <comment ref="F10" authorId="0">
      <text>
        <t xml:space="preserve">CWAN Earnings Call FY2022 Q2 (held 2022-08-03).pdf (page 3)</t>
      </text>
    </comment>
    <comment ref="F11" authorId="0">
      <text>
        <t xml:space="preserve">CWAN Earnings Call FY2022 Q4 (held 2023-02-21).pdf (page 2)</t>
      </text>
    </comment>
    <comment ref="F13" authorId="0">
      <text>
        <t xml:space="preserve">Clearwater Analytics · 2023</t>
      </text>
    </comment>
    <comment ref="F14" authorId="0">
      <text>
        <t xml:space="preserve">Clearwater Analytics · Morgan Stanley’s US Financials, Payments &amp; CRE Conference</t>
      </text>
    </comment>
    <comment ref="F17" authorId="0">
      <text>
        <t xml:space="preserve">Clearwater Analytics · 2024</t>
      </text>
    </comment>
    <comment ref="F21" authorId="0">
      <text>
        <t xml:space="preserve">CWAN Investor Day FY2025 Transcript (held 2025-09-03).pdf (page 9)</t>
      </text>
    </comment>
    <comment ref="F22" authorId="0">
      <text>
        <t xml:space="preserve">CWAN Earnings Call FY2025 Q3 (held 2025-11-05).pdf (page 2)</t>
      </text>
    </comment>
    <comment ref="F23" authorId="0">
      <text>
        <t xml:space="preserve">CWAN 10-K FY2025 (filed 2026-02-18).pdf (page 11)</t>
      </text>
    </comment>
    <comment ref="F33" authorId="0">
      <text>
        <t xml:space="preserve">CWAN IPO Final Prospectus 424B4 (2021-09-27).pdf (page 117)</t>
      </text>
    </comment>
    <comment ref="F43" authorId="0">
      <text>
        <t xml:space="preserve">CWAN Investor Day FY2025 Transcript (held 2025-09-03).pdf (page 4)</t>
      </text>
    </comment>
    <comment ref="F7" authorId="0">
      <text>
        <t xml:space="preserve">CWAN IPO Final Prospectus 424B4 (2021-09-27).pdf (page 117)</t>
      </text>
    </comment>
    <comment ref="G14" authorId="0">
      <text>
        <t xml:space="preserve">Clearwater Analytics · Morgan Stanley’s US Financials, Payments &amp; CRE Conference</t>
      </text>
    </comment>
    <comment ref="G15" authorId="0">
      <text>
        <t xml:space="preserve">Clearwater Analytics · 2023</t>
      </text>
    </comment>
    <comment ref="G19" authorId="0">
      <text>
        <t xml:space="preserve">CWAN Earnings Call FY2024 Q4 (held 2025-02-19).pdf (page 3)</t>
      </text>
    </comment>
    <comment ref="G7" authorId="0">
      <text>
        <t xml:space="preserve">CWAN IPO Final Prospectus 424B4 (2021-09-27).pdf (page 117)</t>
      </text>
    </comment>
    <comment ref="G8" authorId="0">
      <text>
        <t xml:space="preserve">Cited for F8:G8
CWAN Earnings Call FY2021 Q3 (held 2021-11-03).pdf (page 5)</t>
      </text>
    </comment>
    <comment ref="H7" authorId="0">
      <text>
        <t xml:space="preserve">CWAN IPO Final Prospectus 424B4 (2021-09-27).pdf (page 117)</t>
      </text>
    </comment>
    <comment ref="I11" authorId="0">
      <text>
        <t xml:space="preserve">CWAN Earnings Call FY2022 Q4 (held 2023-02-21).pdf (page 2)</t>
      </text>
    </comment>
    <comment ref="I18" authorId="0">
      <text>
        <t xml:space="preserve">CWAN Investor Presentation - Enfusion Acquisition (2025-01-13).pdf (page 2)</t>
      </text>
    </comment>
    <comment ref="J13" authorId="0">
      <text>
        <t xml:space="preserve">Clearwater Analytics · 2023</t>
      </text>
    </comment>
    <comment ref="J21" authorId="0">
      <text>
        <t xml:space="preserve">CWAN Investor Day FY2025 Transcript (held 2025-09-03).pdf (page 9)</t>
      </text>
    </comment>
    <comment ref="J7" authorId="0">
      <text>
        <t xml:space="preserve">CWAN IPO Final Prospectus 424B4 (2021-09-27).pdf (page 117)</t>
      </text>
    </comment>
    <comment ref="K23" authorId="0">
      <text>
        <t xml:space="preserve">Cited for J23:K23
CWAN 10-K FY2025 (filed 2026-02-18).pdf (page 11)</t>
      </text>
    </comment>
    <comment ref="K7" authorId="0">
      <text>
        <t xml:space="preserve">CWAN IPO Final Prospectus 424B4 (2021-09-27).pdf (page 117)</t>
      </text>
    </comment>
    <comment ref="L14" authorId="0">
      <text>
        <t xml:space="preserve">Cited for J14:L14
Clearwater Analytics · Morgan Stanley’s US Financials, Payments &amp; CRE Conference</t>
      </text>
    </comment>
    <comment ref="L7" authorId="0">
      <text>
        <t xml:space="preserve">CWAN IPO Final Prospectus 424B4 (2021-09-27).pdf (page 117)</t>
      </text>
    </comment>
    <comment ref="M21" authorId="0">
      <text>
        <t xml:space="preserve">CWAN Investor Day FY2025 Transcript (held 2025-09-03).pdf (page 9)</t>
      </text>
    </comment>
    <comment ref="M23" authorId="0">
      <text>
        <t xml:space="preserve">CWAN 10-K FY2025 (filed 2026-02-18).pdf (page 11)</t>
      </text>
    </comment>
    <comment ref="N12" authorId="0">
      <text>
        <t xml:space="preserve">CWAN 10-K FY2022 (filed 2023-03-03).pdf (page 16)</t>
      </text>
    </comment>
    <comment ref="N16" authorId="0">
      <text>
        <t xml:space="preserve">CWAN 10-K FY2023 (filed 2024-02-29).pdf (page 20)</t>
      </text>
    </comment>
    <comment ref="N18" authorId="0">
      <text>
        <t xml:space="preserve">CWAN Investor Presentation - Enfusion Acquisition (2025-01-13).pdf (page 2)</t>
      </text>
    </comment>
    <comment ref="N19" authorId="0">
      <text>
        <t xml:space="preserve">CWAN Earnings Call FY2024 Q4 (held 2025-02-19).pdf (page 5)</t>
      </text>
    </comment>
    <comment ref="N20" authorId="0">
      <text>
        <t xml:space="preserve">CWAN 10-K FY2024 (filed 2025-02-26).pdf (page 21)</t>
      </text>
    </comment>
    <comment ref="N23" authorId="0">
      <text>
        <t xml:space="preserve">CWAN 10-K FY2025 (filed 2026-02-18).pdf (page 21)</t>
      </text>
    </comment>
    <comment ref="N7" authorId="0">
      <text>
        <t xml:space="preserve">CWAN IPO Final Prospectus 424B4 (2021-09-27).pdf (page 126)</t>
      </text>
    </comment>
    <comment ref="N9" authorId="0">
      <text>
        <t xml:space="preserve">CWAN 10-K FY2021 (filed 2022-03-16).pdf (page 14)</t>
      </text>
    </comment>
    <comment ref="P12" authorId="0">
      <text>
        <t xml:space="preserve">Cited for O12:P12
CWAN 10-K FY2022 (filed 2023-03-03).pdf (page 16)</t>
      </text>
    </comment>
    <comment ref="P16" authorId="0">
      <text>
        <t xml:space="preserve">Cited for O16:P16
CWAN 10-K FY2023 (filed 2024-02-29).pdf (page 20)</t>
      </text>
    </comment>
    <comment ref="P20" authorId="0">
      <text>
        <t xml:space="preserve">Cited for O20:P20
CWAN 10-K FY2024 (filed 2025-02-26).pdf (page 19)</t>
      </text>
    </comment>
    <comment ref="P7" authorId="0">
      <text>
        <t xml:space="preserve">Cited for O7:P7
CWAN IPO Final Prospectus 424B4 (2021-09-27).pdf (page 126)</t>
      </text>
    </comment>
    <comment ref="P9" authorId="0">
      <text>
        <t xml:space="preserve">Cited for O9:P9
CWAN 10-K FY2021 (filed 2022-03-16).pdf (page 13)</t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C12" authorId="0">
      <text>
        <t xml:space="preserve">Cited for C12:C14
CWAN 10-K FY2025 (filed 2026-02-18).pdf (page 18)</t>
      </text>
    </comment>
    <comment ref="C15" authorId="0">
      <text>
        <t xml:space="preserve">Cited for C15:C16
CWAN 10-K FY2025 (filed 2026-02-18).pdf (page 18)</t>
      </text>
    </comment>
    <comment ref="C22" authorId="0">
      <text>
        <t xml:space="preserve">CWAN PJT - Preliminary Valuation to the Special Committee (2025-12-15).pdf (page 9)</t>
      </text>
    </comment>
    <comment ref="C23" authorId="0">
      <text>
        <t xml:space="preserve">Enfusion, Inc. 10-K (2024-12-31) enfn-20241231x10k.htm</t>
      </text>
    </comment>
    <comment ref="C25" authorId="0">
      <text>
        <t xml:space="preserve">CWAN 10-K FY2025 (filed 2026-02-18).pdf (page 18)</t>
      </text>
    </comment>
    <comment ref="C27" authorId="0">
      <text>
        <t xml:space="preserve">CWAN Investor Day FY2025 Transcript (held 2025-09-03).pdf (page 15)</t>
      </text>
    </comment>
    <comment ref="C28" authorId="0">
      <text>
        <t xml:space="preserve">CWAN Earnings Call FY2024 Q1 (held 2024-05-01).pdf (page 7)</t>
      </text>
    </comment>
    <comment ref="C44" authorId="0">
      <text>
        <t xml:space="preserve">Cited for C44:C45
INVESTMENT ADVISER INDUSTRY</t>
      </text>
    </comment>
    <comment ref="C47" authorId="0">
      <text>
        <t xml:space="preserve">https://content.naic.org/sites/default/files/capital-markets-special-reports-asset-mix-ye2024.pdf</t>
      </text>
    </comment>
    <comment ref="C49" authorId="0">
      <text>
        <t xml:space="preserve">Cited for C49:C50
CWAN IPO Final Prospectus 424B4 (2021-09-27).pdf (page 117)</t>
      </text>
    </comment>
    <comment ref="C53" authorId="0">
      <text>
        <t xml:space="preserve">https://www.fdic.gov/quarterly-banking-profile/quarterly-banking-profile-fourth-quarter-2024</t>
      </text>
    </comment>
    <comment ref="C54" authorId="0">
      <text>
        <t xml:space="preserve">CWAN Investor Day FY2025 Transcript (held 2025-09-03).pdf (page 10)</t>
      </text>
    </comment>
    <comment ref="C56" authorId="0">
      <text>
        <t xml:space="preserve">https://www.fdic.gov/quarterly-banking-profile/quarterly-banking-profile-fourth-quarter-2024</t>
      </text>
    </comment>
    <comment ref="C57" authorId="0">
      <text>
        <t xml:space="preserve">https://www.fdic.gov/quarterly-banking-profile/quarterly-banking-profile-fourth-quarter-2024</t>
      </text>
    </comment>
    <comment ref="C6" authorId="0">
      <text>
        <t xml:space="preserve">CWAN DEFM14A Definitive Merger Proxy (filed 2026-04-08).pdf (page 81)</t>
      </text>
    </comment>
    <comment ref="C61" authorId="0">
      <text>
        <t xml:space="preserve">KEMPER Corp 10-K (2022-12-31) kmpr-20221231.htm</t>
      </text>
    </comment>
    <comment ref="C62" authorId="0">
      <text>
        <t xml:space="preserve">https://content.naic.org/sites/default/files/2024-annual-life-industry-commentary.pdf</t>
      </text>
    </comment>
    <comment ref="C65" authorId="0">
      <text>
        <t xml:space="preserve">INVESTMENT ADVISER INDUSTRY</t>
      </text>
    </comment>
    <comment ref="C66" authorId="0">
      <text>
        <t xml:space="preserve">INVESTMENT ADVISER INDUSTRY</t>
      </text>
    </comment>
    <comment ref="C69" authorId="0">
      <text>
        <t xml:space="preserve">Fortune 1000</t>
      </text>
    </comment>
    <comment ref="C7" authorId="0">
      <text>
        <t xml:space="preserve">CWAN PJT - Preliminary Valuation to the Special Committee (2025-12-15).pdf (page 9)</t>
      </text>
    </comment>
    <comment ref="C71" authorId="0">
      <text>
        <t xml:space="preserve">FDIC-Insured Institutions Reported Return on Assets of 1.11 Percent and Net Income of $66.8 Billion in the Fourth Quarter</t>
      </text>
    </comment>
    <comment ref="C72" authorId="0">
      <text>
        <t xml:space="preserve">https://www.fdic.gov/quarterly-banking-profile/quarterly-banking-profile-fourth-quarter-2024</t>
      </text>
    </comment>
    <comment ref="C73" authorId="0">
      <text>
        <t xml:space="preserve">JACK HENRY &amp; ASSOCIATES INC 10-K (2025-06-30) jkhy-20250630.htm</t>
      </text>
    </comment>
    <comment ref="C74" authorId="0">
      <text>
        <t xml:space="preserve">[Browse World](https://www.reuters.com/world/)</t>
      </text>
    </comment>
    <comment ref="C8" authorId="0">
      <text>
        <t xml:space="preserve">Cited for C8:C10
CWAN 10-K FY2025 (filed 2026-02-18).pdf (page 33)</t>
      </text>
    </comment>
    <comment ref="D33" authorId="0">
      <text>
        <t xml:space="preserve">Cited for C33:D33
CWAN IPO Final Prospectus 424B4 (2021-09-27).pdf (page 117)</t>
      </text>
    </comment>
    <comment ref="D34" authorId="0">
      <text>
        <t xml:space="preserve">Cited for C34:D34
CWAN IPO Final Prospectus 424B4 (2021-09-27).pdf (page 117)</t>
      </text>
    </comment>
    <comment ref="D35" authorId="0">
      <text>
        <t xml:space="preserve">Cited for C35:D35
CWAN IPO Final Prospectus 424B4 (2021-09-27).pdf (page 117)</t>
      </text>
    </comment>
    <comment ref="E36" authorId="0">
      <text>
        <t xml:space="preserve">CWAN IPO Final Prospectus 424B4 (2021-09-27).pdf (page 117)</t>
      </text>
    </comment>
    <comment ref="E37" authorId="0">
      <text>
        <t xml:space="preserve">CWAN IPO Final Prospectus 424B4 (2021-09-27).pdf (page 117)</t>
      </text>
    </comment>
    <comment ref="E40" authorId="0">
      <text>
        <t xml:space="preserve">[Browse World](https://www.reuters.com/world/)</t>
      </text>
    </comment>
    <comment ref="G44" authorId="0">
      <text>
        <t xml:space="preserve">Cited for G44:G45
INVESTMENT ADVISER INDUSTRY</t>
      </text>
    </comment>
    <comment ref="H47" authorId="0">
      <text>
        <t xml:space="preserve">Cited for G47:H47
https://content.naic.org/sites/default/files/capital-markets-special-reports-asset-mix-ye2024.pdf</t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C30" authorId="0">
      <text>
        <t xml:space="preserve">Cited for C30:C32
CWAN 10-K FY2025 (filed 2026-02-18).pdf (page 11)</t>
      </text>
    </comment>
    <comment ref="C36" authorId="0">
      <text>
        <t xml:space="preserve">CWAN Investor Day FY2025 Transcript (held 2025-09-03).pdf (page 10)</t>
      </text>
    </comment>
    <comment ref="C37" authorId="0">
      <text>
        <t xml:space="preserve">Cited for C37:C39
CWAN PJT - Preliminary Valuation to the Special Committee (2025-12-15).pdf (page 13)</t>
      </text>
    </comment>
    <comment ref="C40" authorId="0">
      <text>
        <t xml:space="preserve">BlackRock, Inc. 10-K (2024-12-31) blk-20241231.htm</t>
      </text>
    </comment>
    <comment ref="C41" authorId="0">
      <text>
        <t xml:space="preserve">Deutsche Börse · Q4 2024</t>
      </text>
    </comment>
    <comment ref="C60" authorId="0">
      <text>
        <t xml:space="preserve">Cited for C60:C63
CWAN Investor Presentation - Enfusion Acquisition (2025-01-13).pdf (page 3)</t>
      </text>
    </comment>
    <comment ref="D14" authorId="0">
      <text>
        <t xml:space="preserve">SSNC Total revenues, Q4 2020 (as-reported, Annual, income-statement): 4.67B (data provided by Fiscal.ai)</t>
      </text>
    </comment>
    <comment ref="D22" authorId="0">
      <text>
        <t xml:space="preserve">CWAN IPO Final Prospectus 424B4 (2021-09-27).pdf (page 13)</t>
      </text>
    </comment>
    <comment ref="D33" authorId="0">
      <text>
        <t xml:space="preserve">Cited for C33:D35
CWAN IPO Final Prospectus 424B4 (2021-09-27).pdf (page 117)</t>
      </text>
    </comment>
    <comment ref="D7" authorId="0">
      <text>
        <t xml:space="preserve">BLK Technology services and subscription revenue, Q4 2020 (as-reported, Annual, income-statement): 1.14B (data provided by Fiscal.ai)</t>
      </text>
    </comment>
    <comment ref="E14" authorId="0">
      <text>
        <t xml:space="preserve">SSNC Total revenues, Q4 2021 (as-reported, Annual, income-statement): 5.05B (data provided by Fiscal.ai)</t>
      </text>
    </comment>
    <comment ref="E18" authorId="0">
      <text>
        <t xml:space="preserve">Fidelity National Information Services, Inc. 10-K (2023-12-31) fis-20231231.htm</t>
      </text>
    </comment>
    <comment ref="E22" authorId="0">
      <text>
        <t xml:space="preserve">CWAN Earnings Release FY2021 Q4 (issued 2022-03-02).pdf (page 1)</t>
      </text>
    </comment>
    <comment ref="E7" authorId="0">
      <text>
        <t xml:space="preserve">BLK Technology services and subscription revenue, Q4 2021 (as-reported, Annual, income-statement): 1.28B (data provided by Fiscal.ai)</t>
      </text>
    </comment>
    <comment ref="F14" authorId="0">
      <text>
        <t xml:space="preserve">SSNC Total revenues, Q4 2022 (as-reported, Annual, income-statement): 5.28B (data provided by Fiscal.ai)</t>
      </text>
    </comment>
    <comment ref="F22" authorId="0">
      <text>
        <t xml:space="preserve">CWAN Earnings Release FY2022 Q4 (issued 2023-02-21).pdf (page 1)</t>
      </text>
    </comment>
    <comment ref="F7" authorId="0">
      <text>
        <t xml:space="preserve">BLK Technology services and subscription revenue, Q4 2022 (as-reported, Annual, income-statement): 1.36B (data provided by Fiscal.ai)</t>
      </text>
    </comment>
    <comment ref="G14" authorId="0">
      <text>
        <t xml:space="preserve">SSNC Total revenues, Q4 2023 (as-reported, Annual, income-statement): 5.50B (data provided by Fiscal.ai)</t>
      </text>
    </comment>
    <comment ref="G22" authorId="0">
      <text>
        <t xml:space="preserve">CWAN Earnings Release FY2023 Q4 (issued 2024-02-28).pdf (page 1)</t>
      </text>
    </comment>
    <comment ref="G7" authorId="0">
      <text>
        <t xml:space="preserve">BLK Technology services and subscription revenue, Q4 2023 (as-reported, Annual, income-statement): 1.48B (data provided by Fiscal.ai)</t>
      </text>
    </comment>
    <comment ref="G8" authorId="0">
      <text>
        <t xml:space="preserve">Cited for G8:G10
SS&amp;C Technologies Holdings Inc 8-K (2025-02-06) ssnc-ex99_2.htm</t>
      </text>
    </comment>
    <comment ref="H12" authorId="0">
      <text>
        <t xml:space="preserve">Cited for H12:H13
SS&amp;C Technologies Holdings Inc 8-K (2025-10-23) ssnc-ex99_2.htm</t>
      </text>
    </comment>
    <comment ref="H14" authorId="0">
      <text>
        <t xml:space="preserve">SSNC Total revenues, Q4 2024 (as-reported, Annual, income-statement): 5.88B (data provided by Fiscal.ai)</t>
      </text>
    </comment>
    <comment ref="H15" authorId="0">
      <text>
        <t xml:space="preserve">Cited for F15:H15
STATE STREET CORP 10-K (2024-12-31) stt-20241231.htm</t>
      </text>
    </comment>
    <comment ref="H16" authorId="0">
      <text>
        <t xml:space="preserve">Cited for F16:H16
STATE STREET CORP 10-K (2024-12-31) stt-20241231.htm</t>
      </text>
    </comment>
    <comment ref="H17" authorId="0">
      <text>
        <t xml:space="preserve">Cited for F17:H17
STATE STREET CORP 10-K (2024-12-31) stt-20241231.htm</t>
      </text>
    </comment>
    <comment ref="H18" authorId="0">
      <text>
        <t xml:space="preserve">Cited for F18:H18
Fidelity National Information Services, Inc. 10-K (2024-12-31) fis-20241231.htm</t>
      </text>
    </comment>
    <comment ref="H19" authorId="0">
      <text>
        <t xml:space="preserve">Deutsche Börse · Q4 2024</t>
      </text>
    </comment>
    <comment ref="H22" authorId="0">
      <text>
        <t xml:space="preserve">CWAN Earnings Release FY2024 Q4 (issued 2025-02-19).pdf (page 1)</t>
      </text>
    </comment>
    <comment ref="H7" authorId="0">
      <text>
        <t xml:space="preserve">BLK Technology services and subscription revenue, Q4 2024 (as-reported, Annual, income-statement): 1.60B (data provided by Fiscal.ai)</t>
      </text>
    </comment>
    <comment ref="H8" authorId="0">
      <text>
        <t xml:space="preserve">Cited for H8:H11
SS&amp;C Technologies Holdings Inc 8-K (2025-04-24) ssnc-ex99_2.htm</t>
      </text>
    </comment>
    <comment ref="K20" authorId="0">
      <text>
        <t xml:space="preserve">Deutsche Börse · Q4 2024</t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C46" authorId="0">
      <text>
        <t xml:space="preserve">CWAN 10-K FY2025 (filed 2026-02-18).pdf (page 8)</t>
      </text>
    </comment>
    <comment ref="C47" authorId="0">
      <text>
        <t xml:space="preserve">CWAN PJT - Fairness Opinion Deck to the Special Committee (2025-12-20).pdf (page 4)</t>
      </text>
    </comment>
    <comment ref="C50" authorId="0">
      <text>
        <t xml:space="preserve">CWAN DCF - Signing Date (Compound, 2026-10-20).xlsx (Summary B34:E34)</t>
      </text>
    </comment>
    <comment ref="H7" authorId="0">
      <text>
        <t xml:space="preserve">Cited for C7:H7
CWAN DEFM14A Definitive Merger Proxy (filed 2026-04-08).pdf (page 81)</t>
      </text>
    </comment>
    <comment ref="H9" authorId="0">
      <text>
        <t xml:space="preserve">Cited for C9:H9
CWAN PJT - Preliminary Valuation to the Special Committee (2025-12-15).pdf (page 9)</t>
      </text>
    </comment>
  </commentList>
</comments>
</file>

<file path=xl/sharedStrings.xml><?xml version="1.0" encoding="utf-8"?>
<sst xmlns="http://schemas.openxmlformats.org/spreadsheetml/2006/main" count="395" uniqueCount="395">
  <si>
    <t>CWAN – Market Size Claims, IPO to FY2025 10-K</t>
  </si>
  <si>
    <t>$bn unless noted; page = PDF page of the drive file; signing 20-Dec-25</t>
  </si>
  <si>
    <t>CLAIMS BY SOURCE</t>
  </si>
  <si>
    <t>Date</t>
  </si>
  <si>
    <t>CHANGE OVER TIME</t>
  </si>
  <si>
    <t>Measure</t>
  </si>
  <si>
    <t>TAM ($bn)</t>
  </si>
  <si>
    <t>Core TAM ($bn)</t>
  </si>
  <si>
    <t>Insurance ($bn)</t>
  </si>
  <si>
    <t>Asset mgmt ($bn)</t>
  </si>
  <si>
    <t>Intl % of TAM</t>
  </si>
  <si>
    <t>NA insurer penetration</t>
  </si>
  <si>
    <t>IPO AUM base ($tn)</t>
  </si>
  <si>
    <t>IPO TAM / AUM (bps)</t>
  </si>
  <si>
    <t>WALLET AND PRICING CLAIMS</t>
  </si>
  <si>
    <t>Source</t>
  </si>
  <si>
    <t>IPO prospectus (424B4)</t>
  </si>
  <si>
    <t>Q3 2021 earnings call</t>
  </si>
  <si>
    <t>10-K FY2021</t>
  </si>
  <si>
    <t>Q2 2022 earnings call</t>
  </si>
  <si>
    <t>Q4 2022 earnings call</t>
  </si>
  <si>
    <t>10-K FY2022</t>
  </si>
  <si>
    <t>Jefferies Software Conference</t>
  </si>
  <si>
    <t>Morgan Stanley Financials Conference</t>
  </si>
  <si>
    <t>Investor Day 2023</t>
  </si>
  <si>
    <t>10-K FY2023</t>
  </si>
  <si>
    <t>Morgan Stanley Financials Conference 2024</t>
  </si>
  <si>
    <t>Enfusion acquisition release</t>
  </si>
  <si>
    <t>Q4 2024 earnings call</t>
  </si>
  <si>
    <t>10-K FY2024</t>
  </si>
  <si>
    <t>Investor Day 2025</t>
  </si>
  <si>
    <t>Q3 2025 earnings call</t>
  </si>
  <si>
    <t>10-K FY2025</t>
  </si>
  <si>
    <t>First</t>
  </si>
  <si>
    <t>Piper Sandler Growth Frontiers Conference</t>
  </si>
  <si>
    <t>Oppenheimer TMT Conference</t>
  </si>
  <si>
    <t>D.A. Davidson Conference</t>
  </si>
  <si>
    <t>Page</t>
  </si>
  <si>
    <t>14, 117, 126</t>
  </si>
  <si>
    <t>2, 5</t>
  </si>
  <si>
    <t>13–14</t>
  </si>
  <si>
    <t>3</t>
  </si>
  <si>
    <t>2</t>
  </si>
  <si>
    <t>16</t>
  </si>
  <si>
    <t>Transcript</t>
  </si>
  <si>
    <t>20</t>
  </si>
  <si>
    <t>3, 5</t>
  </si>
  <si>
    <t>19, 21</t>
  </si>
  <si>
    <t>9, 15</t>
  </si>
  <si>
    <t>11, 19, 21</t>
  </si>
  <si>
    <t>Latest pre-signing</t>
  </si>
  <si>
    <t>4</t>
  </si>
  <si>
    <t>Scope</t>
  </si>
  <si>
    <t>Global; core = NA + Europe insurers, AM, corporates</t>
  </si>
  <si>
    <t>Global; core NA + Europe</t>
  </si>
  <si>
    <t>Penetration and geography only</t>
  </si>
  <si>
    <t>Global</t>
  </si>
  <si>
    <t>Global; JUMP adds front office</t>
  </si>
  <si>
    <t>Total incl. adjacent</t>
  </si>
  <si>
    <t>Core = 80% win-rate segments; total incl. adjacent, APAC</t>
  </si>
  <si>
    <t>Core = right-to-win markets</t>
  </si>
  <si>
    <t>Total incl. Asia, pensions</t>
  </si>
  <si>
    <t>Adds hedge funds</t>
  </si>
  <si>
    <t>Core = 80% win-rate segments</t>
  </si>
  <si>
    <t>Front-to-back lifecycle; incl. Asia, hedge funds</t>
  </si>
  <si>
    <t>Balanced across geographies and markets</t>
  </si>
  <si>
    <t>Spend; AM, insurance, hedge funds named</t>
  </si>
  <si>
    <t>Change</t>
  </si>
  <si>
    <t>Client software &amp; services spend (bps)</t>
  </si>
  <si>
    <t>Accounting spend, typical insurer (bps)</t>
  </si>
  <si>
    <t>Total middle/back-office spend (bps)</t>
  </si>
  <si>
    <t>CWAN average charge (bps)</t>
  </si>
  <si>
    <t>Total lifecycle spend (bps)</t>
  </si>
  <si>
    <t>Investment accounting market ($bn)</t>
  </si>
  <si>
    <t>TAM</t>
  </si>
  <si>
    <t>First date</t>
  </si>
  <si>
    <t>Value</t>
  </si>
  <si>
    <t>Core TAM</t>
  </si>
  <si>
    <t>Latest date</t>
  </si>
  <si>
    <t>Adjacent</t>
  </si>
  <si>
    <t>Increment</t>
  </si>
  <si>
    <t>Insurance</t>
  </si>
  <si>
    <t>Asset mgmt</t>
  </si>
  <si>
    <t>Corporates</t>
  </si>
  <si>
    <t>Hedge funds</t>
  </si>
  <si>
    <t>AM pen. (NA)</t>
  </si>
  <si>
    <t>Ins. pen. (NA)</t>
  </si>
  <si>
    <t>Post-signing</t>
  </si>
  <si>
    <t>No</t>
  </si>
  <si>
    <t>Yes</t>
  </si>
  <si>
    <t>Note</t>
  </si>
  <si>
    <t>&lt;&lt; Adjacent: asset owners &amp; alts $2.7bn, Prism $1.4bn, APAC $1.3bn; AUM × tiered bps on $158tn</t>
  </si>
  <si>
    <t>&lt;&lt; '$1bn business' ambition on the $4.7bn core</t>
  </si>
  <si>
    <t>&lt;&lt; No $ TAM in any 10-K before FY2025</t>
  </si>
  <si>
    <t>&lt;&lt; '$10bn plus'; consulting firms validate; JUMP +$1bn</t>
  </si>
  <si>
    <t>&lt;&lt; NA insurer penetration restated 19% → 31%</t>
  </si>
  <si>
    <t>&lt;&lt; $365m of the $5.9bn captured; pensions and Asia left out</t>
  </si>
  <si>
    <t>&lt;&lt; AM ~2/3 of core TAM vs ~1/3 of revenue</t>
  </si>
  <si>
    <t>&lt;&lt; '$21bn or $25bn'; insurance was $2.8bn; insurance ARR $279m</t>
  </si>
  <si>
    <t>&lt;&lt; Last claim before signing</t>
  </si>
  <si>
    <t>&lt;&lt; ~4% penetration of $23bn; $4bn not allocated</t>
  </si>
  <si>
    <t>CWAN – Bottom-up TAM / SAM / SOM</t>
  </si>
  <si>
    <t>$m unless noted; assets in $tn; YE2025E sizing at the 20-Dec-25 signing</t>
  </si>
  <si>
    <t>CWAN PRICING (2025)</t>
  </si>
  <si>
    <t>Revenue, 2025E – management ($m)</t>
  </si>
  <si>
    <t>Revenue, 2025E – pro forma full-year acquisitions ($m)</t>
  </si>
  <si>
    <t>Revenue mix – insurers</t>
  </si>
  <si>
    <t>Revenue mix – asset managers</t>
  </si>
  <si>
    <t>Revenue mix – hedge funds</t>
  </si>
  <si>
    <t>Revenue mix – corporates, SLED, banks, other</t>
  </si>
  <si>
    <t>Platform assets – insurers</t>
  </si>
  <si>
    <t>Platform assets – asset managers</t>
  </si>
  <si>
    <t>Platform assets – corporates</t>
  </si>
  <si>
    <t>Platform assets – SLED</t>
  </si>
  <si>
    <t>Platform assets – banks &amp; foundations</t>
  </si>
  <si>
    <t>Realized yield – insurers (bps)</t>
  </si>
  <si>
    <t>Realized yield – asset managers (bps)</t>
  </si>
  <si>
    <t>Realized yield – corporates, SLED, banks (bps)</t>
  </si>
  <si>
    <t>Realized yield – blended ex-hedge funds (bps)</t>
  </si>
  <si>
    <t>Management: average charge (bps)</t>
  </si>
  <si>
    <t>Enfusion revenue, 2025E full year</t>
  </si>
  <si>
    <t>Enfusion clients, YE2024 (#)</t>
  </si>
  <si>
    <t>Revenue per hedge-fund client ($k)</t>
  </si>
  <si>
    <t>CWAN clients, YE2025 (#)</t>
  </si>
  <si>
    <t>Revenue per CWAN client, pro forma ($k)</t>
  </si>
  <si>
    <t>Accounting spend (bps)</t>
  </si>
  <si>
    <t>Wallet multiple (x)</t>
  </si>
  <si>
    <t>UNIVERSE ASSETS ($tn)</t>
  </si>
  <si>
    <t>Segment</t>
  </si>
  <si>
    <t>Insurers (US + Europe)</t>
  </si>
  <si>
    <t>Asset managers (US + Europe)</t>
  </si>
  <si>
    <t>Corporates (US + Europe)</t>
  </si>
  <si>
    <t>APAC – insurers, AM, corporates</t>
  </si>
  <si>
    <t>Other asset owners &amp; alternatives</t>
  </si>
  <si>
    <t>Banks – all FDIC-insured (US)</t>
  </si>
  <si>
    <t>Banks – community (US)</t>
  </si>
  <si>
    <t>Hedge funds (global)</t>
  </si>
  <si>
    <t>GROWTH DRIVERS</t>
  </si>
  <si>
    <t>SEC adviser AUM, 2020 ($tn)</t>
  </si>
  <si>
    <t>SEC adviser AUM, 2024 ($tn)</t>
  </si>
  <si>
    <t>Asset-manager growth p.a.</t>
  </si>
  <si>
    <t>US insurer invested assets, growth 2015–24</t>
  </si>
  <si>
    <t>Insurer growth p.a.</t>
  </si>
  <si>
    <t>Corporate market growth 2015–20, low</t>
  </si>
  <si>
    <t>Corporate market growth 2015–20, high</t>
  </si>
  <si>
    <t>Corporate growth p.a. (midpoint)</t>
  </si>
  <si>
    <t>APAC and other asset-owner growth p.a.</t>
  </si>
  <si>
    <t>Bank securities growth, 2024 YoY</t>
  </si>
  <si>
    <t>Hedge-fund industry growth p.a.</t>
  </si>
  <si>
    <t>Sizing date</t>
  </si>
  <si>
    <t>Bank securities, all FDIC-insured ($m)</t>
  </si>
  <si>
    <t>Bank securities, community banks ($m)</t>
  </si>
  <si>
    <t>POTENTIAL CLIENTS (#)</t>
  </si>
  <si>
    <t>US P&amp;C insurance groups (A.M. Best, 2021)</t>
  </si>
  <si>
    <t>US life &amp; A&amp;H insurers (NAIC, 2024)</t>
  </si>
  <si>
    <t>US insurers</t>
  </si>
  <si>
    <t>Insurers, US + Europe (scaled by assets)</t>
  </si>
  <si>
    <t>SEC-registered advisers (2024)</t>
  </si>
  <si>
    <t>Share managing &lt; $1bn</t>
  </si>
  <si>
    <t>US advisers ≥ $1bn</t>
  </si>
  <si>
    <t>Asset managers ≥ $1bn, US + Europe (scaled)</t>
  </si>
  <si>
    <t>Largest US companies (Fortune 1000)</t>
  </si>
  <si>
    <t>Corporates, US + Europe (scaled)</t>
  </si>
  <si>
    <t>FDIC-insured banks (Q4'24)</t>
  </si>
  <si>
    <t>Community banks (Q4'24)</t>
  </si>
  <si>
    <t>Banks ≤ $55bn assets (cross-check)</t>
  </si>
  <si>
    <t>Hedge funds (Q3'25)</t>
  </si>
  <si>
    <t>TAM / SAM BUILD (YE2025E)</t>
  </si>
  <si>
    <t>Asset managers ≥ $1bn (US + Europe)</t>
  </si>
  <si>
    <t>Banks – other FDIC-insured (US)</t>
  </si>
  <si>
    <t>Hedge funds (global, via Enfusion)</t>
  </si>
  <si>
    <t>Total</t>
  </si>
  <si>
    <t>SAM / TAM</t>
  </si>
  <si>
    <t>CWAN 2025E pro forma share of SAM</t>
  </si>
  <si>
    <t>CWAN 2025E pro forma share of TAM</t>
  </si>
  <si>
    <t>CWAN-claimed TAM, Q3'25 ($m)</t>
  </si>
  <si>
    <t>Claimed TAM / bottom-up TAM</t>
  </si>
  <si>
    <t>Claimed TAM / bottom-up SAM (x)</t>
  </si>
  <si>
    <t>SOM (2030E)</t>
  </si>
  <si>
    <t>SAM, 2030E ($m)</t>
  </si>
  <si>
    <t>SAM growth p.a., 2025–30E</t>
  </si>
  <si>
    <t>TAM, 2030E ($m)</t>
  </si>
  <si>
    <t>TAM growth p.a., 2025–30E</t>
  </si>
  <si>
    <t>Years to 2030E</t>
  </si>
  <si>
    <t>Core SAM ex-hedge funds, 2025E ($m)</t>
  </si>
  <si>
    <t>Core SAM growth p.a.</t>
  </si>
  <si>
    <t>CWAN share of SAM, 2025E (pro forma)</t>
  </si>
  <si>
    <t>Historical share gain, FY20–24 (pts p.a.)</t>
  </si>
  <si>
    <t>Obtainable share of SAM, 2030E</t>
  </si>
  <si>
    <t>SOM, 2030E ($m)</t>
  </si>
  <si>
    <t>Management plan, 2030E ($m)</t>
  </si>
  <si>
    <t>Plan less SOM ($m)</t>
  </si>
  <si>
    <t>Plan / SOM (x)</t>
  </si>
  <si>
    <t>SOM / TAM, 2030E</t>
  </si>
  <si>
    <t>US</t>
  </si>
  <si>
    <t>Clients (#)</t>
  </si>
  <si>
    <t>n.a.</t>
  </si>
  <si>
    <t>DEFM14A pp. 68–69</t>
  </si>
  <si>
    <t>PJT prelim deck p.9</t>
  </si>
  <si>
    <t>10-K FY2025 p.33</t>
  </si>
  <si>
    <t>10-K FY2025 p.18</t>
  </si>
  <si>
    <t>Claims</t>
  </si>
  <si>
    <t>Enfusion 10-K FY2024</t>
  </si>
  <si>
    <t>Europe</t>
  </si>
  <si>
    <t>IAA Snapshot 2025</t>
  </si>
  <si>
    <t>NAIC Capital Markets, May-25</t>
  </si>
  <si>
    <t>IPO p.117</t>
  </si>
  <si>
    <t>Assumption</t>
  </si>
  <si>
    <t>FDIC QBP Q4'24</t>
  </si>
  <si>
    <t>Investor Day 2025 p.10</t>
  </si>
  <si>
    <t>Kemper 10-K FY2022</t>
  </si>
  <si>
    <t>NAIC Life 2024 results</t>
  </si>
  <si>
    <t>Fortune</t>
  </si>
  <si>
    <t>FDIC release Q4'24</t>
  </si>
  <si>
    <t>Jack Henry 10-K FY2025</t>
  </si>
  <si>
    <t>HFR via Reuters, Q3'25</t>
  </si>
  <si>
    <t>Assets ($tn)</t>
  </si>
  <si>
    <t>Base</t>
  </si>
  <si>
    <t>Avg assets / client ($bn)</t>
  </si>
  <si>
    <t>Base date</t>
  </si>
  <si>
    <t>Price (bps)</t>
  </si>
  <si>
    <t>Growth p.a.</t>
  </si>
  <si>
    <t>Rev / client ($k)</t>
  </si>
  <si>
    <t>Years</t>
  </si>
  <si>
    <t>In SAM</t>
  </si>
  <si>
    <t>YE2025E</t>
  </si>
  <si>
    <t>SAM ($m)</t>
  </si>
  <si>
    <t>Wallet (x)</t>
  </si>
  <si>
    <t>TAM ($m)</t>
  </si>
  <si>
    <t>SAM 2030E ($m)</t>
  </si>
  <si>
    <t>TAM 2030E ($m)</t>
  </si>
  <si>
    <t>CWAN – Top-down Cross-check</t>
  </si>
  <si>
    <t>$m unless noted; company fiscal years; vendor revenue in CWAN's segments</t>
  </si>
  <si>
    <t>COMPETITOR REVENUE IN CWAN SEGMENTS ($m)</t>
  </si>
  <si>
    <t>Company</t>
  </si>
  <si>
    <t>BlackRock</t>
  </si>
  <si>
    <t>SS&amp;C</t>
  </si>
  <si>
    <t>State Street</t>
  </si>
  <si>
    <t>FIS</t>
  </si>
  <si>
    <t>SimCorp (Deutsche Börse)</t>
  </si>
  <si>
    <t>Enfusion</t>
  </si>
  <si>
    <t>Clearwater</t>
  </si>
  <si>
    <t>Vendor pool</t>
  </si>
  <si>
    <t>THIRD-PARTY AND MANAGEMENT GROWTH FIGURES</t>
  </si>
  <si>
    <t>Alternative AUM, 2024 ($tn) – Preqin</t>
  </si>
  <si>
    <t>Alternative AUM, 2030E ($tn) – Preqin</t>
  </si>
  <si>
    <t>Alternative AUM CAGR, 2024–30E – Preqin</t>
  </si>
  <si>
    <t>AM market growth, 2015–20</t>
  </si>
  <si>
    <t>Insurance market growth, 2015–20</t>
  </si>
  <si>
    <t>Corporate market growth, 2015–20</t>
  </si>
  <si>
    <t>Hedge-fund industry growth (management)</t>
  </si>
  <si>
    <t>SS&amp;C revenue CAGR, CY25–27E</t>
  </si>
  <si>
    <t>Fin. services vertical software median CAGR, CY25–27E</t>
  </si>
  <si>
    <t>CWAN management revenue CAGR, CY25–27E</t>
  </si>
  <si>
    <t>Aladdin ACV growth, 2024</t>
  </si>
  <si>
    <t>SimCorp / Axioma ARR growth, 2024</t>
  </si>
  <si>
    <t>RECONCILIATION ($m, 2025E)</t>
  </si>
  <si>
    <t>Bottom-up TAM</t>
  </si>
  <si>
    <t>CWAN-claimed TAM (Q3'25)</t>
  </si>
  <si>
    <t>Bottom-up SAM</t>
  </si>
  <si>
    <t>Vendor pool – broad</t>
  </si>
  <si>
    <t>Vendor pool – core</t>
  </si>
  <si>
    <t>State Street back-office fees, FY24</t>
  </si>
  <si>
    <t>TAM less broad pool</t>
  </si>
  <si>
    <t>Claimed TAM less broad pool</t>
  </si>
  <si>
    <t>SAM less core pool</t>
  </si>
  <si>
    <t>Broad pool / bottom-up TAM</t>
  </si>
  <si>
    <t>Broad pool / claimed TAM</t>
  </si>
  <si>
    <t>Core pool / SAM</t>
  </si>
  <si>
    <t>TAM not on listed vendors</t>
  </si>
  <si>
    <t>INPUTS</t>
  </si>
  <si>
    <t>EUR / USD</t>
  </si>
  <si>
    <t>Enfusion ARR YE2024, low ($m)</t>
  </si>
  <si>
    <t>Enfusion ARR YE2024, high ($m)</t>
  </si>
  <si>
    <t>Enfusion ARR growth 2024, low</t>
  </si>
  <si>
    <t>Enfusion ARR growth 2024, high</t>
  </si>
  <si>
    <t>Business line</t>
  </si>
  <si>
    <t>Aladdin – technology services</t>
  </si>
  <si>
    <t>Wealth &amp; Investment Technologies</t>
  </si>
  <si>
    <t>GlobeOp – fund administration</t>
  </si>
  <si>
    <t>GIDS and related</t>
  </si>
  <si>
    <t>Intralinks</t>
  </si>
  <si>
    <t>Intelligent automation &amp; analytics</t>
  </si>
  <si>
    <t>Healthcare</t>
  </si>
  <si>
    <t>Total revenue (reported)</t>
  </si>
  <si>
    <t>Front office software &amp; data (CRD, Alpha)</t>
  </si>
  <si>
    <t>Middle office services</t>
  </si>
  <si>
    <t>Back office services (custody-bundled)</t>
  </si>
  <si>
    <t>Capital Market Solutions</t>
  </si>
  <si>
    <t>Software solutions ARR (€m)</t>
  </si>
  <si>
    <t>Software solutions ARR ($m)</t>
  </si>
  <si>
    <t>ARR, YE2024</t>
  </si>
  <si>
    <t>Revenue</t>
  </si>
  <si>
    <t>Core – software lines</t>
  </si>
  <si>
    <t>Broad – incl. services, CMS</t>
  </si>
  <si>
    <t>Core, 2025E</t>
  </si>
  <si>
    <t>Broad, 2025E</t>
  </si>
  <si>
    <t>Low / value</t>
  </si>
  <si>
    <t>High</t>
  </si>
  <si>
    <t>Enfusion deal release p.3</t>
  </si>
  <si>
    <t>10-K FY2025 p.11</t>
  </si>
  <si>
    <t>IPO p.117 (company research)</t>
  </si>
  <si>
    <t>PJT prelim deck p.13</t>
  </si>
  <si>
    <t>BlackRock 10-K FY2024</t>
  </si>
  <si>
    <t>Deutsche Börse Q4'24 call</t>
  </si>
  <si>
    <t>Core</t>
  </si>
  <si>
    <t>Broad</t>
  </si>
  <si>
    <t>BlackRock 10-K (as reported)</t>
  </si>
  <si>
    <t>SS&amp;C 8-K Ex.99.2, Apr-25</t>
  </si>
  <si>
    <t>SS&amp;C 8-K Ex.99.2, Oct-25</t>
  </si>
  <si>
    <t>SS&amp;C 10-K (as reported)</t>
  </si>
  <si>
    <t>State Street 10-K FY2024</t>
  </si>
  <si>
    <t>FIS 10-K FY2024, FY2023</t>
  </si>
  <si>
    <t>Converted at EUR/USD input</t>
  </si>
  <si>
    <t>IPO p.13; Q4 releases</t>
  </si>
  <si>
    <t>CWAN – Management Plan vs Market</t>
  </si>
  <si>
    <t>$m unless noted; DEFM14A Financial Forecasts (management, Dec-25)</t>
  </si>
  <si>
    <t>MANAGEMENT PLAN VS MARKET ($m)</t>
  </si>
  <si>
    <t>Revenue – management plan</t>
  </si>
  <si>
    <t>Growth</t>
  </si>
  <si>
    <t>Organic growth (PJT)</t>
  </si>
  <si>
    <t>Revenue – pro forma basis</t>
  </si>
  <si>
    <t>Years from 2025E</t>
  </si>
  <si>
    <t>SAM</t>
  </si>
  <si>
    <t>Plan share of SAM</t>
  </si>
  <si>
    <t>Plan share of TAM</t>
  </si>
  <si>
    <t>Plan share of CWAN-claimed TAM</t>
  </si>
  <si>
    <t>SOM path</t>
  </si>
  <si>
    <t>Plan less SOM</t>
  </si>
  <si>
    <t>MARKET GROWTH THE PLAN NEEDS</t>
  </si>
  <si>
    <t>Plan revenue CAGR, 2025–30E (pro forma)</t>
  </si>
  <si>
    <t>SAM growth needed, share held at 2025E</t>
  </si>
  <si>
    <t>SAM growth needed, historical share gains</t>
  </si>
  <si>
    <t>SAM growth modeled (asset growth)</t>
  </si>
  <si>
    <t>Share gain needed at modeled growth (pts p.a.)</t>
  </si>
  <si>
    <t>Historical share gain (pts p.a.)</t>
  </si>
  <si>
    <t>Needed / historical (x)</t>
  </si>
  <si>
    <t>Plan share of SAM, 2030E</t>
  </si>
  <si>
    <t>Price-implied revenue, 2030E ($m)</t>
  </si>
  <si>
    <t>Price-implied share of SAM, 2030E</t>
  </si>
  <si>
    <t>HISTORY</t>
  </si>
  <si>
    <t>CWAN revenue</t>
  </si>
  <si>
    <t>Years before 2025E</t>
  </si>
  <si>
    <t>Core SAM ex-hedge funds</t>
  </si>
  <si>
    <t>CWAN share of core SAM</t>
  </si>
  <si>
    <t>Share gain (pts)</t>
  </si>
  <si>
    <t>Average share gain p.a., FY20–24</t>
  </si>
  <si>
    <t>Core SAM growth p.a. (modeled)</t>
  </si>
  <si>
    <t>CWAN revenue CAGR, FY20–24</t>
  </si>
  <si>
    <t>CWAN growth relative to market</t>
  </si>
  <si>
    <t>PRICE</t>
  </si>
  <si>
    <t>Offer price ($ / share)</t>
  </si>
  <si>
    <t>TEV at offer ($m)</t>
  </si>
  <si>
    <t>TEV / 2025E revenue (x)</t>
  </si>
  <si>
    <t>TEV / 2026E revenue (x)</t>
  </si>
  <si>
    <t>DCF: growth uplift from 2028E needed for offer, SBC as cost</t>
  </si>
  <si>
    <t>TEV / 2030E plan revenue (x)</t>
  </si>
  <si>
    <t>TEV / 2030E SOM (x)</t>
  </si>
  <si>
    <t>TEV / 2025E SAM (x)</t>
  </si>
  <si>
    <t>10-K FY2025 p.8</t>
  </si>
  <si>
    <t>PJT fairness deck p.4</t>
  </si>
  <si>
    <t>CWAN DCF workbook, Summary</t>
  </si>
  <si>
    <t>CAGR</t>
  </si>
  <si>
    <t>From</t>
  </si>
  <si>
    <t>To</t>
  </si>
  <si>
    <t>&lt;&lt; 3.7k insurers; CWAN's best-penetrated segment</t>
  </si>
  <si>
    <t>&lt;&lt; Uniform bps overstates mega-managers that run in-house or Aladdin</t>
  </si>
  <si>
    <t>&lt;&lt; APAC in SAM: CWAN sells there but captures little today</t>
  </si>
  <si>
    <t>&lt;&lt; Tiny at bps pricing; contract minimums set real bank revenue</t>
  </si>
  <si>
    <t>&lt;&lt; Large banks kept out of SAM</t>
  </si>
  <si>
    <t>&lt;&lt; Pensions, SWFs, PE: CWAN does not yet win 80% here</t>
  </si>
  <si>
    <t>&lt;&lt; Priced per client, not bps; 1.0x wallet (already front-to-back)</t>
  </si>
  <si>
    <t>&lt;&lt; 4x wallet on CWAN's realized bps across all segments</t>
  </si>
  <si>
    <t>&lt;&lt; About 2x SAM: credits roughly a third of the 1→4 bps wallet</t>
  </si>
  <si>
    <t>&lt;&lt; Listed vendors only; FIS CMS includes non-buy-side trading and treasury</t>
  </si>
  <si>
    <t>&lt;&lt; Accounting bundled into custody fees: a large part of the gap</t>
  </si>
  <si>
    <t>&lt;&lt; In-house build, custody and admin bundles, unlisted vendors (Bloomberg AIM, SEI, Arcesium, Broadridge, Murex)</t>
  </si>
  <si>
    <t>&lt;&lt; Listed vendors already bill ~half of SAM: share is won by displacement</t>
  </si>
  <si>
    <t>&lt;&lt; vs 6.0% modeled SAM growth</t>
  </si>
  <si>
    <t>&lt;&lt; Plan needs ~1.7x the FY20–24 pace of share gain</t>
  </si>
  <si>
    <t>&lt;&lt; 2027E plan grown at 18% + DCF uplift to 2030E</t>
  </si>
  <si>
    <t>&lt;&lt; At SOM, the offer is 5.6x 2030E revenue</t>
  </si>
  <si>
    <t>&lt;&lt; Share of SAM doubles in five years</t>
  </si>
  <si>
    <t>&lt;&lt; SAM × (2025E share + historical gain × years)</t>
  </si>
  <si>
    <t>Latest</t>
  </si>
  <si>
    <t>Avg size ($bn)</t>
  </si>
  <si>
    <t>REVENUE GROWTH COMPARISON</t>
  </si>
  <si>
    <t>Plan 2025E-30E</t>
  </si>
  <si>
    <t>FY20-FY24</t>
  </si>
  <si>
    <t>Gap, pts</t>
  </si>
  <si>
    <t>Unsourced</t>
  </si>
  <si>
    <t>&lt;&lt; Conference transcript not in the drive</t>
  </si>
  <si>
    <t>Q1 2024 call p.7; Investor Day 2025 p.15</t>
  </si>
  <si>
    <t>Q1 2024 call p.7</t>
  </si>
  <si>
    <t>&lt;&lt; Share of SAM rises by two-thirds in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</si>
</sst>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,##0.0"/>
    <numFmt numFmtId="165" formatCode="0.0&quot;x&quot;"/>
    <numFmt numFmtId="166" formatCode="0%;(0%)"/>
    <numFmt numFmtId="167" formatCode="0.0"/>
    <numFmt numFmtId="168" formatCode="0.0%"/>
    <numFmt numFmtId="169" formatCode="#,##0;(#,##0)"/>
    <numFmt numFmtId="170" formatCode="0.00&quot;x&quot;"/>
    <numFmt numFmtId="171" formatCode="&quot;FY&quot;yy&quot;A&quot;"/>
    <numFmt numFmtId="172" formatCode="0.0%;(0.0%)"/>
    <numFmt numFmtId="173" formatCode="yyyy&quot;E&quot;"/>
    <numFmt numFmtId="174" formatCode="$#,##0.00"/>
    <numFmt numFmtId="175" formatCode="0.0&quot; pts&quot;;(0.0&quot; pts&quot;)"/>
  </numFmts>
  <fonts count="14"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u val="singleAccounting"/>
      <sz val="10"/>
      <color rgb="FF000000"/>
      <name val="Arial"/>
      <family val="2"/>
    </font>
    <font>
      <sz val="10"/>
      <color rgb="FF008000"/>
      <name val="Arial"/>
      <family val="2"/>
    </font>
    <font>
      <b/>
      <sz val="10"/>
      <color rgb="FF0000FF"/>
      <name val="Arial"/>
      <family val="2"/>
    </font>
    <font>
      <b/>
      <sz val="10"/>
      <color rgb="FF008000"/>
      <name val="Arial"/>
      <family val="2"/>
    </font>
    <font>
      <i/>
      <sz val="10"/>
      <color rgb="FF0000FF"/>
      <name val="Arial"/>
      <family val="2"/>
    </font>
    <font>
      <i/>
      <sz val="10"/>
      <color rgb="FF008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</fills>
  <borders count="3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</borders>
  <cellStyleXfs count="1">
    <xf borderId="0" fillId="0" fontId="0" numFmtId="0" applyAlignment="1" applyFont="1" applyFill="1"/>
  </cellStyleXfs>
  <cellXfs count="72">
    <xf xfId="0" borderId="0" fillId="0" fontId="0" numFmtId="0"/>
    <xf xfId="0" borderId="0" fillId="0" fontId="0" numFmtId="14"/>
    <xf xfId="0" borderId="0" fillId="0" fontId="0" numFmtId="0" quotePrefix="1"/>
    <xf xfId="0" borderId="0" fillId="0" fontId="0" numFmtId="15"/>
    <xf xfId="0" borderId="0" fillId="0" fontId="0" numFmtId="164"/>
    <xf xfId="0" borderId="0" fillId="0" fontId="0" numFmtId="9"/>
    <xf xfId="0" borderId="0" fillId="0" fontId="0" numFmtId="165"/>
    <xf xfId="0" borderId="0" fillId="0" fontId="0" numFmtId="3"/>
    <xf xfId="0" borderId="0" fillId="0" fontId="0" numFmtId="2"/>
    <xf xfId="0" borderId="0" fillId="0" fontId="0" numFmtId="167"/>
    <xf xfId="0" borderId="0" fillId="0" fontId="1" numFmtId="164" applyFont="1"/>
    <xf xfId="0" borderId="0" fillId="0" fontId="1" numFmtId="9" applyFont="1"/>
    <xf xfId="0" borderId="0" fillId="0" fontId="1" numFmtId="3" applyFont="1"/>
    <xf xfId="0" borderId="0" fillId="0" fontId="1" numFmtId="167" applyFont="1"/>
    <xf xfId="0" borderId="0" fillId="0" fontId="2" numFmtId="0" applyFont="1"/>
    <xf xfId="0" borderId="0" fillId="0" fontId="3" numFmtId="0" applyFont="1"/>
    <xf xfId="0" borderId="0" fillId="0" fontId="4" numFmtId="0" applyFont="1"/>
    <xf xfId="0" borderId="0" fillId="0" fontId="5" numFmtId="0" applyFont="1"/>
    <xf xfId="0" borderId="0" fillId="2" fontId="7" numFmtId="0" applyFont="1" applyFill="1"/>
    <xf xfId="0" borderId="0" fillId="0" fontId="8" numFmtId="0" applyAlignment="1" applyFont="1">
      <alignment horizontal="center"/>
    </xf>
    <xf xfId="0" borderId="0" fillId="0" fontId="8" numFmtId="0" applyAlignment="1" applyFont="1">
      <alignment horizontal="left"/>
    </xf>
    <xf xfId="0" borderId="0" fillId="0" fontId="0" numFmtId="0" applyAlignment="1">
      <alignment horizontal="center"/>
    </xf>
    <xf xfId="0" borderId="0" fillId="0" fontId="0" numFmtId="0" quotePrefix="1" applyAlignment="1">
      <alignment horizontal="center"/>
    </xf>
    <xf xfId="0" borderId="0" fillId="0" fontId="0" numFmtId="4"/>
    <xf xfId="0" borderId="0" fillId="0" fontId="0" numFmtId="168"/>
    <xf xfId="0" borderId="0" fillId="0" fontId="0" numFmtId="1"/>
    <xf xfId="0" borderId="0" fillId="0" fontId="0" numFmtId="10"/>
    <xf xfId="0" borderId="0" fillId="0" fontId="0" numFmtId="169"/>
    <xf xfId="0" borderId="0" fillId="0" fontId="0" numFmtId="170"/>
    <xf xfId="0" borderId="0" fillId="0" fontId="9" numFmtId="2" applyFont="1"/>
    <xf xfId="0" borderId="0" fillId="0" fontId="9" numFmtId="167" applyFont="1"/>
    <xf xfId="0" borderId="0" fillId="0" fontId="1" numFmtId="4" applyFont="1"/>
    <xf xfId="0" borderId="0" fillId="0" fontId="1" numFmtId="1" applyFont="1"/>
    <xf xfId="0" borderId="0" fillId="0" fontId="1" numFmtId="168" applyFont="1"/>
    <xf xfId="0" borderId="0" fillId="0" fontId="9" numFmtId="10" applyFont="1"/>
    <xf xfId="0" borderId="0" fillId="0" fontId="9" numFmtId="169" applyFont="1"/>
    <xf xfId="0" borderId="0" fillId="3" fontId="1" numFmtId="168" applyFont="1" applyFill="1"/>
    <xf xfId="0" borderId="0" fillId="3" fontId="1" numFmtId="165" applyFont="1" applyFill="1"/>
    <xf xfId="0" borderId="2" fillId="0" fontId="2" numFmtId="0" applyFont="1"/>
    <xf xfId="0" borderId="2" fillId="0" fontId="2" numFmtId="3" applyFont="1"/>
    <xf xfId="0" borderId="2" fillId="0" fontId="2" numFmtId="164" applyFont="1"/>
    <xf xfId="0" borderId="2" fillId="0" fontId="2" numFmtId="168" applyFont="1"/>
    <xf xfId="0" borderId="0" fillId="0" fontId="2" numFmtId="169" applyFont="1"/>
    <xf xfId="0" borderId="2" fillId="0" fontId="2" numFmtId="169" applyFont="1"/>
    <xf xfId="0" borderId="0" fillId="0" fontId="4" numFmtId="168" applyFont="1"/>
    <xf xfId="0" borderId="0" fillId="0" fontId="4" numFmtId="9" applyFont="1"/>
    <xf xfId="0" borderId="0" fillId="3" fontId="1" numFmtId="1" applyAlignment="1" applyFont="1" applyFill="1">
      <alignment horizontal="center"/>
    </xf>
    <xf xfId="0" borderId="0" fillId="0" fontId="0" numFmtId="172"/>
    <xf xfId="0" borderId="0" fillId="0" fontId="1" numFmtId="169" applyFont="1"/>
    <xf xfId="0" borderId="0" fillId="0" fontId="1" numFmtId="172" applyFont="1"/>
    <xf xfId="0" borderId="0" fillId="3" fontId="1" numFmtId="2" applyFont="1" applyFill="1"/>
    <xf xfId="0" borderId="0" fillId="0" fontId="8" numFmtId="171" applyAlignment="1" applyFont="1">
      <alignment horizontal="center"/>
    </xf>
    <xf xfId="0" borderId="0" fillId="0" fontId="2" numFmtId="172" applyFont="1"/>
    <xf xfId="0" borderId="2" fillId="0" fontId="2" numFmtId="172" applyFont="1"/>
    <xf xfId="0" borderId="0" fillId="0" fontId="9" numFmtId="3" applyFont="1"/>
    <xf xfId="0" borderId="0" fillId="0" fontId="9" numFmtId="168" applyFont="1"/>
    <xf xfId="0" borderId="0" fillId="0" fontId="1" numFmtId="174" applyFont="1"/>
    <xf xfId="0" borderId="0" fillId="0" fontId="1" numFmtId="10" applyFont="1"/>
    <xf xfId="0" borderId="0" fillId="0" fontId="8" numFmtId="173" applyAlignment="1" applyFont="1">
      <alignment horizontal="center"/>
    </xf>
    <xf xfId="0" borderId="2" fillId="0" fontId="10" numFmtId="3" applyFont="1"/>
    <xf xfId="0" borderId="2" fillId="0" fontId="11" numFmtId="3" applyFont="1"/>
    <xf xfId="0" borderId="0" fillId="0" fontId="12" numFmtId="168" applyFont="1"/>
    <xf xfId="0" borderId="0" fillId="0" fontId="4" numFmtId="10" applyFont="1"/>
    <xf xfId="0" borderId="0" fillId="0" fontId="13" numFmtId="168" applyFont="1"/>
    <xf xfId="0" borderId="2" fillId="0" fontId="11" numFmtId="169" applyFont="1"/>
    <xf xfId="0" borderId="0" fillId="0" fontId="9" numFmtId="165" applyFont="1"/>
    <xf xfId="0" borderId="0" fillId="2" fontId="7" numFmtId="0" applyAlignment="1" applyFont="1" applyFill="1">
      <alignment horizontal="right"/>
    </xf>
    <xf xfId="0" borderId="0" fillId="0" fontId="0" numFmtId="168"/>
    <xf xfId="0" borderId="0" fillId="0" fontId="4" numFmtId="168" applyFont="1"/>
    <xf xfId="0" borderId="0" fillId="3" fontId="1" numFmtId="167" applyFont="1" applyFill="1"/>
    <xf xfId="0" borderId="0" fillId="0" fontId="5" numFmtId="0" applyAlignment="1" applyFont="1">
      <alignment horizontal="left"/>
    </xf>
    <xf xfId="0" borderId="0" fillId="0" fontId="1" numFmtId="167" applyFont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472C4"/>
              </a:solidFill>
            </c:spPr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</c:dPt>
          <c:dLbls>
            <c:numFmt formatCode="0.0%"/>
            <c:txPr>
              <a:bodyPr/>
              <a:lstStyle/>
              <a:p>
                <a:pPr>
                  <a:defRPr sz="1200" b="1">
                    <a:solidFill>
                      <a:srgbClr val="1A1A1A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'Plan test'!$B$57:$B$58</c:f>
              <c:strCache>
                <c:ptCount val="2"/>
                <c:pt idx="0">
                  <c:v>Plan 2025E-30E</c:v>
                </c:pt>
                <c:pt idx="1">
                  <c:v>FY20-FY24</c:v>
                </c:pt>
              </c:strCache>
            </c:strRef>
          </c:cat>
          <c:val>
            <c:numRef>
              <c:f>'Plan test'!$C$57:$C$58</c:f>
              <c:numCache>
                <c:formatCode>0.0%</c:formatCode>
                <c:ptCount val="2"/>
                <c:pt idx="0">
                  <c:v>0.17234004179777473</c:v>
                </c:pt>
                <c:pt idx="1">
                  <c:v>0.22141302561785348</c:v>
                </c:pt>
              </c:numCache>
            </c:numRef>
          </c:val>
        </c:ser>
        <c:gapWidth val="6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spPr>
          <a:ln>
            <a:noFill/>
          </a:ln>
        </c:spPr>
        <c:txPr>
          <a:bodyPr/>
          <a:lstStyle/>
          <a:p>
            <a:pPr>
              <a:defRPr sz="1200">
                <a:solidFill>
                  <a:srgbClr val="1A1A1A"/>
                </a:solidFill>
              </a:defRPr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  <c:max val="0.31"/>
          <c:min val="0"/>
        </c:scaling>
        <c:delete val="1"/>
        <c:axPos val="l"/>
        <c:crossAx val="111111111"/>
        <c:crosses val="autoZero"/>
      </c:valAx>
    </c:plotArea>
    <c:dispBlanksAs val="gap"/>
  </c:chart>
  <c:spPr>
    <a:ln>
      <a:noFill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54</xdr:row>
      <xdr:rowOff>0</xdr:rowOff>
    </xdr:from>
    <xdr:to>
      <xdr:col>9</xdr:col>
      <xdr:colOff>0</xdr:colOff>
      <xdr:row>62</xdr:row>
      <xdr:rowOff>0</xdr:rowOff>
    </xdr:to>
    <xdr:graphicFrame macro="">
      <xdr:nvGraphicFramePr>
        <xdr:cNvPr id="1" name="Revenue growth comparison">
          <a:extLst>
            <a:ext uri="{FF2B5EF4-FFF2-40B4-BE49-F238E27FC236}">
              <a16:creationId xmlns:a16="http://schemas.microsoft.com/office/drawing/2014/main" id="{00000000-874F-4C1D-8CA1-000000000001}"/>
            </a:ext>
          </a:extLst>
        </xdr:cNvPr>
        <xdr:cNvGraphicFramePr/>
      </xdr:nvGraphicFramePr>
      <xdr:xfrm>
        <a:off x="0" y="0"/>
        <a:ext cx="3267075" cy="15240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comments" Target="../comments4.xml"/><Relationship Id="rId3" Type="http://schemas.openxmlformats.org/officeDocument/2006/relationships/vmlDrawing" Target="../drawings/comments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3"/>
  <sheetViews>
    <sheetView showGridLines="0" tabSelected="1" workbookViewId="0">
      <selection activeCell="A1" sqref="A1"/>
    </sheetView>
  </sheetViews>
  <cols>
    <col min="1" max="1" width="2" customWidth="1"/>
    <col min="2" max="2" width="11" customWidth="1"/>
    <col min="3" max="3" width="34" customWidth="1"/>
    <col min="4" max="4" width="11" customWidth="1"/>
    <col min="5" max="5" width="44" customWidth="1"/>
    <col min="6" max="6" width="8" customWidth="1"/>
    <col min="7" max="10" width="9" customWidth="1"/>
    <col min="11" max="13" width="10" customWidth="1"/>
    <col min="14" max="17" width="11" customWidth="1"/>
    <col min="18" max="18" width="60" customWidth="1"/>
  </cols>
  <sheetData>
    <row r="2">
      <c r="B2" t="s" s="15">
        <v>0</v>
      </c>
    </row>
    <row r="3">
      <c r="B3" t="s" s="17">
        <v>1</v>
      </c>
    </row>
    <row r="5">
      <c r="B5" t="s" s="18">
        <v>2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>
      <c r="B6" t="s" s="20">
        <v>3</v>
      </c>
      <c r="C6" t="s" s="19">
        <v>15</v>
      </c>
      <c r="D6" t="s" s="19">
        <v>37</v>
      </c>
      <c r="E6" t="s" s="19">
        <v>52</v>
      </c>
      <c r="F6" t="s" s="19">
        <v>74</v>
      </c>
      <c r="G6" t="s" s="19">
        <v>77</v>
      </c>
      <c r="H6" t="s" s="19">
        <v>79</v>
      </c>
      <c r="I6" t="s" s="19">
        <v>80</v>
      </c>
      <c r="J6" t="s" s="19">
        <v>81</v>
      </c>
      <c r="K6" t="s" s="19">
        <v>82</v>
      </c>
      <c r="L6" t="s" s="19">
        <v>83</v>
      </c>
      <c r="M6" t="s" s="19">
        <v>84</v>
      </c>
      <c r="N6" t="s" s="19">
        <v>10</v>
      </c>
      <c r="O6" t="s" s="19">
        <v>85</v>
      </c>
      <c r="P6" t="s" s="19">
        <v>86</v>
      </c>
      <c r="Q6" t="s" s="19">
        <v>87</v>
      </c>
      <c r="R6" t="s" s="19">
        <v>90</v>
      </c>
    </row>
    <row r="7">
      <c r="B7" s="3">
        <f>DATE(2021,9,27)</f>
        <v>44466</v>
      </c>
      <c r="C7" t="s">
        <v>16</v>
      </c>
      <c r="D7" t="s" s="21">
        <v>38</v>
      </c>
      <c r="E7" t="s">
        <v>53</v>
      </c>
      <c r="F7" s="10">
        <v>10</v>
      </c>
      <c r="G7" s="10">
        <v>4.7</v>
      </c>
      <c r="H7" s="10">
        <v>5.4</v>
      </c>
      <c r="I7" s="4"/>
      <c r="J7" s="10">
        <v>1.3</v>
      </c>
      <c r="K7" s="10">
        <v>3.1</v>
      </c>
      <c r="L7" s="10">
        <v>0.3</v>
      </c>
      <c r="M7" s="4"/>
      <c r="N7" s="11">
        <v>0.4</v>
      </c>
      <c r="O7" s="11">
        <v>0.04</v>
      </c>
      <c r="P7" s="11">
        <v>0.19</v>
      </c>
      <c r="Q7" t="s" s="21">
        <v>88</v>
      </c>
      <c r="R7" t="s" s="17">
        <v>91</v>
      </c>
    </row>
    <row r="8">
      <c r="B8" s="3">
        <f>DATE(2021,11,3)</f>
        <v>44503</v>
      </c>
      <c r="C8" t="s">
        <v>17</v>
      </c>
      <c r="D8" t="s" s="21">
        <v>39</v>
      </c>
      <c r="E8" t="s">
        <v>54</v>
      </c>
      <c r="F8" s="10">
        <v>10.1</v>
      </c>
      <c r="G8" s="10">
        <v>4.7</v>
      </c>
      <c r="H8" s="4"/>
      <c r="I8" s="4"/>
      <c r="J8" s="4"/>
      <c r="K8" s="4"/>
      <c r="L8" s="4"/>
      <c r="M8" s="4"/>
      <c r="N8" s="5"/>
      <c r="O8" s="5"/>
      <c r="P8" s="5"/>
      <c r="Q8" t="s" s="21">
        <v>88</v>
      </c>
      <c r="R8" t="s" s="17">
        <v>92</v>
      </c>
    </row>
    <row r="9">
      <c r="B9" s="3">
        <f>DATE(2022,3,16)</f>
        <v>44636</v>
      </c>
      <c r="C9" t="s">
        <v>18</v>
      </c>
      <c r="D9" t="s" s="21">
        <v>40</v>
      </c>
      <c r="E9" t="s">
        <v>55</v>
      </c>
      <c r="F9" s="4"/>
      <c r="G9" s="4"/>
      <c r="H9" s="4"/>
      <c r="I9" s="4"/>
      <c r="J9" s="4"/>
      <c r="K9" s="4"/>
      <c r="L9" s="4"/>
      <c r="M9" s="4"/>
      <c r="N9" s="11">
        <v>0.4</v>
      </c>
      <c r="O9" s="11">
        <v>0.04</v>
      </c>
      <c r="P9" s="11">
        <v>0.19</v>
      </c>
      <c r="Q9" t="s" s="21">
        <v>88</v>
      </c>
      <c r="R9" t="s" s="17">
        <v>93</v>
      </c>
    </row>
    <row r="10">
      <c r="B10" s="3">
        <f>DATE(2022,8,3)</f>
        <v>44776</v>
      </c>
      <c r="C10" t="s">
        <v>19</v>
      </c>
      <c r="D10" t="s" s="22">
        <v>41</v>
      </c>
      <c r="E10" t="s">
        <v>56</v>
      </c>
      <c r="F10" s="10">
        <v>10</v>
      </c>
      <c r="G10" s="4"/>
      <c r="H10" s="4"/>
      <c r="I10" s="4"/>
      <c r="J10" s="4"/>
      <c r="K10" s="4"/>
      <c r="L10" s="4"/>
      <c r="M10" s="4"/>
      <c r="N10" s="5"/>
      <c r="O10" s="5"/>
      <c r="P10" s="5"/>
      <c r="Q10" t="s" s="21">
        <v>88</v>
      </c>
      <c r="R10" s="17"/>
    </row>
    <row r="11">
      <c r="B11" s="3">
        <f>DATE(2023,2,21)</f>
        <v>44978</v>
      </c>
      <c r="C11" t="s">
        <v>20</v>
      </c>
      <c r="D11" t="s" s="22">
        <v>42</v>
      </c>
      <c r="E11" t="s">
        <v>57</v>
      </c>
      <c r="F11" s="10">
        <v>10</v>
      </c>
      <c r="G11" s="4"/>
      <c r="H11" s="4"/>
      <c r="I11" s="10">
        <v>1</v>
      </c>
      <c r="J11" s="4"/>
      <c r="K11" s="4"/>
      <c r="L11" s="4"/>
      <c r="M11" s="4"/>
      <c r="N11" s="5"/>
      <c r="O11" s="5"/>
      <c r="P11" s="5"/>
      <c r="Q11" t="s" s="21">
        <v>88</v>
      </c>
      <c r="R11" t="s" s="17">
        <v>94</v>
      </c>
    </row>
    <row r="12">
      <c r="B12" s="3">
        <f>DATE(2023,3,3)</f>
        <v>44988</v>
      </c>
      <c r="C12" t="s">
        <v>21</v>
      </c>
      <c r="D12" t="s" s="22">
        <v>43</v>
      </c>
      <c r="E12" t="s">
        <v>55</v>
      </c>
      <c r="F12" s="4"/>
      <c r="G12" s="4"/>
      <c r="H12" s="4"/>
      <c r="I12" s="4"/>
      <c r="J12" s="4"/>
      <c r="K12" s="4"/>
      <c r="L12" s="4"/>
      <c r="M12" s="4"/>
      <c r="N12" s="11">
        <v>0.46</v>
      </c>
      <c r="O12" s="11">
        <v>0.04</v>
      </c>
      <c r="P12" s="11">
        <v>0.31</v>
      </c>
      <c r="Q12" t="s" s="21">
        <v>88</v>
      </c>
      <c r="R12" t="s" s="17">
        <v>95</v>
      </c>
    </row>
    <row r="13">
      <c r="B13" s="3">
        <f>DATE(2023,5,31)</f>
        <v>45077</v>
      </c>
      <c r="C13" t="s">
        <v>22</v>
      </c>
      <c r="D13" t="s" s="21">
        <v>44</v>
      </c>
      <c r="E13" t="s">
        <v>58</v>
      </c>
      <c r="F13" s="10">
        <v>11</v>
      </c>
      <c r="G13" s="4"/>
      <c r="H13" s="4"/>
      <c r="I13" s="4"/>
      <c r="J13" s="10">
        <v>1.7</v>
      </c>
      <c r="K13" s="4"/>
      <c r="L13" s="4"/>
      <c r="M13" s="4"/>
      <c r="N13" s="5"/>
      <c r="O13" s="5"/>
      <c r="P13" s="5"/>
      <c r="Q13" t="s" s="21">
        <v>88</v>
      </c>
      <c r="R13" s="17"/>
    </row>
    <row r="14">
      <c r="B14" s="3">
        <f>DATE(2023,6,12)</f>
        <v>45089</v>
      </c>
      <c r="C14" t="s">
        <v>23</v>
      </c>
      <c r="D14" t="s" s="21">
        <v>44</v>
      </c>
      <c r="E14" t="s">
        <v>59</v>
      </c>
      <c r="F14" s="10">
        <v>11</v>
      </c>
      <c r="G14" s="10">
        <v>5.9</v>
      </c>
      <c r="H14" s="4"/>
      <c r="I14" s="4"/>
      <c r="J14" s="10">
        <v>1.6</v>
      </c>
      <c r="K14" s="10">
        <v>4</v>
      </c>
      <c r="L14" s="10">
        <v>0.3</v>
      </c>
      <c r="M14" s="4"/>
      <c r="N14" s="5"/>
      <c r="O14" s="5"/>
      <c r="P14" s="5"/>
      <c r="Q14" t="s" s="21">
        <v>88</v>
      </c>
      <c r="R14" s="17"/>
    </row>
    <row r="15">
      <c r="B15" s="3">
        <f>DATE(2023,9,7)</f>
        <v>45176</v>
      </c>
      <c r="C15" t="s">
        <v>24</v>
      </c>
      <c r="D15" t="s" s="21">
        <v>44</v>
      </c>
      <c r="E15" t="s">
        <v>60</v>
      </c>
      <c r="F15" s="4"/>
      <c r="G15" s="10">
        <v>5.9</v>
      </c>
      <c r="H15" s="4"/>
      <c r="I15" s="4"/>
      <c r="J15" s="4"/>
      <c r="K15" s="4"/>
      <c r="L15" s="4"/>
      <c r="M15" s="4"/>
      <c r="N15" s="5"/>
      <c r="O15" s="5"/>
      <c r="P15" s="5"/>
      <c r="Q15" t="s" s="21">
        <v>88</v>
      </c>
      <c r="R15" t="s" s="17">
        <v>96</v>
      </c>
    </row>
    <row r="16">
      <c r="B16" s="3">
        <f>DATE(2024,2,29)</f>
        <v>45351</v>
      </c>
      <c r="C16" t="s">
        <v>25</v>
      </c>
      <c r="D16" t="s" s="22">
        <v>45</v>
      </c>
      <c r="E16" t="s">
        <v>55</v>
      </c>
      <c r="F16" s="4"/>
      <c r="G16" s="4"/>
      <c r="H16" s="4"/>
      <c r="I16" s="4"/>
      <c r="J16" s="4"/>
      <c r="K16" s="4"/>
      <c r="L16" s="4"/>
      <c r="M16" s="4"/>
      <c r="N16" s="11">
        <v>0.46</v>
      </c>
      <c r="O16" s="11">
        <v>0.04</v>
      </c>
      <c r="P16" s="11">
        <v>0.31</v>
      </c>
      <c r="Q16" t="s" s="21">
        <v>88</v>
      </c>
      <c r="R16" s="17"/>
    </row>
    <row r="17">
      <c r="B17" s="3">
        <f>DATE(2024,6,10)</f>
        <v>45453</v>
      </c>
      <c r="C17" t="s">
        <v>26</v>
      </c>
      <c r="D17" t="s" s="21">
        <v>44</v>
      </c>
      <c r="E17" t="s">
        <v>61</v>
      </c>
      <c r="F17" s="10">
        <v>10</v>
      </c>
      <c r="G17" s="4"/>
      <c r="H17" s="4"/>
      <c r="I17" s="4"/>
      <c r="J17" s="4"/>
      <c r="K17" s="4"/>
      <c r="L17" s="4"/>
      <c r="M17" s="4"/>
      <c r="N17" s="5"/>
      <c r="O17" s="5"/>
      <c r="P17" s="5"/>
      <c r="Q17" t="s" s="21">
        <v>88</v>
      </c>
      <c r="R17" s="17"/>
    </row>
    <row r="18">
      <c r="B18" s="3">
        <f>DATE(2025,1,13)</f>
        <v>45670</v>
      </c>
      <c r="C18" t="s">
        <v>27</v>
      </c>
      <c r="D18" t="s" s="22">
        <v>42</v>
      </c>
      <c r="E18" t="s">
        <v>62</v>
      </c>
      <c r="F18" s="4"/>
      <c r="G18" s="4"/>
      <c r="H18" s="4"/>
      <c r="I18" s="10">
        <v>1.9</v>
      </c>
      <c r="J18" s="4"/>
      <c r="K18" s="4"/>
      <c r="L18" s="4"/>
      <c r="M18" s="4"/>
      <c r="N18" s="11">
        <v>0.5</v>
      </c>
      <c r="O18" s="5"/>
      <c r="P18" s="5"/>
      <c r="Q18" t="s" s="21">
        <v>88</v>
      </c>
      <c r="R18" t="s" s="17">
        <v>97</v>
      </c>
    </row>
    <row r="19">
      <c r="B19" s="3">
        <f>DATE(2025,2,19)</f>
        <v>45707</v>
      </c>
      <c r="C19" t="s">
        <v>28</v>
      </c>
      <c r="D19" t="s" s="21">
        <v>46</v>
      </c>
      <c r="E19" t="s">
        <v>63</v>
      </c>
      <c r="F19" s="4"/>
      <c r="G19" s="10">
        <v>5.9</v>
      </c>
      <c r="H19" s="4"/>
      <c r="I19" s="4"/>
      <c r="J19" s="4"/>
      <c r="K19" s="4"/>
      <c r="L19" s="4"/>
      <c r="M19" s="4"/>
      <c r="N19" s="11">
        <v>0.5</v>
      </c>
      <c r="O19" s="5"/>
      <c r="P19" s="5"/>
      <c r="Q19" t="s" s="21">
        <v>88</v>
      </c>
      <c r="R19" s="17"/>
    </row>
    <row r="20">
      <c r="B20" s="3">
        <f>DATE(2025,2,26)</f>
        <v>45714</v>
      </c>
      <c r="C20" t="s">
        <v>29</v>
      </c>
      <c r="D20" t="s" s="21">
        <v>47</v>
      </c>
      <c r="E20" t="s">
        <v>55</v>
      </c>
      <c r="F20" s="4"/>
      <c r="G20" s="4"/>
      <c r="H20" s="4"/>
      <c r="I20" s="4"/>
      <c r="J20" s="4"/>
      <c r="K20" s="4"/>
      <c r="L20" s="4"/>
      <c r="M20" s="4"/>
      <c r="N20" s="11">
        <v>0.46</v>
      </c>
      <c r="O20" s="11">
        <v>0.04</v>
      </c>
      <c r="P20" s="11">
        <v>0.31</v>
      </c>
      <c r="Q20" t="s" s="21">
        <v>88</v>
      </c>
      <c r="R20" s="17"/>
    </row>
    <row r="21">
      <c r="B21" s="3">
        <f>DATE(2025,9,3)</f>
        <v>45903</v>
      </c>
      <c r="C21" t="s">
        <v>30</v>
      </c>
      <c r="D21" t="s" s="21">
        <v>48</v>
      </c>
      <c r="E21" t="s">
        <v>64</v>
      </c>
      <c r="F21" s="10">
        <v>23.3</v>
      </c>
      <c r="G21" s="4"/>
      <c r="H21" s="4"/>
      <c r="I21" s="4"/>
      <c r="J21" s="10">
        <v>6.3</v>
      </c>
      <c r="K21" s="4"/>
      <c r="L21" s="4"/>
      <c r="M21" s="10">
        <v>3.2</v>
      </c>
      <c r="N21" s="5"/>
      <c r="O21" s="5"/>
      <c r="P21" s="5"/>
      <c r="Q21" t="s" s="21">
        <v>88</v>
      </c>
      <c r="R21" t="s" s="17">
        <v>98</v>
      </c>
    </row>
    <row r="22">
      <c r="B22" s="3">
        <f>DATE(2025,11,5)</f>
        <v>45966</v>
      </c>
      <c r="C22" t="s">
        <v>31</v>
      </c>
      <c r="D22" t="s" s="22">
        <v>42</v>
      </c>
      <c r="E22" t="s">
        <v>65</v>
      </c>
      <c r="F22" s="10">
        <v>23</v>
      </c>
      <c r="G22" s="4"/>
      <c r="H22" s="4"/>
      <c r="I22" s="4"/>
      <c r="J22" s="4"/>
      <c r="K22" s="4"/>
      <c r="L22" s="4"/>
      <c r="M22" s="4"/>
      <c r="N22" s="5"/>
      <c r="O22" s="5"/>
      <c r="P22" s="5"/>
      <c r="Q22" t="s" s="21">
        <v>88</v>
      </c>
      <c r="R22" t="s" s="17">
        <v>99</v>
      </c>
    </row>
    <row r="23">
      <c r="B23" s="3">
        <f>DATE(2026,2,18)</f>
        <v>46071</v>
      </c>
      <c r="C23" t="s">
        <v>32</v>
      </c>
      <c r="D23" t="s" s="21">
        <v>49</v>
      </c>
      <c r="E23" t="s">
        <v>66</v>
      </c>
      <c r="F23" s="10">
        <v>23</v>
      </c>
      <c r="G23" s="4"/>
      <c r="H23" s="4"/>
      <c r="I23" s="4"/>
      <c r="J23" s="10">
        <v>6</v>
      </c>
      <c r="K23" s="10">
        <v>10</v>
      </c>
      <c r="L23" s="4"/>
      <c r="M23" s="10">
        <v>3</v>
      </c>
      <c r="N23" s="11">
        <v>0.51</v>
      </c>
      <c r="O23" s="5"/>
      <c r="P23" s="5"/>
      <c r="Q23" t="s" s="21">
        <v>89</v>
      </c>
      <c r="R23" t="s" s="17">
        <v>100</v>
      </c>
    </row>
    <row r="25">
      <c r="B25" t="s" s="18">
        <v>4</v>
      </c>
      <c r="C25" s="18"/>
      <c r="D25" s="18"/>
      <c r="E25" s="18"/>
      <c r="F25" s="18"/>
      <c r="G25" s="18"/>
      <c r="H25" s="18"/>
      <c r="I25" s="18"/>
      <c r="J25" s="18"/>
    </row>
    <row r="26">
      <c r="C26" t="s" s="20">
        <v>5</v>
      </c>
      <c r="D26" s="19"/>
      <c r="E26" s="19"/>
      <c r="F26" t="s" s="19">
        <v>33</v>
      </c>
      <c r="G26" t="s" s="19">
        <v>384</v>
      </c>
      <c r="H26" t="s" s="19">
        <v>67</v>
      </c>
      <c r="I26" t="s" s="19">
        <v>75</v>
      </c>
      <c r="J26" t="s" s="19">
        <v>78</v>
      </c>
    </row>
    <row r="27">
      <c r="C27" t="s">
        <v>6</v>
      </c>
      <c r="F27" s="4">
        <f>F7</f>
        <v>10</v>
      </c>
      <c r="G27" s="4">
        <f>F22</f>
        <v>23</v>
      </c>
      <c r="H27" s="6">
        <f>G27/F27</f>
        <v>2.3</v>
      </c>
      <c r="I27" s="3">
        <f>B7</f>
        <v>44466</v>
      </c>
      <c r="J27" s="3">
        <f>B22</f>
        <v>45966</v>
      </c>
    </row>
    <row r="28">
      <c r="C28" t="s">
        <v>7</v>
      </c>
      <c r="F28" s="4">
        <f>G7</f>
        <v>4.7</v>
      </c>
      <c r="G28" s="4">
        <f>G19</f>
        <v>5.9</v>
      </c>
      <c r="H28" s="6">
        <f>G28/F28</f>
        <v>1.2553191489361701</v>
      </c>
      <c r="I28" s="3">
        <f>B7</f>
        <v>44466</v>
      </c>
      <c r="J28" s="3">
        <f>B19</f>
        <v>45707</v>
      </c>
    </row>
    <row r="29">
      <c r="C29" t="s">
        <v>8</v>
      </c>
      <c r="F29" s="4">
        <f>J7</f>
        <v>1.3</v>
      </c>
      <c r="G29" s="4">
        <f>J21</f>
        <v>6.3</v>
      </c>
      <c r="H29" s="6">
        <f>G29/F29</f>
        <v>4.846153846153846</v>
      </c>
      <c r="I29" s="3">
        <f>B7</f>
        <v>44466</v>
      </c>
      <c r="J29" s="3">
        <f>B21</f>
        <v>45903</v>
      </c>
    </row>
    <row r="30">
      <c r="C30" t="s">
        <v>9</v>
      </c>
      <c r="F30" s="4">
        <f>K7</f>
        <v>3.1</v>
      </c>
      <c r="G30" s="4">
        <f>K14</f>
        <v>4</v>
      </c>
      <c r="H30" s="6">
        <f>G30/F30</f>
        <v>1.2903225806451613</v>
      </c>
      <c r="I30" s="3">
        <f>B7</f>
        <v>44466</v>
      </c>
      <c r="J30" s="3">
        <f>B14</f>
        <v>45089</v>
      </c>
    </row>
    <row r="31">
      <c r="C31" t="s">
        <v>10</v>
      </c>
      <c r="F31" s="5">
        <f>N7</f>
        <v>0.4</v>
      </c>
      <c r="G31" s="5">
        <f>N19</f>
        <v>0.5</v>
      </c>
      <c r="H31" s="5">
        <f>G31-F31</f>
        <v>0.09999999999999998</v>
      </c>
      <c r="I31" s="3">
        <f>B7</f>
        <v>44466</v>
      </c>
      <c r="J31" s="3">
        <f>B19</f>
        <v>45707</v>
      </c>
    </row>
    <row r="32">
      <c r="C32" t="s">
        <v>11</v>
      </c>
      <c r="F32" s="5">
        <f>P7</f>
        <v>0.19</v>
      </c>
      <c r="G32" s="5">
        <f>P20</f>
        <v>0.31</v>
      </c>
      <c r="H32" s="5">
        <f>G32-F32</f>
        <v>0.12</v>
      </c>
      <c r="I32" s="3">
        <f>B7</f>
        <v>44466</v>
      </c>
      <c r="J32" s="3">
        <f>B20</f>
        <v>45714</v>
      </c>
    </row>
    <row r="33">
      <c r="C33" t="s">
        <v>12</v>
      </c>
      <c r="F33" s="12">
        <v>158</v>
      </c>
    </row>
    <row r="34">
      <c r="C34" t="s">
        <v>13</v>
      </c>
      <c r="F34" s="8">
        <f>F7/F33*10</f>
        <v>0.6329113924050633</v>
      </c>
    </row>
    <row r="37">
      <c r="B37" t="s" s="18">
        <v>14</v>
      </c>
      <c r="C37" s="18"/>
      <c r="D37" s="18"/>
      <c r="E37" s="18"/>
      <c r="F37" s="18"/>
      <c r="G37" s="18"/>
    </row>
    <row r="38">
      <c r="B38" t="s" s="20">
        <v>3</v>
      </c>
      <c r="C38" t="s" s="19">
        <v>15</v>
      </c>
      <c r="D38" t="s" s="19">
        <v>37</v>
      </c>
      <c r="E38" t="s" s="19">
        <v>5</v>
      </c>
      <c r="F38" t="s" s="19">
        <v>76</v>
      </c>
      <c r="G38" t="s" s="20">
        <v>90</v>
      </c>
    </row>
    <row r="39">
      <c r="B39" s="3">
        <f>DATE(2023,9,13)</f>
        <v>45182</v>
      </c>
      <c r="C39" t="s">
        <v>34</v>
      </c>
      <c r="D39" t="s" s="21">
        <v>390</v>
      </c>
      <c r="E39" t="s">
        <v>68</v>
      </c>
      <c r="F39" s="69">
        <v>4</v>
      </c>
      <c r="G39" t="s" s="70">
        <v>391</v>
      </c>
    </row>
    <row r="40">
      <c r="B40" s="3">
        <f>DATE(2024,8,13)</f>
        <v>45517</v>
      </c>
      <c r="C40" t="s">
        <v>35</v>
      </c>
      <c r="D40" t="s" s="21">
        <v>390</v>
      </c>
      <c r="E40" t="s">
        <v>69</v>
      </c>
      <c r="F40" s="69">
        <v>1</v>
      </c>
      <c r="G40" t="s" s="70">
        <v>391</v>
      </c>
    </row>
    <row r="41">
      <c r="B41" s="3">
        <f>DATE(2024,8,13)</f>
        <v>45517</v>
      </c>
      <c r="C41" t="s">
        <v>35</v>
      </c>
      <c r="D41" t="s" s="21">
        <v>390</v>
      </c>
      <c r="E41" t="s">
        <v>70</v>
      </c>
      <c r="F41" s="69">
        <v>4</v>
      </c>
      <c r="G41" t="s" s="70">
        <v>391</v>
      </c>
    </row>
    <row r="42">
      <c r="B42" s="3">
        <f>DATE(2025,6,11)</f>
        <v>45819</v>
      </c>
      <c r="C42" t="s">
        <v>36</v>
      </c>
      <c r="D42" t="s" s="21">
        <v>390</v>
      </c>
      <c r="E42" t="s">
        <v>72</v>
      </c>
      <c r="F42" s="69">
        <v>4</v>
      </c>
      <c r="G42" t="s" s="70">
        <v>391</v>
      </c>
    </row>
    <row r="43">
      <c r="B43" s="3">
        <f>DATE(2025,9,3)</f>
        <v>45903</v>
      </c>
      <c r="C43" t="s">
        <v>30</v>
      </c>
      <c r="D43" t="s" s="22">
        <v>51</v>
      </c>
      <c r="E43" t="s">
        <v>73</v>
      </c>
      <c r="F43" s="13">
        <v>4.5</v>
      </c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2"/>
  <sheetViews>
    <sheetView showGridLines="0" workbookViewId="0">
      <selection activeCell="A1" sqref="A1"/>
    </sheetView>
  </sheetViews>
  <cols>
    <col min="1" max="1" width="2" customWidth="1"/>
    <col min="2" max="2" width="46" customWidth="1"/>
    <col min="3" max="3" width="10" customWidth="1"/>
    <col min="4" max="4" width="16" customWidth="1"/>
    <col min="5" max="5" width="12" customWidth="1"/>
    <col min="6" max="7" width="11" customWidth="1"/>
    <col min="8" max="8" width="9" customWidth="1"/>
    <col min="9" max="12" width="10" customWidth="1"/>
    <col min="13" max="14" width="12" customWidth="1"/>
    <col min="15" max="15" width="60" customWidth="1"/>
  </cols>
  <sheetData>
    <row r="2">
      <c r="B2" t="s" s="15">
        <v>101</v>
      </c>
    </row>
    <row r="3">
      <c r="B3" t="s" s="17">
        <v>102</v>
      </c>
    </row>
    <row r="5">
      <c r="B5" t="s" s="18">
        <v>103</v>
      </c>
      <c r="C5" t="s" s="18">
        <v>76</v>
      </c>
      <c r="D5" t="s" s="18">
        <v>15</v>
      </c>
    </row>
    <row r="6">
      <c r="B6" t="s">
        <v>104</v>
      </c>
      <c r="C6" s="12">
        <v>730</v>
      </c>
      <c r="D6" t="s">
        <v>197</v>
      </c>
    </row>
    <row r="7">
      <c r="B7" t="s">
        <v>105</v>
      </c>
      <c r="C7" s="12">
        <v>816</v>
      </c>
      <c r="D7" t="s">
        <v>198</v>
      </c>
    </row>
    <row r="8">
      <c r="B8" t="s">
        <v>106</v>
      </c>
      <c r="C8" s="11">
        <v>0.41</v>
      </c>
      <c r="D8" t="s">
        <v>199</v>
      </c>
    </row>
    <row r="9">
      <c r="B9" t="s">
        <v>107</v>
      </c>
      <c r="C9" s="11">
        <v>0.26</v>
      </c>
      <c r="D9" t="s">
        <v>199</v>
      </c>
    </row>
    <row r="10">
      <c r="B10" t="s">
        <v>108</v>
      </c>
      <c r="C10" s="11">
        <v>0.17</v>
      </c>
      <c r="D10" t="s">
        <v>199</v>
      </c>
    </row>
    <row r="11">
      <c r="B11" t="s">
        <v>109</v>
      </c>
      <c r="C11" s="5">
        <f>1-SUM(C8:C10)</f>
        <v>0.16000000000000003</v>
      </c>
    </row>
    <row r="12">
      <c r="B12" t="s">
        <v>110</v>
      </c>
      <c r="C12" s="10">
        <v>5</v>
      </c>
      <c r="D12" t="s">
        <v>200</v>
      </c>
    </row>
    <row r="13">
      <c r="B13" t="s">
        <v>111</v>
      </c>
      <c r="C13" s="10">
        <v>3.2</v>
      </c>
      <c r="D13" t="s">
        <v>200</v>
      </c>
    </row>
    <row r="14">
      <c r="B14" t="s">
        <v>112</v>
      </c>
      <c r="C14" s="10">
        <v>1.4</v>
      </c>
      <c r="D14" t="s">
        <v>200</v>
      </c>
    </row>
    <row r="15">
      <c r="B15" t="s">
        <v>113</v>
      </c>
      <c r="C15" s="10">
        <v>0.4</v>
      </c>
      <c r="D15" t="s">
        <v>200</v>
      </c>
    </row>
    <row r="16">
      <c r="B16" t="s">
        <v>114</v>
      </c>
      <c r="C16" s="10">
        <v>0.3</v>
      </c>
      <c r="D16" t="s">
        <v>200</v>
      </c>
    </row>
    <row r="17">
      <c r="B17" t="s">
        <v>115</v>
      </c>
      <c r="C17" s="8">
        <f>C6*C8/C12/100</f>
        <v>0.5985999999999999</v>
      </c>
    </row>
    <row r="18">
      <c r="B18" t="s">
        <v>116</v>
      </c>
      <c r="C18" s="8">
        <f>C6*C9/C13/100</f>
        <v>0.593125</v>
      </c>
    </row>
    <row r="19">
      <c r="B19" t="s">
        <v>117</v>
      </c>
      <c r="C19" s="8">
        <f>C6*C11/SUM(C14:C16)/100</f>
        <v>0.5561904761904765</v>
      </c>
    </row>
    <row r="20">
      <c r="B20" t="s">
        <v>118</v>
      </c>
      <c r="C20" s="8">
        <f>C6*(1-C10)/SUM(C12:C16)/100</f>
        <v>0.5882524271844659</v>
      </c>
    </row>
    <row r="22">
      <c r="B22" t="s">
        <v>120</v>
      </c>
      <c r="C22" s="12">
        <v>226</v>
      </c>
      <c r="D22" t="s">
        <v>198</v>
      </c>
    </row>
    <row r="23">
      <c r="B23" t="s">
        <v>121</v>
      </c>
      <c r="C23" s="12">
        <v>916</v>
      </c>
      <c r="D23" t="s">
        <v>202</v>
      </c>
    </row>
    <row r="24">
      <c r="B24" t="s">
        <v>122</v>
      </c>
      <c r="C24" s="7">
        <f>C22/C23*1000</f>
        <v>246.72489082969432</v>
      </c>
    </row>
    <row r="25">
      <c r="B25" t="s">
        <v>123</v>
      </c>
      <c r="C25" s="12">
        <v>2500</v>
      </c>
      <c r="D25" t="s">
        <v>200</v>
      </c>
    </row>
    <row r="26">
      <c r="B26" t="s">
        <v>124</v>
      </c>
      <c r="C26" s="7">
        <f>C7/C25*1000</f>
        <v>326.40000000000003</v>
      </c>
    </row>
    <row r="27">
      <c r="B27" t="s">
        <v>125</v>
      </c>
      <c r="C27" s="71">
        <v>1</v>
      </c>
      <c r="D27" t="s">
        <v>392</v>
      </c>
    </row>
    <row r="28">
      <c r="B28" t="s">
        <v>72</v>
      </c>
      <c r="C28" s="71">
        <v>4</v>
      </c>
      <c r="D28" t="s">
        <v>393</v>
      </c>
    </row>
    <row r="29">
      <c r="B29" t="s">
        <v>126</v>
      </c>
      <c r="C29" s="6">
        <f>C28/C27</f>
        <v>4</v>
      </c>
    </row>
    <row r="31">
      <c r="B31" t="s" s="18">
        <v>127</v>
      </c>
      <c r="C31" s="18"/>
      <c r="D31" s="18"/>
      <c r="E31" s="18"/>
      <c r="F31" s="18"/>
      <c r="G31" s="18"/>
      <c r="H31" s="18"/>
      <c r="I31" s="18"/>
      <c r="J31" s="18"/>
    </row>
    <row r="32">
      <c r="B32" t="s" s="20">
        <v>128</v>
      </c>
      <c r="C32" t="s" s="19">
        <v>194</v>
      </c>
      <c r="D32" t="s" s="19">
        <v>203</v>
      </c>
      <c r="E32" t="s" s="19">
        <v>217</v>
      </c>
      <c r="F32" t="s" s="19">
        <v>219</v>
      </c>
      <c r="G32" t="s" s="19">
        <v>221</v>
      </c>
      <c r="H32" t="s" s="19">
        <v>223</v>
      </c>
      <c r="I32" t="s" s="19">
        <v>225</v>
      </c>
      <c r="J32" t="s" s="19">
        <v>15</v>
      </c>
    </row>
    <row r="33">
      <c r="B33" t="s">
        <v>129</v>
      </c>
      <c r="C33" s="31">
        <v>12.2</v>
      </c>
      <c r="D33" s="31">
        <v>12.1</v>
      </c>
      <c r="E33" s="23">
        <f>C33+D33</f>
        <v>24.299999999999997</v>
      </c>
      <c r="F33" s="3">
        <f>DATE(2020,6,30)</f>
        <v>44012</v>
      </c>
      <c r="G33" s="24">
        <f>C48</f>
        <v>0.04914529093091957</v>
      </c>
      <c r="H33" s="9">
        <f>YEARFRAC(F33,$C$55)</f>
        <v>5.5</v>
      </c>
      <c r="I33" s="23">
        <f>E33*(1+G33)^H33</f>
        <v>31.637508122464432</v>
      </c>
      <c r="J33" t="s">
        <v>206</v>
      </c>
    </row>
    <row r="34">
      <c r="B34" t="s">
        <v>130</v>
      </c>
      <c r="C34" s="31">
        <v>38.1</v>
      </c>
      <c r="D34" s="31">
        <v>30.1</v>
      </c>
      <c r="E34" s="23">
        <f>C34+D34</f>
        <v>68.2</v>
      </c>
      <c r="F34" s="3">
        <f>DATE(2020,6,30)</f>
        <v>44012</v>
      </c>
      <c r="G34" s="24">
        <f>C46</f>
        <v>0.0707643465075618</v>
      </c>
      <c r="H34" s="9">
        <f>YEARFRAC(F34,$C$55)</f>
        <v>5.5</v>
      </c>
      <c r="I34" s="23">
        <f>E34*(1+G34)^H34</f>
        <v>99.3346658908884</v>
      </c>
      <c r="J34" t="s">
        <v>206</v>
      </c>
    </row>
    <row r="35">
      <c r="B35" t="s">
        <v>131</v>
      </c>
      <c r="C35" s="31">
        <v>2.1</v>
      </c>
      <c r="D35" s="31">
        <v>1.4</v>
      </c>
      <c r="E35" s="23">
        <f>C35+D35</f>
        <v>3.5</v>
      </c>
      <c r="F35" s="3">
        <f>DATE(2020,6,30)</f>
        <v>44012</v>
      </c>
      <c r="G35" s="24">
        <f>C51</f>
        <v>0.03</v>
      </c>
      <c r="H35" s="9">
        <f>YEARFRAC(F35,$C$55)</f>
        <v>5.5</v>
      </c>
      <c r="I35" s="23">
        <f>E35*(1+G35)^H35</f>
        <v>4.117871406002677</v>
      </c>
      <c r="J35" t="s">
        <v>206</v>
      </c>
    </row>
    <row r="36">
      <c r="B36" t="s">
        <v>132</v>
      </c>
      <c r="C36" s="23"/>
      <c r="D36" s="23"/>
      <c r="E36" s="31">
        <v>21.8</v>
      </c>
      <c r="F36" s="3">
        <f>DATE(2020,6,30)</f>
        <v>44012</v>
      </c>
      <c r="G36" s="24">
        <f>C52</f>
        <v>0.05</v>
      </c>
      <c r="H36" s="9">
        <f>YEARFRAC(F36,$C$55)</f>
        <v>5.5</v>
      </c>
      <c r="I36" s="23">
        <f>E36*(1+G36)^H36</f>
        <v>28.51002764907809</v>
      </c>
      <c r="J36" t="s">
        <v>206</v>
      </c>
    </row>
    <row r="37">
      <c r="B37" t="s">
        <v>133</v>
      </c>
      <c r="C37" s="23"/>
      <c r="D37" s="23"/>
      <c r="E37" s="31">
        <v>39.6</v>
      </c>
      <c r="F37" s="3">
        <f>DATE(2020,6,30)</f>
        <v>44012</v>
      </c>
      <c r="G37" s="24">
        <f>C52</f>
        <v>0.05</v>
      </c>
      <c r="H37" s="9">
        <f>YEARFRAC(F37,$C$55)</f>
        <v>5.5</v>
      </c>
      <c r="I37" s="23">
        <f>E37*(1+G37)^H37</f>
        <v>51.788857564380386</v>
      </c>
      <c r="J37" t="s">
        <v>206</v>
      </c>
    </row>
    <row r="38">
      <c r="B38" t="s">
        <v>134</v>
      </c>
      <c r="C38" s="23">
        <f>C56/1000000</f>
        <v>5.585105</v>
      </c>
      <c r="D38" s="23"/>
      <c r="E38" s="23">
        <f>C38</f>
        <v>5.585105</v>
      </c>
      <c r="F38" s="3">
        <f>DATE(2024,12,31)</f>
        <v>45657</v>
      </c>
      <c r="G38" s="24">
        <f>C53</f>
        <v>0.028</v>
      </c>
      <c r="H38" s="9">
        <f>YEARFRAC(F38,$C$55)</f>
        <v>1</v>
      </c>
      <c r="I38" s="23">
        <f>E38*(1+G38)^H38</f>
        <v>5.741487940000001</v>
      </c>
      <c r="J38" t="s">
        <v>208</v>
      </c>
    </row>
    <row r="39">
      <c r="B39" t="s">
        <v>135</v>
      </c>
      <c r="C39" s="23">
        <f>C57/1000000</f>
        <v>0.512489</v>
      </c>
      <c r="D39" s="23"/>
      <c r="E39" s="23">
        <f>C39</f>
        <v>0.512489</v>
      </c>
      <c r="F39" s="3">
        <f>DATE(2024,12,31)</f>
        <v>45657</v>
      </c>
      <c r="G39" s="24">
        <f>C53</f>
        <v>0.028</v>
      </c>
      <c r="H39" s="9">
        <f>YEARFRAC(F39,$C$55)</f>
        <v>1</v>
      </c>
      <c r="I39" s="23">
        <f>E39*(1+G39)^H39</f>
        <v>0.526838692</v>
      </c>
      <c r="J39" t="s">
        <v>208</v>
      </c>
    </row>
    <row r="40">
      <c r="B40" t="s">
        <v>136</v>
      </c>
      <c r="C40" s="23"/>
      <c r="D40" s="23"/>
      <c r="E40" s="31">
        <v>4.98</v>
      </c>
      <c r="F40" s="3">
        <f>DATE(2025,9,30)</f>
        <v>45930</v>
      </c>
      <c r="G40" s="24">
        <f>C54</f>
        <v>0.05</v>
      </c>
      <c r="H40" s="9">
        <f>YEARFRAC(F40,$C$55)</f>
        <v>0.25</v>
      </c>
      <c r="I40" s="23">
        <f>E40*(1+G40)^H40</f>
        <v>5.041115727456616</v>
      </c>
      <c r="J40" t="s">
        <v>215</v>
      </c>
    </row>
    <row r="43">
      <c r="B43" t="s" s="18">
        <v>137</v>
      </c>
      <c r="C43" s="18"/>
      <c r="D43" s="18"/>
      <c r="E43" s="18"/>
      <c r="F43" s="18"/>
      <c r="G43" t="s" s="66">
        <v>363</v>
      </c>
      <c r="H43" t="s" s="66">
        <v>364</v>
      </c>
    </row>
    <row r="44">
      <c r="B44" t="s">
        <v>138</v>
      </c>
      <c r="C44" s="10">
        <v>110</v>
      </c>
      <c r="D44" t="s">
        <v>204</v>
      </c>
      <c r="G44" s="32">
        <v>2020</v>
      </c>
    </row>
    <row r="45">
      <c r="B45" t="s">
        <v>139</v>
      </c>
      <c r="C45" s="10">
        <v>144.6</v>
      </c>
      <c r="D45" t="s">
        <v>204</v>
      </c>
      <c r="G45" s="32">
        <v>2024</v>
      </c>
    </row>
    <row r="46">
      <c r="B46" t="s">
        <v>140</v>
      </c>
      <c r="C46" s="24">
        <f>(C45/C44)^(1/(G45-G44))-1</f>
        <v>0.0707643465075618</v>
      </c>
    </row>
    <row r="47">
      <c r="B47" t="s">
        <v>141</v>
      </c>
      <c r="C47" s="11">
        <v>0.54</v>
      </c>
      <c r="D47" t="s">
        <v>205</v>
      </c>
      <c r="G47" s="32">
        <v>2015</v>
      </c>
      <c r="H47" s="32">
        <v>2024</v>
      </c>
    </row>
    <row r="48">
      <c r="B48" t="s">
        <v>142</v>
      </c>
      <c r="C48" s="24">
        <f>(1+C47)^(1/(H47-G47))-1</f>
        <v>0.04914529093091957</v>
      </c>
    </row>
    <row r="49">
      <c r="B49" t="s">
        <v>143</v>
      </c>
      <c r="C49" s="33">
        <v>0.02</v>
      </c>
      <c r="D49" t="s">
        <v>206</v>
      </c>
    </row>
    <row r="50">
      <c r="B50" t="s">
        <v>144</v>
      </c>
      <c r="C50" s="33">
        <v>0.04</v>
      </c>
      <c r="D50" t="s">
        <v>206</v>
      </c>
    </row>
    <row r="51">
      <c r="B51" t="s">
        <v>145</v>
      </c>
      <c r="C51" s="24">
        <f>AVERAGE(C49:C50)</f>
        <v>0.03</v>
      </c>
    </row>
    <row r="52">
      <c r="B52" t="s">
        <v>146</v>
      </c>
      <c r="C52" s="36">
        <v>0.05</v>
      </c>
      <c r="D52" t="s">
        <v>207</v>
      </c>
    </row>
    <row r="53">
      <c r="B53" t="s">
        <v>147</v>
      </c>
      <c r="C53" s="33">
        <v>0.028</v>
      </c>
      <c r="D53" t="s">
        <v>208</v>
      </c>
    </row>
    <row r="54">
      <c r="B54" t="s">
        <v>148</v>
      </c>
      <c r="C54" s="33">
        <v>0.05</v>
      </c>
      <c r="D54" t="s">
        <v>209</v>
      </c>
    </row>
    <row r="55">
      <c r="B55" t="s">
        <v>149</v>
      </c>
      <c r="C55" s="3">
        <f>DATE(2025,12,31)</f>
        <v>46022</v>
      </c>
    </row>
    <row r="56">
      <c r="B56" t="s">
        <v>150</v>
      </c>
      <c r="C56" s="12">
        <v>5585105</v>
      </c>
      <c r="D56" t="s">
        <v>208</v>
      </c>
    </row>
    <row r="57">
      <c r="B57" t="s">
        <v>151</v>
      </c>
      <c r="C57" s="12">
        <v>512489</v>
      </c>
      <c r="D57" t="s">
        <v>208</v>
      </c>
    </row>
    <row r="60">
      <c r="B60" t="s" s="18">
        <v>152</v>
      </c>
      <c r="C60" s="18"/>
      <c r="D60" s="18"/>
    </row>
    <row r="61">
      <c r="B61" t="s">
        <v>153</v>
      </c>
      <c r="C61" s="12">
        <v>1118</v>
      </c>
      <c r="D61" t="s">
        <v>210</v>
      </c>
    </row>
    <row r="62">
      <c r="B62" t="s">
        <v>154</v>
      </c>
      <c r="C62" s="12">
        <v>736</v>
      </c>
      <c r="D62" t="s">
        <v>211</v>
      </c>
    </row>
    <row r="63">
      <c r="B63" t="s">
        <v>155</v>
      </c>
      <c r="C63" s="7">
        <f>C61+C62</f>
        <v>1854</v>
      </c>
    </row>
    <row r="64">
      <c r="B64" t="s">
        <v>156</v>
      </c>
      <c r="C64" s="7">
        <f>C63*E33/C33</f>
        <v>3692.8032786885246</v>
      </c>
    </row>
    <row r="65">
      <c r="B65" t="s">
        <v>157</v>
      </c>
      <c r="C65" s="12">
        <v>15870</v>
      </c>
      <c r="D65" t="s">
        <v>204</v>
      </c>
    </row>
    <row r="66">
      <c r="B66" t="s">
        <v>158</v>
      </c>
      <c r="C66" s="33">
        <v>0.685</v>
      </c>
      <c r="D66" t="s">
        <v>204</v>
      </c>
    </row>
    <row r="67">
      <c r="B67" t="s">
        <v>159</v>
      </c>
      <c r="C67" s="7">
        <f>C65*(1-C66)</f>
        <v>4999.049999999999</v>
      </c>
    </row>
    <row r="68">
      <c r="B68" t="s">
        <v>160</v>
      </c>
      <c r="C68" s="7">
        <f>C67*E34/C34</f>
        <v>8948.430708661415</v>
      </c>
    </row>
    <row r="69">
      <c r="B69" t="s">
        <v>161</v>
      </c>
      <c r="C69" s="12">
        <v>1000</v>
      </c>
      <c r="D69" t="s">
        <v>212</v>
      </c>
    </row>
    <row r="70">
      <c r="B70" t="s">
        <v>162</v>
      </c>
      <c r="C70" s="7">
        <f>C69*E35/C35</f>
        <v>1666.6666666666665</v>
      </c>
    </row>
    <row r="71">
      <c r="B71" t="s">
        <v>163</v>
      </c>
      <c r="C71" s="12">
        <v>4487</v>
      </c>
      <c r="D71" t="s">
        <v>213</v>
      </c>
    </row>
    <row r="72">
      <c r="B72" t="s">
        <v>164</v>
      </c>
      <c r="C72" s="12">
        <v>4046</v>
      </c>
      <c r="D72" t="s">
        <v>208</v>
      </c>
    </row>
    <row r="73">
      <c r="B73" t="s">
        <v>165</v>
      </c>
      <c r="C73" s="12">
        <v>4440</v>
      </c>
      <c r="D73" t="s">
        <v>214</v>
      </c>
    </row>
    <row r="74">
      <c r="B74" t="s">
        <v>166</v>
      </c>
      <c r="C74" s="12">
        <v>8464</v>
      </c>
      <c r="D74" t="s">
        <v>215</v>
      </c>
    </row>
    <row r="77">
      <c r="B77" t="s" s="18">
        <v>167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>
      <c r="B78" t="s" s="20">
        <v>128</v>
      </c>
      <c r="C78" t="s" s="19">
        <v>195</v>
      </c>
      <c r="D78" t="s" s="19">
        <v>216</v>
      </c>
      <c r="E78" t="s" s="19">
        <v>385</v>
      </c>
      <c r="F78" t="s" s="19">
        <v>220</v>
      </c>
      <c r="G78" t="s" s="19">
        <v>222</v>
      </c>
      <c r="H78" t="s" s="19">
        <v>224</v>
      </c>
      <c r="I78" t="s" s="19">
        <v>226</v>
      </c>
      <c r="J78" t="s" s="19">
        <v>227</v>
      </c>
      <c r="K78" t="s" s="19">
        <v>228</v>
      </c>
      <c r="L78" t="s" s="19">
        <v>221</v>
      </c>
      <c r="M78" t="s" s="19">
        <v>229</v>
      </c>
      <c r="N78" t="s" s="19">
        <v>230</v>
      </c>
      <c r="O78" t="s" s="19">
        <v>90</v>
      </c>
    </row>
    <row r="79">
      <c r="B79" t="s">
        <v>129</v>
      </c>
      <c r="C79" s="7">
        <f>C64</f>
        <v>3692.8032786885246</v>
      </c>
      <c r="D79" s="4">
        <f>I33</f>
        <v>31.637508122464432</v>
      </c>
      <c r="E79" s="4">
        <f>D79/C79*1000</f>
        <v>8.5673418633067</v>
      </c>
      <c r="F79" s="8">
        <f>C17</f>
        <v>0.5985999999999999</v>
      </c>
      <c r="G79" s="7">
        <f>E79*F79*100</f>
        <v>512.8410839375389</v>
      </c>
      <c r="H79" s="46">
        <v>1</v>
      </c>
      <c r="I79" s="7">
        <f>D79*F79*100*H79</f>
        <v>1893.8212362107204</v>
      </c>
      <c r="J79" s="6">
        <f>$C$29</f>
        <v>4</v>
      </c>
      <c r="K79" s="7">
        <f>D79*F79*100*J79</f>
        <v>7575.2849448428815</v>
      </c>
      <c r="L79" s="24">
        <f>G33</f>
        <v>0.04914529093091957</v>
      </c>
      <c r="M79" s="7">
        <f>I79*(1+L79)^$C$102</f>
        <v>2407.2276346983053</v>
      </c>
      <c r="N79" s="7">
        <f>K79*(1+L79)^$C$102</f>
        <v>9628.910538793221</v>
      </c>
      <c r="O79" t="s" s="17">
        <v>365</v>
      </c>
    </row>
    <row r="80">
      <c r="B80" t="s">
        <v>168</v>
      </c>
      <c r="C80" s="7">
        <f>C68</f>
        <v>8948.430708661415</v>
      </c>
      <c r="D80" s="4">
        <f>I34</f>
        <v>99.3346658908884</v>
      </c>
      <c r="E80" s="4">
        <f>D80/C80*1000</f>
        <v>11.100791761704075</v>
      </c>
      <c r="F80" s="8">
        <f>C18</f>
        <v>0.593125</v>
      </c>
      <c r="G80" s="7">
        <f>E80*F80*100</f>
        <v>658.415711366073</v>
      </c>
      <c r="H80" s="46">
        <v>1</v>
      </c>
      <c r="I80" s="7">
        <f>D80*F80*100*H80</f>
        <v>5891.787370653318</v>
      </c>
      <c r="J80" s="6">
        <f>$C$29</f>
        <v>4</v>
      </c>
      <c r="K80" s="7">
        <f>D80*F80*100*J80</f>
        <v>23567.149482613273</v>
      </c>
      <c r="L80" s="24">
        <f>G34</f>
        <v>0.0707643465075618</v>
      </c>
      <c r="M80" s="7">
        <f>I80*(1+L80)^$C$102</f>
        <v>8293.093749499008</v>
      </c>
      <c r="N80" s="7">
        <f>K80*(1+L80)^$C$102</f>
        <v>33172.374997996034</v>
      </c>
      <c r="O80" t="s" s="17">
        <v>366</v>
      </c>
    </row>
    <row r="81">
      <c r="B81" t="s">
        <v>131</v>
      </c>
      <c r="C81" s="7">
        <f>C70</f>
        <v>1666.6666666666665</v>
      </c>
      <c r="D81" s="4">
        <f>I35</f>
        <v>4.117871406002677</v>
      </c>
      <c r="E81" s="4">
        <f>D81/C81*1000</f>
        <v>2.470722843601606</v>
      </c>
      <c r="F81" s="8">
        <f>C19</f>
        <v>0.5561904761904765</v>
      </c>
      <c r="G81" s="7">
        <f>E81*F81*100</f>
        <v>137.41925149174654</v>
      </c>
      <c r="H81" s="46">
        <v>1</v>
      </c>
      <c r="I81" s="7">
        <f>D81*F81*100*H81</f>
        <v>229.03208581957756</v>
      </c>
      <c r="J81" s="6">
        <f>$C$29</f>
        <v>4</v>
      </c>
      <c r="K81" s="7">
        <f>D81*F81*100*J81</f>
        <v>916.1283432783102</v>
      </c>
      <c r="L81" s="24">
        <f>G35</f>
        <v>0.03</v>
      </c>
      <c r="M81" s="7">
        <f>I81*(1+L81)^$C$102</f>
        <v>265.51095927348894</v>
      </c>
      <c r="N81" s="7">
        <f>K81*(1+L81)^$C$102</f>
        <v>1062.0438370939557</v>
      </c>
      <c r="O81" s="17"/>
    </row>
    <row r="82">
      <c r="B82" t="s">
        <v>132</v>
      </c>
      <c r="C82" t="s" s="7">
        <v>196</v>
      </c>
      <c r="D82" s="4">
        <f>I36</f>
        <v>28.51002764907809</v>
      </c>
      <c r="E82" s="4"/>
      <c r="F82" s="8">
        <f>C20</f>
        <v>0.5882524271844659</v>
      </c>
      <c r="G82" s="7"/>
      <c r="H82" s="46">
        <v>1</v>
      </c>
      <c r="I82" s="7">
        <f>D82*F82*100*H82</f>
        <v>1677.109296366642</v>
      </c>
      <c r="J82" s="6">
        <f>$C$29</f>
        <v>4</v>
      </c>
      <c r="K82" s="7">
        <f>D82*F82*100*J82</f>
        <v>6708.437185466568</v>
      </c>
      <c r="L82" s="24">
        <f>G36</f>
        <v>0.05</v>
      </c>
      <c r="M82" s="7">
        <f>I82*(1+L82)^$C$102</f>
        <v>2140.463673250094</v>
      </c>
      <c r="N82" s="7">
        <f>K82*(1+L82)^$C$102</f>
        <v>8561.854693000376</v>
      </c>
      <c r="O82" t="s" s="17">
        <v>367</v>
      </c>
    </row>
    <row r="83">
      <c r="B83" t="s">
        <v>135</v>
      </c>
      <c r="C83" s="7">
        <f>C72</f>
        <v>4046</v>
      </c>
      <c r="D83" s="4">
        <f>I39</f>
        <v>0.526838692</v>
      </c>
      <c r="E83" s="4">
        <f>D83/C83*1000</f>
        <v>0.13021223232822543</v>
      </c>
      <c r="F83" s="8">
        <f>C19</f>
        <v>0.5561904761904765</v>
      </c>
      <c r="G83" s="7">
        <f>E83*F83*100</f>
        <v>7.242280350446066</v>
      </c>
      <c r="H83" s="46">
        <v>1</v>
      </c>
      <c r="I83" s="7">
        <f>D83*F83*100*H83</f>
        <v>29.30226629790478</v>
      </c>
      <c r="J83" s="6">
        <f>$C$29</f>
        <v>4</v>
      </c>
      <c r="K83" s="7">
        <f>D83*F83*100*J83</f>
        <v>117.20906519161912</v>
      </c>
      <c r="L83" s="24">
        <f>G39</f>
        <v>0.028</v>
      </c>
      <c r="M83" s="7">
        <f>I83*(1+L83)^$C$102</f>
        <v>33.640836339256495</v>
      </c>
      <c r="N83" s="7">
        <f>K83*(1+L83)^$C$102</f>
        <v>134.56334535702598</v>
      </c>
      <c r="O83" t="s" s="17">
        <v>368</v>
      </c>
    </row>
    <row r="84">
      <c r="B84" t="s">
        <v>169</v>
      </c>
      <c r="C84" s="7">
        <f>C71-C72</f>
        <v>441</v>
      </c>
      <c r="D84" s="4">
        <f>I38-I39</f>
        <v>5.214649248000001</v>
      </c>
      <c r="E84" s="4">
        <f>D84/C84*1000</f>
        <v>11.824601469387757</v>
      </c>
      <c r="F84" s="8">
        <f>C19</f>
        <v>0.5561904761904765</v>
      </c>
      <c r="G84" s="7">
        <f>E84*F84*100</f>
        <v>657.6730722021383</v>
      </c>
      <c r="H84" s="46">
        <v>0</v>
      </c>
      <c r="I84" s="7">
        <f>D84*F84*100*H84</f>
        <v>0</v>
      </c>
      <c r="J84" s="6">
        <f>$C$29</f>
        <v>4</v>
      </c>
      <c r="K84" s="7">
        <f>D84*F84*100*J84</f>
        <v>1160.1352993645721</v>
      </c>
      <c r="L84" s="24">
        <f>G38</f>
        <v>0.028</v>
      </c>
      <c r="M84" s="7">
        <f>I84*(1+L84)^$C$102</f>
        <v>0</v>
      </c>
      <c r="N84" s="7">
        <f>K84*(1+L84)^$C$102</f>
        <v>1331.9079603105154</v>
      </c>
      <c r="O84" t="s" s="17">
        <v>369</v>
      </c>
    </row>
    <row r="85">
      <c r="B85" t="s">
        <v>133</v>
      </c>
      <c r="C85" t="s" s="7">
        <v>196</v>
      </c>
      <c r="D85" s="4">
        <f>I37</f>
        <v>51.788857564380386</v>
      </c>
      <c r="E85" s="4"/>
      <c r="F85" s="8">
        <f>C19</f>
        <v>0.5561904761904765</v>
      </c>
      <c r="G85" s="7"/>
      <c r="H85" s="46">
        <v>0</v>
      </c>
      <c r="I85" s="7">
        <f>D85*F85*100*H85</f>
        <v>0</v>
      </c>
      <c r="J85" s="6">
        <f>$C$29</f>
        <v>4</v>
      </c>
      <c r="K85" s="7">
        <f>D85*F85*100*J85</f>
        <v>11521.787740037395</v>
      </c>
      <c r="L85" s="24">
        <f>G37</f>
        <v>0.05</v>
      </c>
      <c r="M85" s="7">
        <f>I85*(1+L85)^$C$102</f>
        <v>0</v>
      </c>
      <c r="N85" s="7">
        <f>K85*(1+L85)^$C$102</f>
        <v>14705.045259648274</v>
      </c>
      <c r="O85" t="s" s="17">
        <v>370</v>
      </c>
    </row>
    <row r="86">
      <c r="B86" t="s">
        <v>170</v>
      </c>
      <c r="C86" s="7">
        <f>C74</f>
        <v>8464</v>
      </c>
      <c r="D86" s="4">
        <f>I40</f>
        <v>5.041115727456616</v>
      </c>
      <c r="E86" s="4">
        <f>D86/C86*1000</f>
        <v>0.595594958347899</v>
      </c>
      <c r="F86" s="8">
        <f>C86*G86/1000/D86/100</f>
        <v>4.1424946160403415</v>
      </c>
      <c r="G86" s="7">
        <f>C24</f>
        <v>246.72489082969432</v>
      </c>
      <c r="H86" s="46">
        <v>1</v>
      </c>
      <c r="I86" s="7">
        <f>C86*G86/1000*H86</f>
        <v>2088.2794759825324</v>
      </c>
      <c r="J86" s="37">
        <v>1</v>
      </c>
      <c r="K86" s="7">
        <f>C86*G86/1000*J86</f>
        <v>2088.2794759825324</v>
      </c>
      <c r="L86" s="24">
        <f>G40</f>
        <v>0.05</v>
      </c>
      <c r="M86" s="7">
        <f>I86*(1+L86)^$C$102</f>
        <v>2665.2325925436685</v>
      </c>
      <c r="N86" s="7">
        <f>K86*(1+L86)^$C$102</f>
        <v>2665.2325925436685</v>
      </c>
      <c r="O86" t="s" s="17">
        <v>371</v>
      </c>
    </row>
    <row r="87">
      <c r="B87" t="s" s="38">
        <v>171</v>
      </c>
      <c r="C87" s="39">
        <f>SUM(C79:C81,C83:C84,C86)</f>
        <v>27258.90065401661</v>
      </c>
      <c r="D87" s="40">
        <f>SUM(D79:D86)</f>
        <v>226.17153430027062</v>
      </c>
      <c r="E87" s="38"/>
      <c r="F87" s="38"/>
      <c r="G87" s="38"/>
      <c r="H87" s="38"/>
      <c r="I87" s="39">
        <f>SUM(I79:I86)</f>
        <v>11809.331731330696</v>
      </c>
      <c r="J87" s="38"/>
      <c r="K87" s="39">
        <f>SUM(K79:K86)</f>
        <v>53654.41153677716</v>
      </c>
      <c r="L87" s="41">
        <f>(M87/I87)^(1/$C$102)-1</f>
        <v>0.060021726487054616</v>
      </c>
      <c r="M87" s="39">
        <f>SUM(M79:M86)</f>
        <v>15805.169445603824</v>
      </c>
      <c r="N87" s="39">
        <f>SUM(N79:N86)</f>
        <v>71261.93322474309</v>
      </c>
    </row>
    <row r="89">
      <c r="B89" t="s" s="16">
        <v>172</v>
      </c>
      <c r="C89" s="44">
        <f>I87/K87</f>
        <v>0.22009992082824442</v>
      </c>
    </row>
    <row r="90">
      <c r="B90" t="s" s="16">
        <v>173</v>
      </c>
      <c r="C90" s="44">
        <f>C7/I87</f>
        <v>0.06909789804914318</v>
      </c>
    </row>
    <row r="91">
      <c r="B91" t="s" s="16">
        <v>174</v>
      </c>
      <c r="C91" s="44">
        <f>C7/K87</f>
        <v>0.015208441890014518</v>
      </c>
    </row>
    <row r="92">
      <c r="B92" t="s">
        <v>175</v>
      </c>
      <c r="C92" s="54">
        <f>Claims!F22*1000</f>
        <v>23000</v>
      </c>
    </row>
    <row r="93">
      <c r="B93" t="s" s="16">
        <v>176</v>
      </c>
      <c r="C93" s="45">
        <f>C92/K87</f>
        <v>0.4286693179783504</v>
      </c>
    </row>
    <row r="94">
      <c r="B94" t="s">
        <v>177</v>
      </c>
      <c r="C94" s="6">
        <f>C92/I87</f>
        <v>1.9476123224635946</v>
      </c>
    </row>
    <row r="97">
      <c r="B97" t="s" s="18">
        <v>178</v>
      </c>
      <c r="C97" s="18"/>
    </row>
    <row r="98">
      <c r="B98" t="s">
        <v>179</v>
      </c>
      <c r="C98" s="7">
        <f>M87</f>
        <v>15805.169445603824</v>
      </c>
    </row>
    <row r="99">
      <c r="B99" t="s">
        <v>180</v>
      </c>
      <c r="C99" s="24">
        <f>L87</f>
        <v>0.060021726487054616</v>
      </c>
    </row>
    <row r="100">
      <c r="B100" t="s">
        <v>181</v>
      </c>
      <c r="C100" s="7">
        <f>N87</f>
        <v>71261.93322474309</v>
      </c>
    </row>
    <row r="101">
      <c r="B101" t="s">
        <v>182</v>
      </c>
      <c r="C101" s="24">
        <f>(N87/K87)^(1/C102)-1</f>
        <v>0.058401466119223366</v>
      </c>
    </row>
    <row r="102">
      <c r="B102" t="s">
        <v>183</v>
      </c>
      <c r="C102" s="25">
        <f>YEAR(DATE(2030,12,31))-YEAR(C55)</f>
        <v>5</v>
      </c>
    </row>
    <row r="103">
      <c r="B103" t="s">
        <v>184</v>
      </c>
      <c r="C103" s="7">
        <f>I87-I86</f>
        <v>9721.052255348164</v>
      </c>
    </row>
    <row r="104">
      <c r="B104" t="s">
        <v>185</v>
      </c>
      <c r="C104" s="24">
        <f>((M87-M86)/(I87-I86))^(1/C102)-1</f>
        <v>0.062125902020196744</v>
      </c>
    </row>
    <row r="105">
      <c r="B105" t="s">
        <v>186</v>
      </c>
      <c r="C105" s="24">
        <f>C90</f>
        <v>0.06909789804914318</v>
      </c>
    </row>
    <row r="106">
      <c r="B106" t="s">
        <v>187</v>
      </c>
      <c r="C106" s="34">
        <f>'Plan test'!C40</f>
        <v>0.005284242258759056</v>
      </c>
    </row>
    <row r="107">
      <c r="B107" t="s">
        <v>188</v>
      </c>
      <c r="C107" s="24">
        <f>C105+C106*C102</f>
        <v>0.09551910934293846</v>
      </c>
    </row>
    <row r="108">
      <c r="B108" t="s" s="38">
        <v>189</v>
      </c>
      <c r="C108" s="43">
        <f>C107*C98</f>
        <v>1509.6957084583016</v>
      </c>
    </row>
    <row r="109">
      <c r="B109" t="s">
        <v>190</v>
      </c>
      <c r="C109" s="35">
        <f>'Plan test'!H7</f>
        <v>1807</v>
      </c>
    </row>
    <row r="110">
      <c r="B110" t="s">
        <v>191</v>
      </c>
      <c r="C110" s="27">
        <f>C109-C108</f>
        <v>297.3042915416984</v>
      </c>
    </row>
    <row r="111">
      <c r="B111" t="s">
        <v>192</v>
      </c>
      <c r="C111" s="28">
        <f>C109/C108</f>
        <v>1.1969299441443766</v>
      </c>
    </row>
    <row r="112">
      <c r="B112" t="s">
        <v>193</v>
      </c>
      <c r="C112" s="24">
        <f>C108/C100</f>
        <v>0.021185163524782336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3"/>
  <sheetViews>
    <sheetView showGridLines="0" workbookViewId="0">
      <selection activeCell="A1" sqref="A1"/>
    </sheetView>
  </sheetViews>
  <cols>
    <col min="1" max="1" width="2" customWidth="1"/>
    <col min="2" max="2" width="40" customWidth="1"/>
    <col min="3" max="3" width="42" customWidth="1"/>
    <col min="4" max="8" width="9" customWidth="1"/>
    <col min="9" max="10" width="7" customWidth="1"/>
    <col min="11" max="11" width="11" customWidth="1"/>
    <col min="12" max="12" width="30" customWidth="1"/>
  </cols>
  <sheetData>
    <row r="2">
      <c r="B2" t="s" s="15">
        <v>231</v>
      </c>
    </row>
    <row r="3">
      <c r="B3" t="s" s="17">
        <v>232</v>
      </c>
    </row>
    <row r="5">
      <c r="B5" t="s" s="18">
        <v>233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>
      <c r="B6" t="s" s="20">
        <v>234</v>
      </c>
      <c r="C6" t="s" s="19">
        <v>276</v>
      </c>
      <c r="D6" s="51">
        <f>DATE(2020,12,31)</f>
        <v>44196</v>
      </c>
      <c r="E6" s="51">
        <f>DATE(2021,12,31)</f>
        <v>44561</v>
      </c>
      <c r="F6" s="51">
        <f>DATE(2022,12,31)</f>
        <v>44926</v>
      </c>
      <c r="G6" s="51">
        <f>DATE(2023,12,31)</f>
        <v>45291</v>
      </c>
      <c r="H6" s="51">
        <f>DATE(2024,12,31)</f>
        <v>45657</v>
      </c>
      <c r="I6" t="s" s="19">
        <v>305</v>
      </c>
      <c r="J6" t="s" s="19">
        <v>306</v>
      </c>
      <c r="K6" t="s" s="19">
        <v>221</v>
      </c>
      <c r="L6" t="s" s="19">
        <v>15</v>
      </c>
    </row>
    <row r="7">
      <c r="B7" t="s">
        <v>235</v>
      </c>
      <c r="C7" t="s">
        <v>277</v>
      </c>
      <c r="D7" s="48">
        <v>1139</v>
      </c>
      <c r="E7" s="48">
        <v>1281</v>
      </c>
      <c r="F7" s="48">
        <v>1364</v>
      </c>
      <c r="G7" s="48">
        <v>1485</v>
      </c>
      <c r="H7" s="48">
        <v>1603</v>
      </c>
      <c r="I7" s="46">
        <v>1</v>
      </c>
      <c r="J7" s="46">
        <v>1</v>
      </c>
      <c r="K7" s="47">
        <f>(H7/D7)^(1/(YEAR($H$6)-YEAR($D$6)))-1</f>
        <v>0.0891870009908966</v>
      </c>
      <c r="L7" t="s">
        <v>307</v>
      </c>
    </row>
    <row r="8">
      <c r="B8" t="s">
        <v>236</v>
      </c>
      <c r="C8" t="s">
        <v>278</v>
      </c>
      <c r="D8" s="27"/>
      <c r="E8" s="27"/>
      <c r="F8" s="27"/>
      <c r="G8" s="48">
        <v>1370</v>
      </c>
      <c r="H8" s="48">
        <v>1460</v>
      </c>
      <c r="I8" s="46">
        <v>1</v>
      </c>
      <c r="J8" s="46">
        <v>1</v>
      </c>
      <c r="K8" s="47">
        <f>H8/G8-1</f>
        <v>0.06569343065693434</v>
      </c>
      <c r="L8" t="s">
        <v>308</v>
      </c>
    </row>
    <row r="9">
      <c r="B9" t="s">
        <v>236</v>
      </c>
      <c r="C9" t="s">
        <v>279</v>
      </c>
      <c r="D9" s="27"/>
      <c r="E9" s="27"/>
      <c r="F9" s="27"/>
      <c r="G9" s="48">
        <v>1450</v>
      </c>
      <c r="H9" s="48">
        <v>1570</v>
      </c>
      <c r="I9" s="46">
        <v>0</v>
      </c>
      <c r="J9" s="46">
        <v>1</v>
      </c>
      <c r="K9" s="47">
        <f>H9/G9-1</f>
        <v>0.08275862068965512</v>
      </c>
      <c r="L9" t="s">
        <v>308</v>
      </c>
    </row>
    <row r="10">
      <c r="B10" t="s">
        <v>236</v>
      </c>
      <c r="C10" t="s">
        <v>280</v>
      </c>
      <c r="D10" s="27"/>
      <c r="E10" s="27"/>
      <c r="F10" s="27"/>
      <c r="G10" s="48">
        <v>1380</v>
      </c>
      <c r="H10" s="48">
        <v>1460</v>
      </c>
      <c r="I10" s="46">
        <v>0</v>
      </c>
      <c r="J10" s="46">
        <v>0</v>
      </c>
      <c r="K10" s="47">
        <f>H10/G10-1</f>
        <v>0.05797101449275366</v>
      </c>
      <c r="L10" t="s">
        <v>308</v>
      </c>
    </row>
    <row r="11">
      <c r="B11" t="s">
        <v>236</v>
      </c>
      <c r="C11" t="s">
        <v>281</v>
      </c>
      <c r="D11" s="27"/>
      <c r="E11" s="27"/>
      <c r="F11" s="27"/>
      <c r="G11" s="27"/>
      <c r="H11" s="48">
        <v>565</v>
      </c>
      <c r="I11" s="46">
        <v>0</v>
      </c>
      <c r="J11" s="46">
        <v>0</v>
      </c>
      <c r="K11" s="47"/>
      <c r="L11" t="s">
        <v>308</v>
      </c>
    </row>
    <row r="12">
      <c r="B12" t="s">
        <v>236</v>
      </c>
      <c r="C12" t="s">
        <v>282</v>
      </c>
      <c r="D12" s="27"/>
      <c r="E12" s="27"/>
      <c r="F12" s="27"/>
      <c r="G12" s="27"/>
      <c r="H12" s="48">
        <v>558</v>
      </c>
      <c r="I12" s="46">
        <v>0</v>
      </c>
      <c r="J12" s="46">
        <v>0</v>
      </c>
      <c r="K12" s="47"/>
      <c r="L12" t="s">
        <v>309</v>
      </c>
    </row>
    <row r="13">
      <c r="B13" t="s">
        <v>236</v>
      </c>
      <c r="C13" t="s">
        <v>283</v>
      </c>
      <c r="D13" s="27"/>
      <c r="E13" s="27"/>
      <c r="F13" s="27"/>
      <c r="G13" s="27"/>
      <c r="H13" s="48">
        <v>270</v>
      </c>
      <c r="I13" s="46">
        <v>0</v>
      </c>
      <c r="J13" s="46">
        <v>0</v>
      </c>
      <c r="K13" s="47"/>
      <c r="L13" t="s">
        <v>309</v>
      </c>
    </row>
    <row r="14">
      <c r="B14" t="s">
        <v>236</v>
      </c>
      <c r="C14" t="s">
        <v>284</v>
      </c>
      <c r="D14" s="48">
        <v>4667.9</v>
      </c>
      <c r="E14" s="48">
        <v>5051</v>
      </c>
      <c r="F14" s="48">
        <v>5283</v>
      </c>
      <c r="G14" s="48">
        <v>5502.8</v>
      </c>
      <c r="H14" s="48">
        <v>5882</v>
      </c>
      <c r="I14" s="46">
        <v>0</v>
      </c>
      <c r="J14" s="46">
        <v>0</v>
      </c>
      <c r="K14" s="47">
        <f>(H14/D14)^(1/(YEAR($H$6)-YEAR($D$6)))-1</f>
        <v>0.059499775778785624</v>
      </c>
      <c r="L14" t="s">
        <v>310</v>
      </c>
    </row>
    <row r="15">
      <c r="B15" t="s">
        <v>237</v>
      </c>
      <c r="C15" t="s">
        <v>285</v>
      </c>
      <c r="D15" s="27"/>
      <c r="E15" s="27"/>
      <c r="F15" s="48">
        <v>550</v>
      </c>
      <c r="G15" s="48">
        <v>580</v>
      </c>
      <c r="H15" s="48">
        <v>639</v>
      </c>
      <c r="I15" s="46">
        <v>1</v>
      </c>
      <c r="J15" s="46">
        <v>1</v>
      </c>
      <c r="K15" s="47">
        <f>(H15/F15)^(1/(YEAR($H$6)-YEAR($F$6)))-1</f>
        <v>0.07787670065651842</v>
      </c>
      <c r="L15" t="s">
        <v>311</v>
      </c>
    </row>
    <row r="16">
      <c r="B16" t="s">
        <v>237</v>
      </c>
      <c r="C16" t="s">
        <v>286</v>
      </c>
      <c r="D16" s="27"/>
      <c r="E16" s="27"/>
      <c r="F16" s="48">
        <v>373</v>
      </c>
      <c r="G16" s="48">
        <v>361</v>
      </c>
      <c r="H16" s="48">
        <v>383</v>
      </c>
      <c r="I16" s="46">
        <v>0</v>
      </c>
      <c r="J16" s="46">
        <v>1</v>
      </c>
      <c r="K16" s="47">
        <f>(H16/F16)^(1/(YEAR($H$6)-YEAR($F$6)))-1</f>
        <v>0.013316165604067898</v>
      </c>
      <c r="L16" t="s">
        <v>311</v>
      </c>
    </row>
    <row r="17">
      <c r="B17" t="s">
        <v>237</v>
      </c>
      <c r="C17" t="s">
        <v>287</v>
      </c>
      <c r="D17" s="27"/>
      <c r="E17" s="27"/>
      <c r="F17" s="48">
        <v>4714</v>
      </c>
      <c r="G17" s="48">
        <v>4561</v>
      </c>
      <c r="H17" s="48">
        <v>4633</v>
      </c>
      <c r="I17" s="46">
        <v>0</v>
      </c>
      <c r="J17" s="46">
        <v>0</v>
      </c>
      <c r="K17" s="47">
        <f>(H17/F17)^(1/(YEAR($H$6)-YEAR($F$6)))-1</f>
        <v>-0.008628656641340382</v>
      </c>
      <c r="L17" t="s">
        <v>311</v>
      </c>
    </row>
    <row r="18">
      <c r="B18" t="s">
        <v>238</v>
      </c>
      <c r="C18" t="s">
        <v>288</v>
      </c>
      <c r="D18" s="27"/>
      <c r="E18" s="48">
        <v>2495</v>
      </c>
      <c r="F18" s="48">
        <v>2631</v>
      </c>
      <c r="G18" s="48">
        <v>2766</v>
      </c>
      <c r="H18" s="48">
        <v>2979</v>
      </c>
      <c r="I18" s="46">
        <v>0</v>
      </c>
      <c r="J18" s="46">
        <v>1</v>
      </c>
      <c r="K18" s="47">
        <f>(H18/E18)^(1/(YEAR($H$6)-YEAR($E$6)))-1</f>
        <v>0.06088095032472185</v>
      </c>
      <c r="L18" t="s">
        <v>312</v>
      </c>
    </row>
    <row r="19">
      <c r="B19" t="s">
        <v>239</v>
      </c>
      <c r="C19" t="s">
        <v>289</v>
      </c>
      <c r="D19" s="27"/>
      <c r="E19" s="27"/>
      <c r="F19" s="27"/>
      <c r="G19" s="27"/>
      <c r="H19" s="48">
        <v>608</v>
      </c>
      <c r="I19" s="46">
        <v>0</v>
      </c>
      <c r="J19" s="46">
        <v>0</v>
      </c>
      <c r="K19" s="47"/>
      <c r="L19" t="s">
        <v>304</v>
      </c>
    </row>
    <row r="20">
      <c r="B20" t="s">
        <v>239</v>
      </c>
      <c r="C20" t="s">
        <v>290</v>
      </c>
      <c r="D20" s="27"/>
      <c r="E20" s="27"/>
      <c r="F20" s="27"/>
      <c r="G20" s="27"/>
      <c r="H20" s="27">
        <f>H19*C59</f>
        <v>656.6400000000001</v>
      </c>
      <c r="I20" s="46">
        <v>1</v>
      </c>
      <c r="J20" s="46">
        <v>1</v>
      </c>
      <c r="K20" s="49">
        <v>0.17</v>
      </c>
      <c r="L20" t="s">
        <v>313</v>
      </c>
    </row>
    <row r="21">
      <c r="B21" t="s">
        <v>240</v>
      </c>
      <c r="C21" t="s">
        <v>291</v>
      </c>
      <c r="D21" s="27"/>
      <c r="E21" s="27"/>
      <c r="F21" s="27"/>
      <c r="G21" s="27"/>
      <c r="H21" s="27">
        <f>AVERAGE(C60:C61)</f>
        <v>210.5</v>
      </c>
      <c r="I21" s="46">
        <v>1</v>
      </c>
      <c r="J21" s="46">
        <v>1</v>
      </c>
      <c r="K21" s="47">
        <f>AVERAGE(C62:C63)</f>
        <v>0.135</v>
      </c>
      <c r="L21" t="s">
        <v>299</v>
      </c>
    </row>
    <row r="22">
      <c r="B22" t="s">
        <v>241</v>
      </c>
      <c r="C22" t="s">
        <v>292</v>
      </c>
      <c r="D22" s="48">
        <v>203</v>
      </c>
      <c r="E22" s="48">
        <v>252</v>
      </c>
      <c r="F22" s="48">
        <v>303.4</v>
      </c>
      <c r="G22" s="48">
        <v>368.2</v>
      </c>
      <c r="H22" s="48">
        <v>451.8</v>
      </c>
      <c r="I22" s="46">
        <v>1</v>
      </c>
      <c r="J22" s="46">
        <v>1</v>
      </c>
      <c r="K22" s="47">
        <f>(H22/D22)^(1/(YEAR($H$6)-YEAR($D$6)))-1</f>
        <v>0.22141302561785348</v>
      </c>
      <c r="L22" t="s">
        <v>314</v>
      </c>
    </row>
    <row r="23">
      <c r="B23" t="s" s="38">
        <v>242</v>
      </c>
      <c r="C23" t="s" s="38">
        <v>293</v>
      </c>
      <c r="D23" s="43"/>
      <c r="E23" s="43"/>
      <c r="F23" s="43"/>
      <c r="G23" s="43"/>
      <c r="H23" s="43">
        <f>SUMPRODUCT(H7:H22,I7:I22)</f>
        <v>5020.9400000000005</v>
      </c>
      <c r="I23" s="38"/>
      <c r="J23" s="38"/>
      <c r="K23" s="53">
        <f>SUMPRODUCT(K7:K22,H7:H22,I7:I22)/H23</f>
        <v>0.1053036061058672</v>
      </c>
      <c r="L23" s="38"/>
    </row>
    <row r="24">
      <c r="B24" t="s" s="14">
        <v>242</v>
      </c>
      <c r="C24" t="s" s="14">
        <v>294</v>
      </c>
      <c r="D24" s="42"/>
      <c r="E24" s="42"/>
      <c r="F24" s="42"/>
      <c r="G24" s="42"/>
      <c r="H24" s="42">
        <f>SUMPRODUCT(H7:H22,J7:J22)</f>
        <v>9952.939999999999</v>
      </c>
      <c r="I24" s="14"/>
      <c r="J24" s="14"/>
      <c r="K24" s="52">
        <f>SUMPRODUCT(K7:K22,H7:H22,J7:J22)/H24</f>
        <v>0.08491144977942758</v>
      </c>
      <c r="L24" s="14"/>
    </row>
    <row r="25">
      <c r="B25" t="s">
        <v>242</v>
      </c>
      <c r="C25" t="s">
        <v>295</v>
      </c>
      <c r="D25" s="27"/>
      <c r="E25" s="27"/>
      <c r="F25" s="27"/>
      <c r="G25" s="27"/>
      <c r="H25" s="27">
        <f>H23*(1+K23)</f>
        <v>5549.663088041193</v>
      </c>
    </row>
    <row r="26">
      <c r="B26" t="s">
        <v>242</v>
      </c>
      <c r="C26" t="s">
        <v>296</v>
      </c>
      <c r="D26" s="27"/>
      <c r="E26" s="27"/>
      <c r="F26" s="27"/>
      <c r="G26" s="27"/>
      <c r="H26" s="27">
        <f>H24*(1+K24)</f>
        <v>10798.058564967656</v>
      </c>
    </row>
    <row r="28">
      <c r="B28" t="s" s="18">
        <v>243</v>
      </c>
      <c r="C28" s="18"/>
      <c r="D28" s="18"/>
      <c r="E28" s="18"/>
    </row>
    <row r="29">
      <c r="B29" t="s" s="20">
        <v>5</v>
      </c>
      <c r="C29" t="s" s="19">
        <v>297</v>
      </c>
      <c r="D29" t="s" s="19">
        <v>298</v>
      </c>
      <c r="E29" t="s" s="19">
        <v>15</v>
      </c>
    </row>
    <row r="30">
      <c r="B30" t="s">
        <v>244</v>
      </c>
      <c r="C30" s="12">
        <v>19</v>
      </c>
      <c r="E30" t="s">
        <v>300</v>
      </c>
    </row>
    <row r="31">
      <c r="B31" t="s">
        <v>245</v>
      </c>
      <c r="C31" s="12">
        <v>32</v>
      </c>
      <c r="E31" t="s">
        <v>300</v>
      </c>
    </row>
    <row r="32">
      <c r="B32" t="s">
        <v>246</v>
      </c>
      <c r="C32" s="33">
        <v>0.094</v>
      </c>
      <c r="D32" s="24"/>
      <c r="E32" t="s">
        <v>300</v>
      </c>
    </row>
    <row r="33">
      <c r="B33" t="s">
        <v>247</v>
      </c>
      <c r="C33" s="33">
        <v>0.05</v>
      </c>
      <c r="D33" s="33">
        <v>0.07</v>
      </c>
      <c r="E33" t="s">
        <v>301</v>
      </c>
    </row>
    <row r="34">
      <c r="B34" t="s">
        <v>248</v>
      </c>
      <c r="C34" s="33">
        <v>0.03</v>
      </c>
      <c r="D34" s="33">
        <v>0.07</v>
      </c>
      <c r="E34" t="s">
        <v>301</v>
      </c>
    </row>
    <row r="35">
      <c r="B35" t="s">
        <v>249</v>
      </c>
      <c r="C35" s="33">
        <v>0.02</v>
      </c>
      <c r="D35" s="33">
        <v>0.04</v>
      </c>
      <c r="E35" t="s">
        <v>301</v>
      </c>
    </row>
    <row r="36">
      <c r="B36" t="s">
        <v>250</v>
      </c>
      <c r="C36" s="33">
        <v>0.05</v>
      </c>
      <c r="D36" s="24"/>
      <c r="E36" t="s">
        <v>209</v>
      </c>
    </row>
    <row r="37">
      <c r="B37" t="s">
        <v>251</v>
      </c>
      <c r="C37" s="33">
        <v>0.054</v>
      </c>
      <c r="D37" s="24"/>
      <c r="E37" t="s">
        <v>302</v>
      </c>
    </row>
    <row r="38">
      <c r="B38" t="s">
        <v>252</v>
      </c>
      <c r="C38" s="33">
        <v>0.106</v>
      </c>
      <c r="D38" s="24"/>
      <c r="E38" t="s">
        <v>302</v>
      </c>
    </row>
    <row r="39">
      <c r="B39" t="s">
        <v>253</v>
      </c>
      <c r="C39" s="33">
        <v>0.161</v>
      </c>
      <c r="D39" s="24"/>
      <c r="E39" t="s">
        <v>302</v>
      </c>
    </row>
    <row r="40">
      <c r="B40" t="s">
        <v>254</v>
      </c>
      <c r="C40" s="33">
        <v>0.12</v>
      </c>
      <c r="D40" s="24"/>
      <c r="E40" t="s">
        <v>303</v>
      </c>
    </row>
    <row r="41">
      <c r="B41" t="s">
        <v>255</v>
      </c>
      <c r="C41" s="33">
        <v>0.17</v>
      </c>
      <c r="D41" s="24"/>
      <c r="E41" t="s">
        <v>304</v>
      </c>
    </row>
    <row r="43">
      <c r="B43" t="s" s="18">
        <v>256</v>
      </c>
      <c r="C43" s="18"/>
      <c r="D43" s="18"/>
    </row>
    <row r="44">
      <c r="B44" t="s">
        <v>257</v>
      </c>
      <c r="C44" s="35">
        <f>'Bottom-up'!K87</f>
        <v>53654.41153677716</v>
      </c>
      <c r="D44" t="s" s="17">
        <v>372</v>
      </c>
    </row>
    <row r="45">
      <c r="B45" t="s">
        <v>258</v>
      </c>
      <c r="C45" s="35">
        <f>'Bottom-up'!C92</f>
        <v>23000</v>
      </c>
      <c r="D45" t="s" s="17">
        <v>373</v>
      </c>
    </row>
    <row r="46">
      <c r="B46" t="s">
        <v>259</v>
      </c>
      <c r="C46" s="35">
        <f>'Bottom-up'!I87</f>
        <v>11809.331731330696</v>
      </c>
      <c r="D46" s="17"/>
    </row>
    <row r="47">
      <c r="B47" t="s">
        <v>260</v>
      </c>
      <c r="C47" s="27">
        <f>H26</f>
        <v>10798.058564967656</v>
      </c>
      <c r="D47" t="s" s="17">
        <v>374</v>
      </c>
    </row>
    <row r="48">
      <c r="B48" t="s">
        <v>261</v>
      </c>
      <c r="C48" s="27">
        <f>H25</f>
        <v>5549.663088041193</v>
      </c>
      <c r="D48" s="17"/>
    </row>
    <row r="49">
      <c r="B49" t="s">
        <v>262</v>
      </c>
      <c r="C49" s="27">
        <f>H17</f>
        <v>4633</v>
      </c>
      <c r="D49" t="s" s="17">
        <v>375</v>
      </c>
    </row>
    <row r="50">
      <c r="B50" t="s">
        <v>263</v>
      </c>
      <c r="C50" s="27">
        <f>C44-C47</f>
        <v>42856.3529718095</v>
      </c>
      <c r="D50" t="s" s="17">
        <v>376</v>
      </c>
    </row>
    <row r="51">
      <c r="B51" t="s">
        <v>264</v>
      </c>
      <c r="C51" s="27">
        <f>C45-C47</f>
        <v>12201.941435032344</v>
      </c>
      <c r="D51" s="17"/>
    </row>
    <row r="52">
      <c r="B52" t="s">
        <v>265</v>
      </c>
      <c r="C52" s="27">
        <f>C46-C48</f>
        <v>6259.668643289503</v>
      </c>
      <c r="D52" s="17"/>
    </row>
    <row r="53">
      <c r="B53" t="s">
        <v>266</v>
      </c>
      <c r="C53" s="5">
        <f>C47/C44</f>
        <v>0.20125201741456392</v>
      </c>
      <c r="D53" s="17"/>
    </row>
    <row r="54">
      <c r="B54" t="s">
        <v>267</v>
      </c>
      <c r="C54" s="5">
        <f>C47/C45</f>
        <v>0.4694808071725068</v>
      </c>
      <c r="D54" s="17"/>
    </row>
    <row r="55">
      <c r="B55" t="s">
        <v>268</v>
      </c>
      <c r="C55" s="5">
        <f>C48/C46</f>
        <v>0.4699387919908866</v>
      </c>
      <c r="D55" t="s" s="17">
        <v>377</v>
      </c>
    </row>
    <row r="56">
      <c r="B56" t="s">
        <v>269</v>
      </c>
      <c r="C56" s="5">
        <f>1-C53</f>
        <v>0.7987479825854361</v>
      </c>
    </row>
    <row r="58">
      <c r="B58" t="s" s="18">
        <v>270</v>
      </c>
      <c r="C58" s="18"/>
      <c r="D58" s="18"/>
    </row>
    <row r="59">
      <c r="B59" t="s">
        <v>271</v>
      </c>
      <c r="C59" s="50">
        <v>1.08</v>
      </c>
      <c r="D59" t="s">
        <v>207</v>
      </c>
    </row>
    <row r="60">
      <c r="B60" t="s">
        <v>272</v>
      </c>
      <c r="C60" s="12">
        <v>210</v>
      </c>
      <c r="D60" t="s">
        <v>299</v>
      </c>
    </row>
    <row r="61">
      <c r="B61" t="s">
        <v>273</v>
      </c>
      <c r="C61" s="12">
        <v>211</v>
      </c>
      <c r="D61" t="s">
        <v>299</v>
      </c>
    </row>
    <row r="62">
      <c r="B62" t="s">
        <v>274</v>
      </c>
      <c r="C62" s="11">
        <v>0.13</v>
      </c>
      <c r="D62" t="s">
        <v>299</v>
      </c>
    </row>
    <row r="63">
      <c r="B63" t="s">
        <v>275</v>
      </c>
      <c r="C63" s="11">
        <v>0.14</v>
      </c>
      <c r="D63" t="s">
        <v>299</v>
      </c>
    </row>
  </sheetData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9"/>
  <sheetViews>
    <sheetView showGridLines="0" workbookViewId="0">
      <selection activeCell="A1" sqref="A1"/>
    </sheetView>
  </sheetViews>
  <cols>
    <col min="1" max="1" width="2" customWidth="1"/>
    <col min="2" max="2" width="50" customWidth="1"/>
    <col min="3" max="8" width="10" customWidth="1"/>
    <col min="9" max="9" width="9" customWidth="1"/>
    <col min="10" max="10" width="50" customWidth="1"/>
  </cols>
  <sheetData>
    <row r="2">
      <c r="B2" t="s" s="15">
        <v>315</v>
      </c>
    </row>
    <row r="3">
      <c r="B3" t="s" s="17">
        <v>316</v>
      </c>
    </row>
    <row r="5">
      <c r="B5" t="s" s="18">
        <v>317</v>
      </c>
      <c r="C5" s="18"/>
      <c r="D5" s="18"/>
      <c r="E5" s="18"/>
      <c r="F5" s="18"/>
      <c r="G5" s="18"/>
      <c r="H5" s="18"/>
      <c r="I5" s="18"/>
      <c r="J5" s="18"/>
    </row>
    <row r="6">
      <c r="B6" s="20"/>
      <c r="C6" s="58">
        <f>DATE(2025,12,31)</f>
        <v>46022</v>
      </c>
      <c r="D6" s="58">
        <f>DATE(2026,12,31)</f>
        <v>46387</v>
      </c>
      <c r="E6" s="58">
        <f>DATE(2027,12,31)</f>
        <v>46752</v>
      </c>
      <c r="F6" s="58">
        <f>DATE(2028,12,31)</f>
        <v>47118</v>
      </c>
      <c r="G6" s="58">
        <f>DATE(2029,12,31)</f>
        <v>47483</v>
      </c>
      <c r="H6" s="58">
        <f>DATE(2030,12,31)</f>
        <v>47848</v>
      </c>
      <c r="I6" t="s" s="19">
        <v>362</v>
      </c>
    </row>
    <row r="7">
      <c r="B7" t="s" s="38">
        <v>318</v>
      </c>
      <c r="C7" s="59">
        <v>730</v>
      </c>
      <c r="D7" s="59">
        <v>940</v>
      </c>
      <c r="E7" s="59">
        <v>1100</v>
      </c>
      <c r="F7" s="59">
        <v>1298</v>
      </c>
      <c r="G7" s="59">
        <v>1531</v>
      </c>
      <c r="H7" s="59">
        <v>1807</v>
      </c>
      <c r="I7" s="41">
        <f>(H7/C7)^(1/H11)-1</f>
        <v>0.1987456893919941</v>
      </c>
    </row>
    <row r="8">
      <c r="B8" t="s" s="16">
        <v>319</v>
      </c>
      <c r="C8" s="44"/>
      <c r="D8" s="44">
        <f>D7/C7-1</f>
        <v>0.28767123287671237</v>
      </c>
      <c r="E8" s="44">
        <f>E7/D7-1</f>
        <v>0.17021276595744683</v>
      </c>
      <c r="F8" s="44">
        <f>F7/E7-1</f>
        <v>0.17999999999999994</v>
      </c>
      <c r="G8" s="44">
        <f>G7/F7-1</f>
        <v>0.17950693374422189</v>
      </c>
      <c r="H8" s="44">
        <f>H7/G7-1</f>
        <v>0.18027433050293928</v>
      </c>
    </row>
    <row r="9">
      <c r="B9" t="s" s="16">
        <v>320</v>
      </c>
      <c r="C9" s="61">
        <v>0.154</v>
      </c>
      <c r="D9" s="61">
        <v>0.153</v>
      </c>
      <c r="E9" s="61">
        <v>0.17</v>
      </c>
      <c r="F9" s="61">
        <v>0.18</v>
      </c>
      <c r="G9" s="61">
        <v>0.18</v>
      </c>
      <c r="H9" s="61">
        <v>0.18</v>
      </c>
    </row>
    <row r="10">
      <c r="B10" t="s" s="38">
        <v>321</v>
      </c>
      <c r="C10" s="60">
        <f>'Bottom-up'!C7</f>
        <v>816</v>
      </c>
      <c r="D10" s="39">
        <f>D7</f>
        <v>940</v>
      </c>
      <c r="E10" s="39">
        <f>E7</f>
        <v>1100</v>
      </c>
      <c r="F10" s="39">
        <f>F7</f>
        <v>1298</v>
      </c>
      <c r="G10" s="39">
        <f>G7</f>
        <v>1531</v>
      </c>
      <c r="H10" s="39">
        <f>H7</f>
        <v>1807</v>
      </c>
      <c r="I10" s="41">
        <f>(H10/C10)^(1/H11)-1</f>
        <v>0.17234004179777473</v>
      </c>
    </row>
    <row r="11">
      <c r="B11" t="s">
        <v>322</v>
      </c>
      <c r="C11" s="25">
        <f>YEAR(C6)-YEAR($C$6)</f>
        <v>0</v>
      </c>
      <c r="D11" s="25">
        <f>YEAR(D6)-YEAR($C$6)</f>
        <v>1</v>
      </c>
      <c r="E11" s="25">
        <f>YEAR(E6)-YEAR($C$6)</f>
        <v>2</v>
      </c>
      <c r="F11" s="25">
        <f>YEAR(F6)-YEAR($C$6)</f>
        <v>3</v>
      </c>
      <c r="G11" s="25">
        <f>YEAR(G6)-YEAR($C$6)</f>
        <v>4</v>
      </c>
      <c r="H11" s="25">
        <f>YEAR(H6)-YEAR($C$6)</f>
        <v>5</v>
      </c>
    </row>
    <row r="12">
      <c r="B12" t="s">
        <v>323</v>
      </c>
      <c r="C12" s="54">
        <f>'Bottom-up'!$I$87*(1+'Bottom-up'!$C$99)^C11</f>
        <v>11809.331731330696</v>
      </c>
      <c r="D12" s="54">
        <f>'Bottom-up'!$I$87*(1+'Bottom-up'!$C$99)^D11</f>
        <v>12518.148210503523</v>
      </c>
      <c r="E12" s="54">
        <f>'Bottom-up'!$I$87*(1+'Bottom-up'!$C$99)^E11</f>
        <v>13269.509078518777</v>
      </c>
      <c r="F12" s="54">
        <f>'Bottom-up'!$I$87*(1+'Bottom-up'!$C$99)^F11</f>
        <v>14065.96792304712</v>
      </c>
      <c r="G12" s="54">
        <f>'Bottom-up'!$I$87*(1+'Bottom-up'!$C$99)^G11</f>
        <v>14910.231602499938</v>
      </c>
      <c r="H12" s="54">
        <f>'Bottom-up'!$I$87*(1+'Bottom-up'!$C$99)^H11</f>
        <v>15805.169445603826</v>
      </c>
    </row>
    <row r="13">
      <c r="B13" t="s">
        <v>74</v>
      </c>
      <c r="C13" s="54">
        <f>'Bottom-up'!$K$87*(1+'Bottom-up'!$C$101)^C11</f>
        <v>53654.41153677716</v>
      </c>
      <c r="D13" s="54">
        <f>'Bottom-up'!$K$87*(1+'Bottom-up'!$C$101)^D11</f>
        <v>56787.907834289115</v>
      </c>
      <c r="E13" s="54">
        <f>'Bottom-up'!$K$87*(1+'Bottom-up'!$C$101)^E11</f>
        <v>60104.404909654935</v>
      </c>
      <c r="F13" s="54">
        <f>'Bottom-up'!$K$87*(1+'Bottom-up'!$C$101)^F11</f>
        <v>63614.59027660223</v>
      </c>
      <c r="G13" s="54">
        <f>'Bottom-up'!$K$87*(1+'Bottom-up'!$C$101)^G11</f>
        <v>67329.77561532949</v>
      </c>
      <c r="H13" s="54">
        <f>'Bottom-up'!$K$87*(1+'Bottom-up'!$C$101)^H11</f>
        <v>71261.93322474306</v>
      </c>
    </row>
    <row r="14">
      <c r="B14" t="s" s="16">
        <v>324</v>
      </c>
      <c r="C14" s="44">
        <f>C10/C12</f>
        <v>0.06909789804914318</v>
      </c>
      <c r="D14" s="44">
        <f>D10/D12</f>
        <v>0.07509097864900499</v>
      </c>
      <c r="E14" s="44">
        <f>E10/E12</f>
        <v>0.08289681204414148</v>
      </c>
      <c r="F14" s="44">
        <f>F10/F12</f>
        <v>0.09227946538063862</v>
      </c>
      <c r="G14" s="44">
        <f>G10/G12</f>
        <v>0.10268116826188692</v>
      </c>
      <c r="H14" s="44">
        <f>H10/H12</f>
        <v>0.11432968221056392</v>
      </c>
      <c r="J14" t="s" s="17">
        <v>394</v>
      </c>
    </row>
    <row r="15">
      <c r="B15" t="s" s="16">
        <v>325</v>
      </c>
      <c r="C15" s="44">
        <f>C10/C13</f>
        <v>0.015208441890014518</v>
      </c>
      <c r="D15" s="44">
        <f>D10/D13</f>
        <v>0.016552819708431282</v>
      </c>
      <c r="E15" s="44">
        <f>E10/E13</f>
        <v>0.01830148724795544</v>
      </c>
      <c r="F15" s="44">
        <f>F10/F13</f>
        <v>0.0204041241852879</v>
      </c>
      <c r="G15" s="44">
        <f>G10/G13</f>
        <v>0.022738825222691304</v>
      </c>
      <c r="H15" s="44">
        <f>H10/H13</f>
        <v>0.025357156594407213</v>
      </c>
      <c r="J15" s="17"/>
    </row>
    <row r="16">
      <c r="B16" t="s" s="16">
        <v>326</v>
      </c>
      <c r="C16" s="63">
        <f>C10/'Bottom-up'!$C$92</f>
        <v>0.035478260869565216</v>
      </c>
      <c r="D16" s="63">
        <f>D10/'Bottom-up'!$C$92</f>
        <v>0.0408695652173913</v>
      </c>
      <c r="E16" s="63">
        <f>E10/'Bottom-up'!$C$92</f>
        <v>0.04782608695652174</v>
      </c>
      <c r="F16" s="63">
        <f>F10/'Bottom-up'!$C$92</f>
        <v>0.05643478260869565</v>
      </c>
      <c r="G16" s="63">
        <f>G10/'Bottom-up'!$C$92</f>
        <v>0.06656521739130435</v>
      </c>
      <c r="H16" s="63">
        <f>H10/'Bottom-up'!$C$92</f>
        <v>0.07856521739130434</v>
      </c>
      <c r="J16" s="17"/>
    </row>
    <row r="17">
      <c r="B17" t="s" s="38">
        <v>327</v>
      </c>
      <c r="C17" s="64">
        <f>C12*('Bottom-up'!$C$105+'Bottom-up'!$C$106*C11)</f>
        <v>816</v>
      </c>
      <c r="D17" s="64">
        <f>D12*('Bottom-up'!$C$105+'Bottom-up'!$C$106*D11)</f>
        <v>931.1266565887883</v>
      </c>
      <c r="E17" s="64">
        <f>E12*('Bottom-up'!$C$105+'Bottom-up'!$C$106*E11)</f>
        <v>1057.133786721062</v>
      </c>
      <c r="F17" s="64">
        <f>F12*('Bottom-up'!$C$105+'Bottom-up'!$C$106*F11)</f>
        <v>1194.9127638371729</v>
      </c>
      <c r="G17" s="64">
        <f>G12*('Bottom-up'!$C$105+'Bottom-up'!$C$106*G11)</f>
        <v>1345.4227668459132</v>
      </c>
      <c r="H17" s="64">
        <f>H12*('Bottom-up'!$C$105+'Bottom-up'!$C$106*H11)</f>
        <v>1509.6957084583019</v>
      </c>
      <c r="J17" t="s" s="17">
        <v>383</v>
      </c>
    </row>
    <row r="18">
      <c r="B18" t="s">
        <v>328</v>
      </c>
      <c r="C18" s="27">
        <f>C10-C17</f>
        <v>0</v>
      </c>
      <c r="D18" s="27">
        <f>D10-D17</f>
        <v>8.87334341121175</v>
      </c>
      <c r="E18" s="27">
        <f>E10-E17</f>
        <v>42.86621327893795</v>
      </c>
      <c r="F18" s="27">
        <f>F10-F17</f>
        <v>103.08723616282714</v>
      </c>
      <c r="G18" s="27">
        <f>G10-G17</f>
        <v>185.5772331540868</v>
      </c>
      <c r="H18" s="27">
        <f>H10-H17</f>
        <v>297.30429154169815</v>
      </c>
    </row>
    <row r="20">
      <c r="B20" t="s" s="18">
        <v>329</v>
      </c>
      <c r="C20" s="18"/>
      <c r="D20" s="18"/>
    </row>
    <row r="21">
      <c r="B21" t="s">
        <v>330</v>
      </c>
      <c r="C21" s="24">
        <f>I10</f>
        <v>0.17234004179777473</v>
      </c>
    </row>
    <row r="22">
      <c r="B22" t="s">
        <v>331</v>
      </c>
      <c r="C22" s="24">
        <f>C21</f>
        <v>0.17234004179777473</v>
      </c>
    </row>
    <row r="23">
      <c r="B23" t="s">
        <v>332</v>
      </c>
      <c r="C23" s="24">
        <f>((H10/(C14+C26*H11))/C12)^(1/H11)-1</f>
        <v>0.0988249530362868</v>
      </c>
      <c r="D23" t="s" s="17">
        <v>378</v>
      </c>
    </row>
    <row r="24">
      <c r="B24" t="s">
        <v>333</v>
      </c>
      <c r="C24" s="55">
        <f>'Bottom-up'!C99</f>
        <v>0.060021726487054616</v>
      </c>
      <c r="D24" s="17"/>
    </row>
    <row r="25">
      <c r="B25" t="s">
        <v>334</v>
      </c>
      <c r="C25" s="26">
        <f>(H14-C14)/H11</f>
        <v>0.009046356832284146</v>
      </c>
      <c r="D25" s="17"/>
    </row>
    <row r="26">
      <c r="B26" t="s">
        <v>335</v>
      </c>
      <c r="C26" s="26">
        <f>C40</f>
        <v>0.005284242258759056</v>
      </c>
      <c r="D26" s="17"/>
    </row>
    <row r="27">
      <c r="B27" t="s">
        <v>336</v>
      </c>
      <c r="C27" s="6">
        <f>C25/C26</f>
        <v>1.7119496777970549</v>
      </c>
      <c r="D27" t="s" s="17">
        <v>379</v>
      </c>
    </row>
    <row r="28">
      <c r="B28" t="s">
        <v>337</v>
      </c>
      <c r="C28" s="24">
        <f>H14</f>
        <v>0.11432968221056392</v>
      </c>
      <c r="D28" s="17"/>
    </row>
    <row r="29">
      <c r="B29" t="s">
        <v>338</v>
      </c>
      <c r="C29" s="7">
        <f>E7*(1+F9+C50)^(H11-E11)</f>
        <v>1959.8507553536997</v>
      </c>
      <c r="D29" t="s" s="17">
        <v>380</v>
      </c>
    </row>
    <row r="30">
      <c r="B30" t="s">
        <v>339</v>
      </c>
      <c r="C30" s="24">
        <f>C29/H12</f>
        <v>0.1240006165134046</v>
      </c>
    </row>
    <row r="32">
      <c r="B32" t="s" s="18">
        <v>340</v>
      </c>
      <c r="C32" s="18"/>
      <c r="D32" s="18"/>
      <c r="E32" s="18"/>
      <c r="F32" s="18"/>
      <c r="G32" s="18"/>
      <c r="H32" s="18"/>
    </row>
    <row r="33">
      <c r="B33" s="20"/>
      <c r="C33" s="51">
        <f>DATE(2020,12,31)</f>
        <v>44196</v>
      </c>
      <c r="D33" s="51">
        <f>DATE(2021,12,31)</f>
        <v>44561</v>
      </c>
      <c r="E33" s="51">
        <f>DATE(2022,12,31)</f>
        <v>44926</v>
      </c>
      <c r="F33" s="51">
        <f>DATE(2023,12,31)</f>
        <v>45291</v>
      </c>
      <c r="G33" s="51">
        <f>DATE(2024,12,31)</f>
        <v>45657</v>
      </c>
      <c r="H33" t="s" s="19">
        <v>362</v>
      </c>
    </row>
    <row r="34">
      <c r="B34" t="s">
        <v>341</v>
      </c>
      <c r="C34" s="54">
        <f>'Top-down'!D22</f>
        <v>203</v>
      </c>
      <c r="D34" s="54">
        <f>'Top-down'!E22</f>
        <v>252</v>
      </c>
      <c r="E34" s="54">
        <f>'Top-down'!F22</f>
        <v>303.4</v>
      </c>
      <c r="F34" s="54">
        <f>'Top-down'!G22</f>
        <v>368.2</v>
      </c>
      <c r="G34" s="54">
        <f>'Top-down'!H22</f>
        <v>451.8</v>
      </c>
      <c r="H34" s="24">
        <f>(G34/C34)^(1/(C36-G36))-1</f>
        <v>0.22141302561785348</v>
      </c>
    </row>
    <row r="35">
      <c r="B35" t="s" s="16">
        <v>319</v>
      </c>
      <c r="C35" s="16"/>
      <c r="D35" s="44">
        <f>D34/C34-1</f>
        <v>0.24137931034482762</v>
      </c>
      <c r="E35" s="44">
        <f>E34/D34-1</f>
        <v>0.2039682539682539</v>
      </c>
      <c r="F35" s="44">
        <f>F34/E34-1</f>
        <v>0.2135794330916283</v>
      </c>
      <c r="G35" s="44">
        <f>G34/F34-1</f>
        <v>0.22705051602390003</v>
      </c>
    </row>
    <row r="36">
      <c r="B36" t="s">
        <v>342</v>
      </c>
      <c r="C36" s="25">
        <f>YEAR($C$6)-YEAR(C33)</f>
        <v>5</v>
      </c>
      <c r="D36" s="25">
        <f>YEAR($C$6)-YEAR(D33)</f>
        <v>4</v>
      </c>
      <c r="E36" s="25">
        <f>YEAR($C$6)-YEAR(E33)</f>
        <v>3</v>
      </c>
      <c r="F36" s="25">
        <f>YEAR($C$6)-YEAR(F33)</f>
        <v>2</v>
      </c>
      <c r="G36" s="25">
        <f>YEAR($C$6)-YEAR(G33)</f>
        <v>1</v>
      </c>
    </row>
    <row r="37">
      <c r="B37" t="s">
        <v>343</v>
      </c>
      <c r="C37" s="54">
        <f>'Bottom-up'!$C$103/(1+'Bottom-up'!$C$104)^C36</f>
        <v>7191.728393215364</v>
      </c>
      <c r="D37" s="54">
        <f>'Bottom-up'!$C$103/(1+'Bottom-up'!$C$104)^D36</f>
        <v>7638.521006728129</v>
      </c>
      <c r="E37" s="54">
        <f>'Bottom-up'!$C$103/(1+'Bottom-up'!$C$104)^E36</f>
        <v>8113.071014371335</v>
      </c>
      <c r="F37" s="54">
        <f>'Bottom-up'!$C$103/(1+'Bottom-up'!$C$104)^F36</f>
        <v>8617.102869293067</v>
      </c>
      <c r="G37" s="54">
        <f>'Bottom-up'!$C$103/(1+'Bottom-up'!$C$104)^G36</f>
        <v>9152.448157848725</v>
      </c>
    </row>
    <row r="38">
      <c r="B38" t="s" s="16">
        <v>344</v>
      </c>
      <c r="C38" s="44">
        <f>C34/C37</f>
        <v>0.02822687244300119</v>
      </c>
      <c r="D38" s="44">
        <f>D34/D37</f>
        <v>0.032990679711168494</v>
      </c>
      <c r="E38" s="44">
        <f>E34/E37</f>
        <v>0.03739644327808338</v>
      </c>
      <c r="F38" s="44">
        <f>F34/F37</f>
        <v>0.04272897812466367</v>
      </c>
      <c r="G38" s="44">
        <f>G34/G37</f>
        <v>0.049363841478037414</v>
      </c>
    </row>
    <row r="39">
      <c r="B39" t="s" s="16">
        <v>345</v>
      </c>
      <c r="C39" s="16"/>
      <c r="D39" s="62">
        <f>D38-C38</f>
        <v>0.004763807268167303</v>
      </c>
      <c r="E39" s="62">
        <f>E38-D38</f>
        <v>0.004405763566914883</v>
      </c>
      <c r="F39" s="62">
        <f>F38-E38</f>
        <v>0.005332534846580292</v>
      </c>
      <c r="G39" s="62">
        <f>G38-F38</f>
        <v>0.006634863353373745</v>
      </c>
    </row>
    <row r="40">
      <c r="B40" t="s">
        <v>346</v>
      </c>
      <c r="C40" s="26">
        <f>(G38-C38)/(C36-G36)</f>
        <v>0.005284242258759056</v>
      </c>
    </row>
    <row r="41">
      <c r="B41" t="s">
        <v>347</v>
      </c>
      <c r="C41" s="55">
        <f>'Bottom-up'!C104</f>
        <v>0.062125902020196744</v>
      </c>
    </row>
    <row r="42">
      <c r="B42" t="s">
        <v>348</v>
      </c>
      <c r="C42" s="24">
        <f>H34</f>
        <v>0.22141302561785348</v>
      </c>
    </row>
    <row r="43">
      <c r="B43" t="s">
        <v>349</v>
      </c>
      <c r="C43" s="24">
        <f>(1+C42)/(1+C41)-1</f>
        <v>0.14997009610130752</v>
      </c>
    </row>
    <row r="45">
      <c r="B45" t="s" s="18">
        <v>350</v>
      </c>
      <c r="C45" s="18"/>
      <c r="D45" s="18"/>
    </row>
    <row r="46">
      <c r="B46" t="s">
        <v>351</v>
      </c>
      <c r="C46" s="56">
        <v>24.55</v>
      </c>
      <c r="D46" t="s">
        <v>359</v>
      </c>
    </row>
    <row r="47">
      <c r="B47" t="s">
        <v>352</v>
      </c>
      <c r="C47" s="12">
        <v>8433</v>
      </c>
      <c r="D47" t="s">
        <v>360</v>
      </c>
    </row>
    <row r="48">
      <c r="B48" t="s">
        <v>353</v>
      </c>
      <c r="C48" s="6">
        <f>C47/C7</f>
        <v>11.552054794520547</v>
      </c>
    </row>
    <row r="49">
      <c r="B49" t="s">
        <v>354</v>
      </c>
      <c r="C49" s="6">
        <f>C47/D7</f>
        <v>8.971276595744682</v>
      </c>
    </row>
    <row r="50">
      <c r="B50" t="s">
        <v>355</v>
      </c>
      <c r="C50" s="57">
        <v>0.0323</v>
      </c>
      <c r="D50" t="s">
        <v>361</v>
      </c>
    </row>
    <row r="51">
      <c r="B51" t="s">
        <v>356</v>
      </c>
      <c r="C51" s="6">
        <f>C47/H7</f>
        <v>4.666851134477033</v>
      </c>
    </row>
    <row r="52">
      <c r="B52" t="s">
        <v>357</v>
      </c>
      <c r="C52" s="65">
        <f>C47/'Bottom-up'!C108</f>
        <v>5.585893867719716</v>
      </c>
      <c r="D52" t="s" s="17">
        <v>381</v>
      </c>
    </row>
    <row r="53">
      <c r="B53" t="s">
        <v>358</v>
      </c>
      <c r="C53" s="6">
        <f>C47/C12</f>
        <v>0.7140962919711085</v>
      </c>
    </row>
    <row r="55">
      <c r="B55" t="s" s="18">
        <v>386</v>
      </c>
      <c r="C55" s="18"/>
      <c r="D55" s="18"/>
    </row>
    <row r="56">
      <c r="C56" t="s" s="19">
        <v>221</v>
      </c>
    </row>
    <row r="57">
      <c r="B57" t="s">
        <v>387</v>
      </c>
      <c r="C57" s="67">
        <f>I10</f>
        <v>0.17234004179777473</v>
      </c>
    </row>
    <row r="58">
      <c r="B58" t="s">
        <v>388</v>
      </c>
      <c r="C58" s="67">
        <f>H34</f>
        <v>0.22141302561785348</v>
      </c>
    </row>
    <row r="59">
      <c r="B59" t="s" s="16">
        <v>389</v>
      </c>
      <c r="C59" s="68">
        <f>C58-C57</f>
        <v>0.04907298382007874</v>
      </c>
    </row>
  </sheetData>
  <pageMargins left="0.7" right="0.7" top="0.75" bottom="0.75" header="0.3" footer="0.3"/>
  <drawing r:id="rId1"/>
  <legacyDrawing r:id="rId3"/>
</worksheet>
</file>

<file path=ccalc/calcState.xml><?xml version="1.0" encoding="utf-8"?>
<calcState xmlns="urn:twentyai:ccalc:calc-state" version="1" digest="ac33a3b8984e42e43f0b76148f813e342e0b44d0158a236613ca2c44df67eca5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2026-10-20T23:40:30Z</dcterms:created>
  <dcterms:modified xsi:type="dcterms:W3CDTF">2026-10-20T23:40:30Z</dcterms:modified>
  <cp:category/>
  <cp:contentStatus/>
</cp:coreProperties>
</file>