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Summary" sheetId="1" r:id="rId1"/>
    <sheet name="Definition" sheetId="2" r:id="rId2"/>
    <sheet name="Monthly" sheetId="3" r:id="rId3"/>
    <sheet name="Normalisation" sheetId="4" r:id="rId4"/>
    <sheet name="Peg" sheetId="5" r:id="rId5"/>
    <sheet name="Closing" sheetId="6" r:id="rId6"/>
  </sheets>
  <calcPr/>
  <extLst>
    <ext xmlns:xccaches="urn:twentyai:ccalc:caches" uri="{3C5F2E7A-9B41-4D6E-A8C2-19409CCA1C01}">
      <xccaches:writer/>
    </ext>
  </extLst>
</workbook>
</file>

<file path=xl/comments2.xml><?xml version="1.0" encoding="utf-8"?>
<comments xmlns="http://schemas.openxmlformats.org/spreadsheetml/2006/main">
  <authors>
    <author>Compound</author>
  </authors>
  <commentList>
    <comment ref="C12" authorId="0">
      <text>
        <r>
          <t xml:space="preserve">2.04 Consolidated_Financial_Statements_2023-2025_Excel (2023 BS B7:B30)</t>
        </r>
      </text>
    </comment>
    <comment ref="C15" authorId="0">
      <text>
        <r>
          <t xml:space="preserve">Cited for C15:C19
2.04 Consolidated_Financial_Statements_2023-2025_Excel (2023 BS B7:B30)</t>
        </r>
      </text>
    </comment>
    <comment ref="C23" authorId="0">
      <text>
        <r>
          <t xml:space="preserve">2.04 Consolidated_Financial_Statements_2023-2025_Excel (2023 BS B7:B30)</t>
        </r>
      </text>
    </comment>
    <comment ref="C33" authorId="0">
      <text>
        <r>
          <t xml:space="preserve">Cited for C33:C34
2.04 Consolidated_Financial_Statements_2023-2025_Excel (2023 BS B7:B30)</t>
        </r>
      </text>
    </comment>
    <comment ref="C37" authorId="0">
      <text>
        <r>
          <t xml:space="preserve">Cited for C37:C41
2.04 Consolidated_Financial_Statements_2023-2025_Excel (2023 BS B7:B30)</t>
        </r>
      </text>
    </comment>
    <comment ref="C44" authorId="0">
      <text>
        <r>
          <t xml:space="preserve">2.04 Consolidated_Financial_Statements_2023-2025_Excel (2023 BS B7:B30)</t>
        </r>
      </text>
    </comment>
    <comment ref="C7" authorId="0">
      <text>
        <r>
          <t xml:space="preserve">Cited for C7:C8
2.04 Consolidated_Financial_Statements_2023-2025_Excel (2023 BS B7:B30)</t>
        </r>
      </text>
    </comment>
    <comment ref="D12" authorId="0">
      <text>
        <r>
          <t xml:space="preserve">2.04 Consolidated_Financial_Statements_2023-2025_Excel (2024 BS B7:B30)</t>
        </r>
      </text>
    </comment>
    <comment ref="D15" authorId="0">
      <text>
        <r>
          <t xml:space="preserve">Cited for D15:D19
2.04 Consolidated_Financial_Statements_2023-2025_Excel (2024 BS B7:B30)</t>
        </r>
      </text>
    </comment>
    <comment ref="D23" authorId="0">
      <text>
        <r>
          <t xml:space="preserve">2.04 Consolidated_Financial_Statements_2023-2025_Excel (2024 BS B7:B30)</t>
        </r>
      </text>
    </comment>
    <comment ref="D33" authorId="0">
      <text>
        <r>
          <t xml:space="preserve">Cited for D33:D34
2.04 Consolidated_Financial_Statements_2023-2025_Excel (2024 BS B7:B30)</t>
        </r>
      </text>
    </comment>
    <comment ref="D37" authorId="0">
      <text>
        <r>
          <t xml:space="preserve">Cited for D37:D41
2.04 Consolidated_Financial_Statements_2023-2025_Excel (2024 BS B7:B30)</t>
        </r>
      </text>
    </comment>
    <comment ref="D44" authorId="0">
      <text>
        <r>
          <t xml:space="preserve">2.04 Consolidated_Financial_Statements_2023-2025_Excel (2024 BS B7:B30)</t>
        </r>
      </text>
    </comment>
    <comment ref="D7" authorId="0">
      <text>
        <r>
          <t xml:space="preserve">Cited for D7:D8
2.04 Consolidated_Financial_Statements_2023-2025_Excel (2024 BS B7:B30)</t>
        </r>
      </text>
    </comment>
    <comment ref="E12" authorId="0">
      <text>
        <r>
          <t xml:space="preserve">2.04 Consolidated_Financial_Statements_2023-2025_Excel (2025 BS B7:B30)</t>
        </r>
      </text>
    </comment>
    <comment ref="E15" authorId="0">
      <text>
        <r>
          <t xml:space="preserve">Cited for E15:E19
2.04 Consolidated_Financial_Statements_2023-2025_Excel (2025 BS B7:B30)</t>
        </r>
      </text>
    </comment>
    <comment ref="E20" authorId="0">
      <text>
        <r>
          <t xml:space="preserve">2.03 Audited_Financial_Statements_FY25_vF p. 14</t>
        </r>
      </text>
    </comment>
    <comment ref="E23" authorId="0">
      <text>
        <r>
          <t xml:space="preserve">2.04 Consolidated_Financial_Statements_2023-2025_Excel (2025 BS B7:B30)</t>
        </r>
      </text>
    </comment>
    <comment ref="E26" authorId="0">
      <text>
        <r>
          <t xml:space="preserve">2.03 Audited_Financial_Statements_FY25_vF p. 7</t>
        </r>
      </text>
    </comment>
    <comment ref="E27" authorId="0">
      <text>
        <r>
          <t xml:space="preserve">2.03 Audited_Financial_Statements_FY25_vF p. 12</t>
        </r>
      </text>
    </comment>
    <comment ref="E28" authorId="0">
      <text>
        <r>
          <t xml:space="preserve">11.04 Project_Voltaic_Sell-Side_QoE_Report_DRAFT p. 16</t>
        </r>
      </text>
    </comment>
    <comment ref="E29" authorId="0">
      <text>
        <r>
          <t xml:space="preserve">8.03 Compensation_and_Equity_Summary p. 1</t>
        </r>
      </text>
    </comment>
    <comment ref="E33" authorId="0">
      <text>
        <r>
          <t xml:space="preserve">Cited for E33:E34
2.04 Consolidated_Financial_Statements_2023-2025_Excel (2025 BS B7:B30)</t>
        </r>
      </text>
    </comment>
    <comment ref="E37" authorId="0">
      <text>
        <r>
          <t xml:space="preserve">Cited for E37:E41
2.04 Consolidated_Financial_Statements_2023-2025_Excel (2025 BS B7:B30)</t>
        </r>
      </text>
    </comment>
    <comment ref="E42" authorId="0">
      <text>
        <r>
          <t xml:space="preserve">2.03 Audited_Financial_Statements_FY25_vF p. 14</t>
        </r>
      </text>
    </comment>
    <comment ref="E44" authorId="0">
      <text>
        <r>
          <t xml:space="preserve">2.04 Consolidated_Financial_Statements_2023-2025_Excel (2025 BS B7:B30)</t>
        </r>
      </text>
    </comment>
    <comment ref="E7" authorId="0">
      <text>
        <r>
          <t xml:space="preserve">Cited for E7:E8
2.04 Consolidated_Financial_Statements_2023-2025_Excel (2025 BS B7:B30)</t>
        </r>
      </text>
    </comment>
    <comment ref="E77" authorId="0">
      <text>
        <r>
          <t xml:space="preserve">11.04 Project_Voltaic_Sell-Side_QoE_Report_DRAFT p. 15</t>
        </r>
      </text>
    </comment>
    <comment ref="F11" authorId="0">
      <text>
        <r>
          <t xml:space="preserve">Cited for E11:F11
5.08 Invoice_Register_Export_FY25-FY26Q1</t>
        </r>
      </text>
    </comment>
    <comment ref="F12" authorId="0">
      <text>
        <r>
          <t xml:space="preserve">2.09 Q1_FY26_Consolidated Financial Statements (Q1 FY26 BS B7:B30)</t>
        </r>
      </text>
    </comment>
    <comment ref="F13" authorId="0">
      <text>
        <r>
          <t xml:space="preserve">Cited for D13:F13
11.04 Project_Voltaic_Sell-Side_QoE_Report_DRAFT p. 15</t>
        </r>
      </text>
    </comment>
    <comment ref="F15" authorId="0">
      <text>
        <r>
          <t xml:space="preserve">Cited for F15:F19
2.09 Q1_FY26_Consolidated Financial Statements (Q1 FY26 BS B7:B30)</t>
        </r>
      </text>
    </comment>
    <comment ref="F23" authorId="0">
      <text>
        <r>
          <t xml:space="preserve">2.09 Q1_FY26_Consolidated Financial Statements (Q1 FY26 BS B7:B30)</t>
        </r>
      </text>
    </comment>
    <comment ref="F24" authorId="0">
      <text>
        <r>
          <t xml:space="preserve">Cited for D24:F24
11.04 Project_Voltaic_Sell-Side_QoE_Report_DRAFT p. 15</t>
        </r>
      </text>
    </comment>
    <comment ref="F33" authorId="0">
      <text>
        <r>
          <t xml:space="preserve">Cited for F33:F34
2.09 Q1_FY26_Consolidated Financial Statements (Q1 FY26 BS B7:B30)</t>
        </r>
      </text>
    </comment>
    <comment ref="F35" authorId="0">
      <text>
        <r>
          <t xml:space="preserve">Cited for D35:F35
11.04 Project_Voltaic_Sell-Side_QoE_Report_DRAFT p. 15</t>
        </r>
      </text>
    </comment>
    <comment ref="F37" authorId="0">
      <text>
        <r>
          <t xml:space="preserve">Cited for F37:F41
2.09 Q1_FY26_Consolidated Financial Statements (Q1 FY26 BS B7:B30)</t>
        </r>
      </text>
    </comment>
    <comment ref="F44" authorId="0">
      <text>
        <r>
          <t xml:space="preserve">2.09 Q1_FY26_Consolidated Financial Statements (Q1 FY26 BS B7:B30)</t>
        </r>
      </text>
    </comment>
    <comment ref="F65" authorId="0">
      <text>
        <r>
          <t xml:space="preserve">Cited for D65:F65
11.04 Project_Voltaic_Sell-Side_QoE_Report_DRAFT p. 15</t>
        </r>
      </text>
    </comment>
    <comment ref="F7" authorId="0">
      <text>
        <r>
          <t xml:space="preserve">Cited for F7:F8
2.09 Q1_FY26_Consolidated Financial Statements (Q1 FY26 BS B7:B30)</t>
        </r>
      </text>
    </comment>
    <comment ref="F9" authorId="0">
      <text>
        <r>
          <t xml:space="preserve">Cited for D9:F9
11.04 Project_Voltaic_Sell-Side_QoE_Report_DRAFT p. 15</t>
        </r>
      </text>
    </comment>
  </commentList>
</comments>
</file>

<file path=xl/comments3.xml><?xml version="1.0" encoding="utf-8"?>
<comments xmlns="http://schemas.openxmlformats.org/spreadsheetml/2006/main">
  <authors>
    <author>Compound</author>
  </authors>
  <commentList>
    <comment ref="C26" authorId="0">
      <text>
        <r>
          <t xml:space="preserve">Cited for C26:C29
2.09 Q1_FY26_Consolidated Financial Statements (Q1 FY26 IS B6:B18)</t>
        </r>
      </text>
    </comment>
    <comment ref="C30" authorId="0">
      <text>
        <r>
          <t xml:space="preserve">2.09 Q1_FY26_Consolidated Financial Statements (Revenue &amp; Cost Detail B81:B84)</t>
        </r>
      </text>
    </comment>
    <comment ref="C31" authorId="0">
      <text>
        <r>
          <t xml:space="preserve">Cited for C31:C32
7.05 Property_Tax_Schedule_FY23-FY26 (Property Tax FY23-FY26 B48:E51)</t>
        </r>
      </text>
    </comment>
    <comment ref="C33" authorId="0">
      <text>
        <r>
          <t xml:space="preserve">7.05 Property_Tax_Schedule_FY23-FY26 (Property Tax FY23-FY26 C49)</t>
        </r>
      </text>
    </comment>
    <comment ref="C34" authorId="0">
      <text>
        <r>
          <t xml:space="preserve">8.03 Compensation_and_Equity_Summary p. 1</t>
        </r>
      </text>
    </comment>
    <comment ref="C36" authorId="0">
      <text>
        <r>
          <t xml:space="preserve">Cited for C36:C37
2.06 FY26_Budget_and_Long-Range_Plan_FY26-FY30_v3.2 (7. G&amp;A Build B8:C8)</t>
        </r>
      </text>
    </comment>
    <comment ref="C39" authorId="0">
      <text>
        <r>
          <t xml:space="preserve">2.04 Consolidated_Financial_Statements_2023-2025_Excel (2024 IS B24)</t>
        </r>
      </text>
    </comment>
    <comment ref="C40" authorId="0">
      <text>
        <r>
          <t xml:space="preserve">2.04 Consolidated_Financial_Statements_2023-2025_Excel (2025 IS B24)</t>
        </r>
      </text>
    </comment>
    <comment ref="O12" authorId="0">
      <text>
        <r>
          <t xml:space="preserve">Cited for D12:O12
2.05 Management_Accounts_FY25_Monthly_v3 (P&amp;L (Monthly) B10:M10)</t>
        </r>
      </text>
    </comment>
    <comment ref="O13" authorId="0">
      <text>
        <r>
          <t xml:space="preserve">Cited for D13:O13
2.05 Management_Accounts_FY25_Monthly_v3 (P&amp;L (Monthly) B7:M7)</t>
        </r>
      </text>
    </comment>
    <comment ref="O14" authorId="0">
      <text>
        <r>
          <t xml:space="preserve">Cited for D14:O14
3.07 Power_Cost_and_Reimbursement_Analysis_FY25 (Monthly by Campus H4:H16)</t>
        </r>
      </text>
    </comment>
    <comment ref="O15" authorId="0">
      <text>
        <r>
          <t xml:space="preserve">Cited for D15:O15
2.05 Management_Accounts_FY25_Monthly_v3 (P&amp;L (Monthly) B11:M11)</t>
        </r>
      </text>
    </comment>
    <comment ref="O16" authorId="0">
      <text>
        <r>
          <t xml:space="preserve">Cited for D16:O16
2.05 Management_Accounts_FY25_Monthly_v3 (P&amp;L (Monthly) B12:M12)</t>
        </r>
      </text>
    </comment>
    <comment ref="O17" authorId="0">
      <text>
        <r>
          <t xml:space="preserve">Cited for D17:O17
2.05 Management_Accounts_FY25_Monthly_v3 (P&amp;L (Monthly) B15:M15)</t>
        </r>
      </text>
    </comment>
    <comment ref="O18" authorId="0">
      <text>
        <r>
          <t xml:space="preserve">Cited for D18:O18
2.05 Management_Accounts_FY25_Monthly_v3 (Non-recurring B9:M9)</t>
        </r>
      </text>
    </comment>
    <comment ref="R14" authorId="0">
      <text>
        <r>
          <t xml:space="preserve">Cited for P14:R14
5.08 Invoice_Register_Export_FY25-FY26Q1</t>
        </r>
      </text>
    </comment>
    <comment ref="R20" authorId="0">
      <text>
        <r>
          <t xml:space="preserve">Cited for D20:R20
5.08 Invoice_Register_Export_FY25-FY26Q1</t>
        </r>
      </text>
    </comment>
  </commentList>
</comments>
</file>

<file path=xl/comments4.xml><?xml version="1.0" encoding="utf-8"?>
<comments xmlns="http://schemas.openxmlformats.org/spreadsheetml/2006/main">
  <authors>
    <author>Compound</author>
  </authors>
  <commentList>
    <comment ref="O22" authorId="0">
      <text>
        <r>
          <t xml:space="preserve">11.04 Project_Voltaic_Sell-Side_QoE_Report_DRAFT p. 16</t>
        </r>
      </text>
    </comment>
    <comment ref="O25" authorId="0">
      <text>
        <r>
          <t xml:space="preserve">2.03 Audited_Financial_Statements_FY25_vF p. 12</t>
        </r>
      </text>
    </comment>
  </commentList>
</comments>
</file>

<file path=xl/comments6.xml><?xml version="1.0" encoding="utf-8"?>
<comments xmlns="http://schemas.openxmlformats.org/spreadsheetml/2006/main">
  <authors>
    <author>Compound</author>
  </authors>
  <commentList>
    <comment ref="C10" authorId="0">
      <text>
        <r>
          <t xml:space="preserve">2.06 FY26_Budget_and_Long-Range_Plan_FY26-FY30_v3.2 (2. P&amp;L (FY26-FY30) C6:D17)</t>
        </r>
      </text>
    </comment>
    <comment ref="C12" authorId="0">
      <text>
        <r>
          <t xml:space="preserve">2.06 FY26_Budget_and_Long-Range_Plan_FY26-FY30_v3.2 (2. P&amp;L (FY26-FY30) C6:D17)</t>
        </r>
      </text>
    </comment>
    <comment ref="C14" authorId="0">
      <text>
        <r>
          <t xml:space="preserve">Cited for C14:C16
2.06 FY26_Budget_and_Long-Range_Plan_FY26-FY30_v3.2 (2. P&amp;L (FY26-FY30) C6:D17)</t>
        </r>
      </text>
    </comment>
  </commentList>
</comments>
</file>

<file path=xl/sharedStrings.xml><?xml version="1.0" encoding="utf-8"?>
<sst xmlns="http://schemas.openxmlformats.org/spreadsheetml/2006/main" count="658" uniqueCount="658">
  <si>
    <t>Definition: balance sheet classification and reconciliation to the sell-side QoE</t>
  </si>
  <si>
    <t/>
  </si>
  <si>
    <t>1. BALANCE SHEET CLASSIFICATION</t>
  </si>
  <si>
    <t>Line</t>
  </si>
  <si>
    <t>Cash and cash equivalents</t>
  </si>
  <si>
    <t>Accounts receivable, net</t>
  </si>
  <si>
    <t>Trade receivables (QoE §8)</t>
  </si>
  <si>
    <t>Other receivables the QoE leaves out</t>
  </si>
  <si>
    <t>Memo: open metered power invoices (pass-through)</t>
  </si>
  <si>
    <t>Prepaid expenses and other current assets</t>
  </si>
  <si>
    <t>Prepaid &amp; other current assets (QoE §8)</t>
  </si>
  <si>
    <t>Other current assets the QoE leaves out</t>
  </si>
  <si>
    <t>Property, plant &amp; equipment, net</t>
  </si>
  <si>
    <t>Straight-line rent receivable</t>
  </si>
  <si>
    <t>Deferred leasing costs, net</t>
  </si>
  <si>
    <t>Ground lease right-of-use asset (RNO I)</t>
  </si>
  <si>
    <t>Other assets (non-current)</t>
  </si>
  <si>
    <t>Memo: VPPA derivative asset (Maumee Ridge, in other assets)</t>
  </si>
  <si>
    <t>Total assets</t>
  </si>
  <si>
    <t>Accounts payable and accrued liabilities</t>
  </si>
  <si>
    <t>Operating payables and accruals (QoE §8)</t>
  </si>
  <si>
    <t>Excluded by the QoE from NWC</t>
  </si>
  <si>
    <t>Construction retentions payable</t>
  </si>
  <si>
    <t>Litigation accrual (PHX II mechanic's lien)</t>
  </si>
  <si>
    <t>Unpaid severance</t>
  </si>
  <si>
    <t>FY25 bonus accrual</t>
  </si>
  <si>
    <t>Accrued transaction costs</t>
  </si>
  <si>
    <t>Accrued interest</t>
  </si>
  <si>
    <t>Accrued construction capex excl. retentions (residual)</t>
  </si>
  <si>
    <t>Accrued property taxes</t>
  </si>
  <si>
    <t>Deferred revenue and prepaid rent</t>
  </si>
  <si>
    <t>Current (QoE §8)</t>
  </si>
  <si>
    <t>Non-current (balance sheet less QoE current)</t>
  </si>
  <si>
    <t>Tenant security deposits</t>
  </si>
  <si>
    <t>Term loan, net of issuance costs</t>
  </si>
  <si>
    <t>Construction facilities</t>
  </si>
  <si>
    <t>Finance / ground lease liabilities</t>
  </si>
  <si>
    <t>Other long-term liabilities</t>
  </si>
  <si>
    <t>Memo: VPPA derivative liability (Caliza Solar, in other LT liabilities)</t>
  </si>
  <si>
    <t>Total liabilities</t>
  </si>
  <si>
    <t>Members' equity</t>
  </si>
  <si>
    <t>Total liabilities and members' equity</t>
  </si>
  <si>
    <t>Check: assets less liabilities and equity</t>
  </si>
  <si>
    <t>Off balance sheet: retention pool approved April 2026</t>
  </si>
  <si>
    <t>2. NWC ON OUR DEFINITION</t>
  </si>
  <si>
    <t>$M</t>
  </si>
  <si>
    <t>Operating payables and accruals</t>
  </si>
  <si>
    <t>Deferred revenue and prepaid rent, current</t>
  </si>
  <si>
    <t>Net working capital, our definition ($M)</t>
  </si>
  <si>
    <t>3. RECONCILIATION TO THE QoE NWC TABLE (11.04 §8) AND TEST OF ITS OWN DEFINITION (§8.1)</t>
  </si>
  <si>
    <t>Trade receivables (QoE)</t>
  </si>
  <si>
    <t>Prepaid &amp; other current assets (QoE)</t>
  </si>
  <si>
    <t>AP &amp; accrued liabilities, operating (QoE)</t>
  </si>
  <si>
    <t>Deferred revenue, current (QoE)</t>
  </si>
  <si>
    <t>QoE NWC, recomputed</t>
  </si>
  <si>
    <t>QoE NWC as reported</t>
  </si>
  <si>
    <t>Check: recomputed less reported</t>
  </si>
  <si>
    <t>Add: accrued property taxes (in §8.1 'included', missing from the table)</t>
  </si>
  <si>
    <t>Add: tenant security deposits (in §8.1 'included', missing from the table)</t>
  </si>
  <si>
    <t>QoE NWC on its own §8.1 definition ($M)</t>
  </si>
  <si>
    <t/>
  </si>
  <si>
    <t>Our change: add receivables the QoE leaves out</t>
  </si>
  <si>
    <t>Our change: add other current assets the QoE leaves out</t>
  </si>
  <si>
    <t>NWC, our definition ($M)</t>
  </si>
  <si>
    <t>Check: against section 2</t>
  </si>
  <si>
    <t>Average of the QoE's three reported balances</t>
  </si>
  <si>
    <t>QoE proposed peg ('trailing twelve-month average')</t>
  </si>
  <si>
    <t>Difference: peg less three-point average</t>
  </si>
  <si>
    <t>4. ACCOUNTS PAYABLE AND ACCRUED LIABILITIES AT 12/31/25: WHERE THE QoE PUTS EACH DOLLAR</t>
  </si>
  <si>
    <t>AP and accrued liabilities, balance sheet</t>
  </si>
  <si>
    <t>Less: operating, in QoE NWC</t>
  </si>
  <si>
    <t/>
  </si>
  <si>
    <t/>
  </si>
  <si>
    <t/>
  </si>
  <si>
    <t/>
  </si>
  <si>
    <t/>
  </si>
  <si>
    <t>of which FY25 bonus accrual</t>
  </si>
  <si>
    <t>of which accrued transaction costs</t>
  </si>
  <si>
    <t>of which accrued interest</t>
  </si>
  <si>
    <t>of which accrued construction capex excl. retentions</t>
  </si>
  <si>
    <t>Check</t>
  </si>
  <si>
    <t/>
  </si>
  <si>
    <t>n/a</t>
  </si>
  <si>
    <t/>
  </si>
  <si>
    <t/>
  </si>
  <si>
    <t/>
  </si>
  <si>
    <t>Class</t>
  </si>
  <si>
    <t>Cash</t>
  </si>
  <si>
    <t>NWC</t>
  </si>
  <si>
    <t>Excluded</t>
  </si>
  <si>
    <t>Split</t>
  </si>
  <si>
    <t>See below</t>
  </si>
  <si>
    <t/>
  </si>
  <si>
    <t>Debt</t>
  </si>
  <si>
    <t>Reason (specific to this business)</t>
  </si>
  <si>
    <t/>
  </si>
  <si>
    <t>Balance sheet total; split below</t>
  </si>
  <si>
    <t>Rent, metered power and cross-connect invoices dated the 1st, due month-end (5.08); DSO about 28 days</t>
  </si>
  <si>
    <t>Not explained in the QoE. Most likely other-income receivables (VPPA settlements, development and management fees) that sit in Adjusted EBITDA, so operating; Phase II Q&amp;A</t>
  </si>
  <si>
    <t>Power is rebilled at the utility rate (2.08 §3); the receivable is matched by the utility payable and moves with summer load. Kept in NWC; billing-timing swing normalised (tab 4)</t>
  </si>
  <si>
    <t>Operating prepayments, incl. the property/casualty program renewed each 1 April ($4.53M premium, 7.07)</t>
  </si>
  <si>
    <t>Not explained in the QoE; treated as operating pending Q&amp;A</t>
  </si>
  <si>
    <t>Long-lived data center assets and CIP (PHX II, ATL II); capex is outside NWC</t>
  </si>
  <si>
    <t>Non-cash straight-lining of 2.5-3.0% escalators; never invoiced, so never collected in the NWC cycle (QoE §8.1 also excludes)</t>
  </si>
  <si>
    <t>Capitalized leasing commissions amortized over lease terms; investing, not working capital</t>
  </si>
  <si>
    <t>Lessee accounting for the RNO I ground lease; mirrors the lease liability</t>
  </si>
  <si>
    <t>Holds the VPPA derivative asset and interest rate swaps at fair value; not settled at closing</t>
  </si>
  <si>
    <t>Level 3 fair value of a contract for differences that runs to 2035; realized settlements flow through other income monthly</t>
  </si>
  <si>
    <t>Balance sheet total (audited caption: 'incl. construction'); split below</t>
  </si>
  <si>
    <t>Site opex, utility (power) bills, G&amp;A accruals; about 2.4-2.6 months of operating cost</t>
  </si>
  <si>
    <t>Held back from PHX II / ATL II contractors and paid on completion; pre-closing capex (QoE agrees)</t>
  </si>
  <si>
    <t>Desert Peak claim $4.6M, $1.2M accrued; mediated 22 Apr 2026, resolution H2 2026 (QoE agrees). Assumed booked in AP &amp; accrued</t>
  </si>
  <si>
    <t>Two commercial roles cut in H1 FY25; balance unpaid at year end (QoE agrees)</t>
  </si>
  <si>
    <t>All 385 staff bonus-eligible; FY25 pool $9.4M paid March 2026. Earned before closing, paid after; a December closing lands at the annual peak</t>
  </si>
  <si>
    <t>Sale-process advisers (2.05 'Non-recurring'); seller's cost</t>
  </si>
  <si>
    <t>Settled with the payoff of the term loan and construction facilities; interest periods of 1, 3 or 6 months (9.07); balance not disclosed</t>
  </si>
  <si>
    <t/>
  </si>
  <si>
    <t>Recurring levy on six campuses and two projects, accrued monthly and paid largely in arrears (about 9 months of levy accrued at each date, 7.05). QoE §8.1 lists it as included but its table omits it</t>
  </si>
  <si>
    <t>Balance sheet total; split current / non-current below</t>
  </si>
  <si>
    <t>Rent billed in advance and the current part of cross-connect install fees (2.08 §4)</t>
  </si>
  <si>
    <t>Install fees and prepaid rent amortizing beyond 12 months: cash already collected by the seller for service the buyer must deliver. The QoE calls $13.8M 'deferred revenue' and ignores the rest</t>
  </si>
  <si>
    <t>Refundable to tenants; the cash behind them is in balance sheet cash, which goes to the seller. QoE §8.1 lists it in NWC but its table omits it</t>
  </si>
  <si>
    <t>Repaid at closing at principal ($1,150.0M at 12/31/25); carrying amount is net of $6.1M unamortized costs</t>
  </si>
  <si>
    <t>PHX II and ATL II facilities; existing borrowed money repaid at closing (11.08 §1; 11.10 §3)</t>
  </si>
  <si>
    <t/>
  </si>
  <si>
    <t>Holds the Caliza Solar VPPA liability and swaps at fair value; non-cash marks on contracts that run past closing</t>
  </si>
  <si>
    <t>Fair-value mark on a 120 MW solar contract with 2027 COD; no cash settles at closing</t>
  </si>
  <si>
    <t>Equity</t>
  </si>
  <si>
    <t>$6.5M for 22 employees, 50% at closing and 50% six months later; triggered by the sale (QoE calls it a seller transaction cost but leaves it off its schedule)</t>
  </si>
  <si>
    <t>Source</t>
  </si>
  <si>
    <t>2.04 tabs '2023/2024/2025 BS'!B7; 2.09 'Q1 FY26 BS'!B7</t>
  </si>
  <si>
    <t>2.04 BS tabs!B8; 2.09 'Q1 FY26 BS'!B8</t>
  </si>
  <si>
    <t>11.04 p.15 §8 table</t>
  </si>
  <si>
    <t>Computed: BS less QoE</t>
  </si>
  <si>
    <t>5.08: 'Metered power' invoices dated on or before month-end, unpaid at month-end</t>
  </si>
  <si>
    <t>2.04 BS tabs!B9; 2.09 'Q1 FY26 BS'!B9</t>
  </si>
  <si>
    <t>2.04 BS tabs!B13; 2.09!B13</t>
  </si>
  <si>
    <t>2.04 BS tabs!B14; 2.09!B14</t>
  </si>
  <si>
    <t>2.04 BS tabs!B15; 2.09!B15</t>
  </si>
  <si>
    <t>2.04 BS tabs!B16; 2.09!B16</t>
  </si>
  <si>
    <t>2.04 BS tabs!B17; 2.09!B17</t>
  </si>
  <si>
    <t>2.03 Note 12</t>
  </si>
  <si>
    <t>Computed; agrees to 2.04 / 2.09 total assets</t>
  </si>
  <si>
    <t>2.04 BS tabs!B21; 2.09!B21</t>
  </si>
  <si>
    <t>11.04 p.15 §8. 12/31/23: assumption, 12/31/24 operating share applied (no QoE split)</t>
  </si>
  <si>
    <t>Computed</t>
  </si>
  <si>
    <t>2.03 cash flow note and Note 7; 11.04 p.16</t>
  </si>
  <si>
    <t>2.03 Note 7; 9.03 §1; 11.04 p.16</t>
  </si>
  <si>
    <t>11.04 p.16 §9</t>
  </si>
  <si>
    <t>8.03 §1</t>
  </si>
  <si>
    <t>Assumption: December 2025 cost ($1.2M) unpaid at year end, one-month payment lag</t>
  </si>
  <si>
    <t>Unquantified: shown as zero, not economically zero</t>
  </si>
  <si>
    <t>Computed residual: excluded balance less identified items</t>
  </si>
  <si>
    <t>2.04 BS tabs!B22; 2.09!B22</t>
  </si>
  <si>
    <t>2.04 BS tabs!B23; 2.09!B23</t>
  </si>
  <si>
    <t>11.04 p.15. 12/31/23: assumption, 12/31/24 current share applied</t>
  </si>
  <si>
    <t>2.04 BS tabs!B24; 2.09!B24</t>
  </si>
  <si>
    <t>2.04 BS tabs!B25; 2.09!B25</t>
  </si>
  <si>
    <t>2.04 BS tabs!B26; 2.09!B26</t>
  </si>
  <si>
    <t>2.04 BS tabs!B27; 2.09!B27</t>
  </si>
  <si>
    <t>2.04 BS tabs!B28; 2.09!B28</t>
  </si>
  <si>
    <t>2.04 BS tabs!B30; 2.09!B30</t>
  </si>
  <si>
    <t/>
  </si>
  <si>
    <t>12/31/23 uses the two estimated splits above</t>
  </si>
  <si>
    <t>11.04 p.15 §8</t>
  </si>
  <si>
    <t/>
  </si>
  <si>
    <t>11.04 p.15 §8; p.4 §2</t>
  </si>
  <si>
    <t>QoE says monthly balances were not compiled (p.15), so its 'TTM' peg rests on three dates and does not reproduce</t>
  </si>
  <si>
    <t>Inference: QoE operating AP rose only $0.8M in Q1 FY26 although the $9.4M bonus was paid in March, so the bonus is not in it</t>
  </si>
  <si>
    <t>Monthly NWC: month-end NWC on our definition, December 2024 to March 2026</t>
  </si>
  <si>
    <t>$M. Balance sheets exist only at 12/31/24, 12/31/25 and 3/31/26 (2.05 'Balance Sheet' tab: prepared at quarter and year end; FY25 quarter-ends not provided). Those three columns are actual; the 13 months between are ESTIMATES from monthly drivers.</t>
  </si>
  <si>
    <t>Method per line: driver x ratio. The ratio is measured at each actual date and interpolated linearly between them (month index row 8); the anchor check (section D) shows the estimate returns the actual balances.</t>
  </si>
  <si>
    <t>Month-end</t>
  </si>
  <si>
    <t>Basis</t>
  </si>
  <si>
    <t/>
  </si>
  <si>
    <t>A. MONTHLY DRIVERS</t>
  </si>
  <si>
    <t>Days in month</t>
  </si>
  <si>
    <t>Total revenue</t>
  </si>
  <si>
    <t>Metered power reimbursement revenue</t>
  </si>
  <si>
    <t>Metered power billed to tenants</t>
  </si>
  <si>
    <t>Property operating expenses incl. power (cost, positive)</t>
  </si>
  <si>
    <t>Property taxes &amp; insurance (cost, positive)</t>
  </si>
  <si>
    <t>General &amp; administrative (cost, positive)</t>
  </si>
  <si>
    <t>Non-recurring / transaction costs (memo)</t>
  </si>
  <si>
    <t>Property tax levy, monthly (expense)</t>
  </si>
  <si>
    <t>Register: open receivables at month-end</t>
  </si>
  <si>
    <t>Cost base for payables (property opex + G&amp;A)</t>
  </si>
  <si>
    <t>Cost base for prepaids (property opex + taxes &amp; insurance + G&amp;A)</t>
  </si>
  <si>
    <t>Quarterly and annual inputs</t>
  </si>
  <si>
    <t>Q1 FY26 total revenue</t>
  </si>
  <si>
    <t>Q1 FY26 property operating expenses</t>
  </si>
  <si>
    <t>Q1 FY26 property taxes &amp; insurance</t>
  </si>
  <si>
    <t>Q1 FY26 general &amp; administrative</t>
  </si>
  <si>
    <t>Q1 FY26 non-recurring / transaction costs</t>
  </si>
  <si>
    <t>FY25 property tax levy</t>
  </si>
  <si>
    <t>FY26 budget property tax levy</t>
  </si>
  <si>
    <t>FY24 property tax levy</t>
  </si>
  <si>
    <t>FY25 bonus pool paid March 2026</t>
  </si>
  <si>
    <t>FY26 bonus pool, estimate</t>
  </si>
  <si>
    <t>FY25 corporate incentive compensation accrual</t>
  </si>
  <si>
    <t>FY26 budget corporate incentive compensation accrual</t>
  </si>
  <si>
    <t>Bonus accrual at 12/31/24 (FY24 pool), estimate</t>
  </si>
  <si>
    <t>FY24 Adjusted EBITDA</t>
  </si>
  <si>
    <t>FY25 Adjusted EBITDA</t>
  </si>
  <si>
    <t>Balance sheet anchors (Definition tab)</t>
  </si>
  <si>
    <t>NWC, our definition</t>
  </si>
  <si>
    <t>B. RATIOS AT ACTUAL DATES AND MONTHLY FILL</t>
  </si>
  <si>
    <t>Receivables not in the register (anchor = balance less register)</t>
  </si>
  <si>
    <t xml:space="preserve">  filled (linear between actual dates)</t>
  </si>
  <si>
    <t>Prepaids, months of cost (anchor)</t>
  </si>
  <si>
    <t>Operating payables, months of cost (anchor)</t>
  </si>
  <si>
    <t>Deferred revenue (current), months of revenue (anchor)</t>
  </si>
  <si>
    <t>Property tax cash paid per month (solved between actual dates)</t>
  </si>
  <si>
    <t>C. NWC ESTIMATE BY LINE</t>
  </si>
  <si>
    <t>Power billing timing: unbilled / (over-billed) power</t>
  </si>
  <si>
    <t>NWC, reported basis ($M)</t>
  </si>
  <si>
    <t>D. ANCHOR CHECK</t>
  </si>
  <si>
    <t>NWC actual (Definition tab)</t>
  </si>
  <si>
    <t>NWC estimate</t>
  </si>
  <si>
    <t>Difference</t>
  </si>
  <si>
    <t>E. WORKING CAPITAL DAYS</t>
  </si>
  <si>
    <t>DSO (days of revenue)</t>
  </si>
  <si>
    <t>DPO (days of property opex + G&amp;A)</t>
  </si>
  <si>
    <t>Deferred revenue days (current)</t>
  </si>
  <si>
    <t>Accrued property taxes, months of levy</t>
  </si>
  <si>
    <t/>
  </si>
  <si>
    <t>Bonus accrual, building monthly, paid each March</t>
  </si>
  <si>
    <t>Actual</t>
  </si>
  <si>
    <t>Estimate</t>
  </si>
  <si>
    <t>Source / method</t>
  </si>
  <si>
    <t>2.05 'P&amp;L (Monthly)'!B10:M10; Dec-24 = Jan-25 (assumption: no FY24 monthly P&amp;L in data room); Q1 FY26 = 2.09 quarter / 3</t>
  </si>
  <si>
    <t>2.05 'P&amp;L (Monthly)'!B7:M7; 2026 months = power billed (assumption: Q1 FY26 revenue of $23.6M equals Q1 billings of $23.6M)</t>
  </si>
  <si>
    <t>3.07 'Monthly by Campus'!H4:H15 ($ / 1,000,000); 2026 = 5.08 'Metered power' invoices by invoice month</t>
  </si>
  <si>
    <t>2.05 'P&amp;L (Monthly)'!B11:M11 (sign reversed); Q1 FY26 = 2.09 / 3</t>
  </si>
  <si>
    <t>2.05 'P&amp;L (Monthly)'!B12:M12 (sign reversed); Q1 FY26 = 2.09 / 3</t>
  </si>
  <si>
    <t>2.05 'P&amp;L (Monthly)'!B15:M15 (sign reversed); Q1 FY26 = 2.09 / 3</t>
  </si>
  <si>
    <t>2.05 'Non-recurring'!B9:M9 ($000 / 1,000); Q1 FY26 = 2.09 'Revenue &amp; Cost Detail'!B84 / 3</t>
  </si>
  <si>
    <t>7.05 annual levy (tie-out row 49) / 12: FY24 for Dec-24, FY25, FY26 budget</t>
  </si>
  <si>
    <t>5.08: invoices with invoice date on or before month-end and date paid after month-end or blank (all charge types). Register starts Jan-25, so Dec-24 = Jan-25 (assumption)</t>
  </si>
  <si>
    <t>2.09 'Q1 FY26 IS'!B10</t>
  </si>
  <si>
    <t>2.09 'Q1 FY26 IS'!B11</t>
  </si>
  <si>
    <t>2.09 'Q1 FY26 IS'!B12</t>
  </si>
  <si>
    <t>2.09 'Q1 FY26 IS'!B17</t>
  </si>
  <si>
    <t>2.09 'Revenue &amp; Cost Detail'!B84</t>
  </si>
  <si>
    <t>7.05 row 49 (FY25)</t>
  </si>
  <si>
    <t>7.05 row 49 (FY26 budget)</t>
  </si>
  <si>
    <t>7.05 row 49 (FY24)</t>
  </si>
  <si>
    <t>Assumption: FY25 pool grown with budget corporate incentive accrual</t>
  </si>
  <si>
    <t>2.06 '7. G&amp;A Build'!B8</t>
  </si>
  <si>
    <t>2.06 '7. G&amp;A Build'!C8</t>
  </si>
  <si>
    <t>Assumption: FY24 pool not in data room; FY25 pool scaled by Adjusted EBITDA</t>
  </si>
  <si>
    <t>2.04 '2024 IS'!B24</t>
  </si>
  <si>
    <t>2.04 '2025 IS'!B24</t>
  </si>
  <si>
    <t>Definition tab, actual balances</t>
  </si>
  <si>
    <t>Anchor: balance sheet AR less register open AR</t>
  </si>
  <si>
    <t>Interpolated on the month index</t>
  </si>
  <si>
    <t>Anchor: balance / monthly cost base</t>
  </si>
  <si>
    <t>Anchor: balance / monthly revenue</t>
  </si>
  <si>
    <t>Opening accrual + levy - closing accrual, spread evenly (assumption: 7.05 gives annual amounts, not payment dates)</t>
  </si>
  <si>
    <t>Register open AR + non-register receivables (filled)</t>
  </si>
  <si>
    <t>Year-to-date power revenue less power billed (2.05 vs 3.07). Billing is levelized and nets to nil by December (FY25 both $84.2M); zero at year end assumed</t>
  </si>
  <si>
    <t>Months of cost (filled) x cost base</t>
  </si>
  <si>
    <t>Roll-forward: prior balance + levy - cash paid</t>
  </si>
  <si>
    <t>Months of revenue (filled) x revenue</t>
  </si>
  <si>
    <t>Before normalisation (tab 4)</t>
  </si>
  <si>
    <t>Zero at all three actual dates</t>
  </si>
  <si>
    <t>Balance / monthly flow x 365/12 (average month, so February does not distort)</t>
  </si>
  <si>
    <t>Accrues evenly; prior-year pool paid in March (8.03). Dec-25 returns the $9.4M paid in March 2026</t>
  </si>
  <si>
    <t>Normalisation: adjustments to the monthly NWC series</t>
  </si>
  <si>
    <t>$M, NWC sign (asset +, liability -). Each item shows its estimated balance in working capital by month, a switch for whether it sits inside our NWC series (1 = yes, remove it; 0 = already outside), and the adjustment = - balance x switch.</t>
  </si>
  <si>
    <t/>
  </si>
  <si>
    <t>NWC, reported basis (Monthly tab)</t>
  </si>
  <si>
    <t>A. ONE-OFF ITEMS</t>
  </si>
  <si>
    <t>Accrued transaction costs (sale-process advisers)</t>
  </si>
  <si>
    <t xml:space="preserve">  balance in working capital</t>
  </si>
  <si>
    <t xml:space="preserve">  adjustment to NWC series</t>
  </si>
  <si>
    <t>DFW I hail repair / insurance recovery receivable</t>
  </si>
  <si>
    <t>PHX I property tax refund receivable</t>
  </si>
  <si>
    <t>Unpaid severance (two commercial roles)</t>
  </si>
  <si>
    <t>B. SEASONALITY</t>
  </si>
  <si>
    <t>Power billing timing (levelized billing vs. seasonal consumption)</t>
  </si>
  <si>
    <t>Bonus accrual (FY pool, paid each March)</t>
  </si>
  <si>
    <t>Accrued property taxes (payment timing)</t>
  </si>
  <si>
    <t>C. RESULT</t>
  </si>
  <si>
    <t>Total adjustments</t>
  </si>
  <si>
    <t>NWC, normalised ($M)</t>
  </si>
  <si>
    <t/>
  </si>
  <si>
    <t>Litigation accrual</t>
  </si>
  <si>
    <t>Bonus accrual</t>
  </si>
  <si>
    <t/>
  </si>
  <si>
    <t>In NWC?</t>
  </si>
  <si>
    <t/>
  </si>
  <si>
    <t>In NWC series? (1/0)</t>
  </si>
  <si>
    <t>QoE treatment</t>
  </si>
  <si>
    <t/>
  </si>
  <si>
    <t/>
  </si>
  <si>
    <t>EBITDA: -$0.6M one-time refund; no NWC treatment</t>
  </si>
  <si>
    <t/>
  </si>
  <si>
    <t/>
  </si>
  <si>
    <t>Not adjusted ('seasonality is modest', p.15)</t>
  </si>
  <si>
    <t/>
  </si>
  <si>
    <t>Listed as included in §8.1 but omitted from the QoE table</t>
  </si>
  <si>
    <t>Evidence / source</t>
  </si>
  <si>
    <t>Monthly tab row 68</t>
  </si>
  <si>
    <t/>
  </si>
  <si>
    <t>11.04 p.6-7: repair $1.1M June 2025; $1.0M recovered in cash in Q4 FY25; $0.1M in Q1 FY26 (Q&amp;A Q-111). No receivable identified at any actual date: zero shown, not confirmed</t>
  </si>
  <si>
    <t>11.04 p.7 (2023 assessment appeal); Q&amp;A Q-085. Date received not in data room: zero shown; if unpaid at 12/31/25 it sits in the $2.6M of receivables the QoE leaves out</t>
  </si>
  <si>
    <t/>
  </si>
  <si>
    <t>11.04 p.16 §9 (12/31/25). Jan-Mar 26 assumed unpaid; earlier months not disclosed (zero shown)</t>
  </si>
  <si>
    <t/>
  </si>
  <si>
    <t>Monthly tab row 63: 2.05 power revenue vs 3.07 billings; swings from $(4.1)M (Apr) to $3.4M (Sep) and nets to nil each December</t>
  </si>
  <si>
    <t/>
  </si>
  <si>
    <t>Kept in NWC. 7.05 gives annual levies, not payment dates, so payments are spread evenly and no intra-year swing is modelled; payment calendar is a Q&amp;A item</t>
  </si>
  <si>
    <t>Peg: candidate pegs, price effect at an illustrative closing, and month-specific pegs</t>
  </si>
  <si>
    <t/>
  </si>
  <si>
    <t>1. CANDIDATE PEGS</t>
  </si>
  <si>
    <t>Candidate</t>
  </si>
  <si>
    <t>QoE proposed peg</t>
  </si>
  <si>
    <t>TTM average of normalised month-ends (Apr-25 to Mar-26)</t>
  </si>
  <si>
    <t>Average of four quarter-ends (Jun-25, Sep-25, Dec-25, Mar-26)</t>
  </si>
  <si>
    <t>3/31/26 balance (normalised)</t>
  </si>
  <si>
    <t>Growth-adjusted: NWC days x run-rate revenue at closing</t>
  </si>
  <si>
    <t/>
  </si>
  <si>
    <t>Support</t>
  </si>
  <si>
    <t>NWC days of revenue (TTM average / TTM revenue x 365)</t>
  </si>
  <si>
    <t>TTM revenue, Apr-25 to Mar-26</t>
  </si>
  <si>
    <t>Run-rate revenue at illustrative closing</t>
  </si>
  <si>
    <t/>
  </si>
  <si>
    <t/>
  </si>
  <si>
    <t/>
  </si>
  <si>
    <t/>
  </si>
  <si>
    <t>2. MONTH-SPECIFIC PEGS</t>
  </si>
  <si>
    <t>Average</t>
  </si>
  <si>
    <t>Highest month</t>
  </si>
  <si>
    <t>Lowest month</t>
  </si>
  <si>
    <t>Spread, highest less lowest ($M)</t>
  </si>
  <si>
    <t>December peg (for a 31 December closing)</t>
  </si>
  <si>
    <t>Peg</t>
  </si>
  <si>
    <t>Normalised NWC</t>
  </si>
  <si>
    <t>Illustrative closing NWC (same basis)</t>
  </si>
  <si>
    <t>vs TTM average</t>
  </si>
  <si>
    <t/>
  </si>
  <si>
    <t/>
  </si>
  <si>
    <t/>
  </si>
  <si>
    <t/>
  </si>
  <si>
    <t/>
  </si>
  <si>
    <t>Latest actual balance sheet (2.09)</t>
  </si>
  <si>
    <t>TTM NWC days of revenue applied to the illustrative closing run-rate (seller's likely ask)</t>
  </si>
  <si>
    <t>Selected</t>
  </si>
  <si>
    <t>Monthly tab row 12 (2.05 monthly; Q1 FY26 at 2.09 quarter / 3)</t>
  </si>
  <si>
    <t>Closing tab</t>
  </si>
  <si>
    <t>Mostly receivable timing from the register (April vs May 2025) and summer utility payables</t>
  </si>
  <si>
    <t/>
  </si>
  <si>
    <t/>
  </si>
  <si>
    <t/>
  </si>
  <si>
    <t>1. ASSUMPTIONS AND BUDGET INPUTS</t>
  </si>
  <si>
    <t>Illustrative closing date</t>
  </si>
  <si>
    <t>Days from closing to final closing statement</t>
  </si>
  <si>
    <t>Final closing statement date</t>
  </si>
  <si>
    <t>FY26 budget total revenue</t>
  </si>
  <si>
    <t>Run-rate revenue at closing (annualized)</t>
  </si>
  <si>
    <t>FY27 plan total revenue</t>
  </si>
  <si>
    <t>Run-rate factor (run-rate / FY26 budget)</t>
  </si>
  <si>
    <t>FY26 budget property operating expenses</t>
  </si>
  <si>
    <t>FY26 budget property taxes &amp; insurance</t>
  </si>
  <si>
    <t>FY26 budget general &amp; administrative</t>
  </si>
  <si>
    <t>2. CLOSING NWC ESTIMATE: 12/31/25 AND 3/31/26 BALANCES ROLLED FORWARD ON THE FY26 BUDGET</t>
  </si>
  <si>
    <t>Monthly flows at closing</t>
  </si>
  <si>
    <t>Revenue per month</t>
  </si>
  <si>
    <t>Cost base for payables per month (property opex + G&amp;A)</t>
  </si>
  <si>
    <t>Cost base for prepaids per month (adds taxes &amp; insurance)</t>
  </si>
  <si>
    <t>Property tax levy per month</t>
  </si>
  <si>
    <t>Ratios: average of the 12/31/25 and 3/31/26 actuals (Monthly tab)</t>
  </si>
  <si>
    <t>Receivables, months of revenue</t>
  </si>
  <si>
    <t>Prepaids, months of cost</t>
  </si>
  <si>
    <t>Operating payables, months of cost</t>
  </si>
  <si>
    <t>Deferred revenue (current), months of revenue</t>
  </si>
  <si>
    <t>Accounts receivable</t>
  </si>
  <si>
    <t>Power billing timing (nil at 31 December)</t>
  </si>
  <si>
    <t>Illustrative closing NWC ($M)</t>
  </si>
  <si>
    <t>3. CLOSING STATEMENTS AND TRUE-UP (ILLUSTRATIVE)</t>
  </si>
  <si>
    <t>Seller's estimate above our estimate (assumption)</t>
  </si>
  <si>
    <t>Seller's estimated closing NWC (paid at closing)</t>
  </si>
  <si>
    <t>Collar / de minimis band (+/-)</t>
  </si>
  <si>
    <t>Estimated adjustment paid at closing</t>
  </si>
  <si>
    <t>Final closing NWC (final statement, 90 days after closing)</t>
  </si>
  <si>
    <t>Final adjustment</t>
  </si>
  <si>
    <t>True-up: final less estimated (+ buyer pays, - seller refunds)</t>
  </si>
  <si>
    <t>Adjustment escrow funded at closing</t>
  </si>
  <si>
    <t>Paid to buyer from escrow</t>
  </si>
  <si>
    <t>Released to seller</t>
  </si>
  <si>
    <t>Shortfall above escrow (direct claim on seller)</t>
  </si>
  <si>
    <t/>
  </si>
  <si>
    <t/>
  </si>
  <si>
    <t/>
  </si>
  <si>
    <t/>
  </si>
  <si>
    <t/>
  </si>
  <si>
    <t/>
  </si>
  <si>
    <t/>
  </si>
  <si>
    <t/>
  </si>
  <si>
    <t/>
  </si>
  <si>
    <t/>
  </si>
  <si>
    <t/>
  </si>
  <si>
    <t/>
  </si>
  <si>
    <t>Our definition</t>
  </si>
  <si>
    <t/>
  </si>
  <si>
    <t>Source / note</t>
  </si>
  <si>
    <t>Assumption per request</t>
  </si>
  <si>
    <t>Assumption: 90 days</t>
  </si>
  <si>
    <t>2.06 '2. P&amp;L (FY26-FY30)'!C10</t>
  </si>
  <si>
    <t>Assumption: mid-point of FY26E and FY27E as the exit rate at 12/31/26</t>
  </si>
  <si>
    <t>2.06 '2. P&amp;L (FY26-FY30)'!D10</t>
  </si>
  <si>
    <t>2.06 '2. P&amp;L'!C11 (sign reversed)</t>
  </si>
  <si>
    <t>2.06 '2. P&amp;L'!C12 (sign reversed)</t>
  </si>
  <si>
    <t>2.06 '2. P&amp;L'!C15 (sign reversed)</t>
  </si>
  <si>
    <t>7.05 via Monthly tab</t>
  </si>
  <si>
    <t>Budget x run-rate factor / 12</t>
  </si>
  <si>
    <t>FY26 budget levy / 12</t>
  </si>
  <si>
    <t>Monthly tab, actual dates</t>
  </si>
  <si>
    <t>QoE §8 basis</t>
  </si>
  <si>
    <t>QoE basis</t>
  </si>
  <si>
    <t/>
  </si>
  <si>
    <t>Note</t>
  </si>
  <si>
    <t>QoE basis keeps trade receivables only (QoE share at 12/31/25 and 3/31/26)</t>
  </si>
  <si>
    <t>Levelized billing nets to nil by year end (Monthly tab)</t>
  </si>
  <si>
    <t>QoE share of prepaids</t>
  </si>
  <si>
    <t>Omitted from the QoE table</t>
  </si>
  <si>
    <t>Peg tab</t>
  </si>
  <si>
    <t>Assumption: seller's estimated closing statement $2.0M richer</t>
  </si>
  <si>
    <t>Assumption: no adjustment inside +/- $2.0M; outside it, dollar for dollar from the first dollar</t>
  </si>
  <si>
    <t>Our estimate taken as the final</t>
  </si>
  <si>
    <t/>
  </si>
  <si>
    <t/>
  </si>
  <si>
    <t/>
  </si>
  <si>
    <t/>
  </si>
  <si>
    <t/>
  </si>
  <si>
    <t/>
  </si>
  <si>
    <t/>
  </si>
  <si>
    <t/>
  </si>
  <si>
    <t>The seller's $(11.8)M cannot be used as it stands: it omits two lines its own definition includes. Expect the seller to counter with the TTM average or the growth-adjusted figure; the month-specific table below sizes a seasonal schedule as a fallback.</t>
  </si>
  <si>
    <t>Our definition; 10 of 12 points are estimates (Monthly tab). Fallback if the seller insists on TTM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</si>
  <si>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</si>
  <si>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</si>
  <si>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</si>
  <si>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</si>
  <si>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</si>
  <si>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</si>
  <si>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</si>
  <si>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</si>
  <si>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</si>
  <si>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</si>
  <si>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</si>
  <si>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</si>
  <si>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</si>
  <si>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</si>
  <si>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</si>
  <si>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</si>
  <si>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</si>
  <si>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</si>
  <si>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</si>
  <si>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</si>
  <si>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</si>
  <si>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</si>
  <si>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</si>
  <si>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</si>
  <si>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</si>
  <si>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</si>
  <si>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</si>
  <si>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</si>
  <si>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</si>
  <si>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</si>
  <si>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</si>
  <si>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</si>
  <si>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</si>
  <si>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</si>
  <si>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</si>
  <si>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</si>
  <si>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</si>
  <si>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</si>
  <si>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</si>
  <si>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</si>
  <si>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</si>
  <si>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</si>
  <si>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</si>
  <si>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</si>
  <si>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</si>
  <si>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</si>
  <si>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</si>
  <si>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</si>
  <si>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</si>
  <si>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</si>
  <si>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</si>
  <si>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</si>
  <si>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</si>
  <si>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</si>
  <si>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</si>
  <si>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</si>
  <si>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</si>
  <si>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</si>
  <si>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</si>
  <si>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</si>
  <si>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8.03 §4; 11.04 p.13</t>
  </si>
  <si>
    <t/>
  </si>
  <si>
    <t/>
  </si>
  <si>
    <t/>
  </si>
  <si>
    <t/>
  </si>
  <si>
    <t/>
  </si>
  <si>
    <t/>
  </si>
  <si>
    <t/>
  </si>
  <si>
    <t>1. THE PEG FOR THE INDICATION</t>
  </si>
  <si>
    <t/>
  </si>
  <si>
    <t>QoE proposed peg ('trailing twelve-month average', 11.04 §8)</t>
  </si>
  <si>
    <t>Difference: ours less QoE</t>
  </si>
  <si>
    <t>What drives the difference</t>
  </si>
  <si>
    <t>(a) QoE peg against the average of its own three balances</t>
  </si>
  <si>
    <t>(b) Accrued property taxes: in QoE §8.1 definition, missing from its table</t>
  </si>
  <si>
    <t>(c) Receivables the QoE leaves out (other-income receivables, unexplained)</t>
  </si>
  <si>
    <t>(d) Prepaid and other current assets the QoE leaves out</t>
  </si>
  <si>
    <t/>
  </si>
  <si>
    <t>Check: QoE peg plus (a) to (e) less our peg</t>
  </si>
  <si>
    <t/>
  </si>
  <si>
    <t/>
  </si>
  <si>
    <t/>
  </si>
  <si>
    <t>NWC: our peg and definition vs the QoE's, at an illustrative 12/31/26 closing</t>
  </si>
  <si>
    <t/>
  </si>
  <si>
    <t/>
  </si>
  <si>
    <t/>
  </si>
  <si>
    <t>Memo: QoE table against its own §8.1 definition at 12/31/25 (lines it omits)</t>
  </si>
  <si>
    <t/>
  </si>
  <si>
    <t/>
  </si>
  <si>
    <t>1. Break down AP and accrued liabilities ($96.3M at 12/31/25, $101.5M at 3/31/26): operating, construction payables, retentions, bonus, interest, transaction costs, litigation.</t>
  </si>
  <si>
    <t>2. What are the $2.6M of receivables and $4.0M of other current assets at 12/31/25 that the QoE leaves out of NWC?</t>
  </si>
  <si>
    <t>3. Provide month-end balance sheets for FY25 and Q1 FY26 (the QoE says management is compiling them) and the June and September 2025 quarter-ends.</t>
  </si>
  <si>
    <t>4. Confirm the QoE's operating AP excludes the bonus accrual and transaction-cost accruals, and why property taxes and deposits are missing from its table.</t>
  </si>
  <si>
    <t/>
  </si>
  <si>
    <t/>
  </si>
  <si>
    <t/>
  </si>
  <si>
    <t/>
  </si>
  <si>
    <t/>
  </si>
  <si>
    <t/>
  </si>
  <si>
    <t/>
  </si>
  <si>
    <t/>
  </si>
  <si>
    <t/>
  </si>
  <si>
    <t>Assumption: $5.0M, about twice the illustrative true-up and over a third of the month-to-month spread (Peg tab)</t>
  </si>
  <si>
    <t>QoE method, our definition: average of 12/31/24, 12/31/25 and 3/31/26 actuals, normalised</t>
  </si>
  <si>
    <t>Our indication peg (selected: QoE method, our definition) ($M)</t>
  </si>
  <si>
    <t>Cross-check: selected peg less TTM average of normalised month-ends</t>
  </si>
  <si>
    <t>Cross-check: Dec-25 actual less TTM average</t>
  </si>
  <si>
    <t>Cross-check: Mar-26 actual less TTM average</t>
  </si>
  <si>
    <t>Why the QoE method on our definition:</t>
  </si>
  <si>
    <t>It uses the seller's own dates and averaging method (11.04 §8) and only audited (12/31/24, 12/31/25) or reported (3/31/26) balance sheets, so it changes one thing: the definition. The dispute narrows to which lines belong in NWC, which the QoE's own §8.1 list supports.</t>
  </si>
  <si>
    <t>Peg on our definition</t>
  </si>
  <si>
    <t>Price adjustment on our definition (closing - peg)</t>
  </si>
  <si>
    <t/>
  </si>
  <si>
    <t>QoE §8 line items (no property taxes, no deposits, trade receivables and QoE prepaids only); three dates, not twelve months. Columns G-I restate its method on our definition</t>
  </si>
  <si>
    <t>Seller's dates and averaging method (11.04 §8); audited (12/31/24, 12/31/25) and reported (3/31/26) balances only; our line items. Normalisation adjustments are nil at these dates</t>
  </si>
  <si>
    <t>Our definition; Jun-25 and Sep-25 are estimates. Superseded as the selection (two of four points estimated)</t>
  </si>
  <si>
    <t/>
  </si>
  <si>
    <t>Month-specific table below</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</si>
  <si>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</si>
  <si>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</si>
  <si>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</si>
  <si>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</si>
  <si>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</si>
  <si>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</si>
  <si>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</si>
  <si>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</si>
  <si>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</si>
  <si>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</si>
  <si>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</si>
  <si>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</si>
  <si>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</si>
  <si>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</si>
  <si>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</si>
  <si>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</si>
  <si>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</si>
  <si>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</si>
  <si>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</si>
  <si>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</si>
  <si>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</si>
  <si>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</si>
  <si>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</si>
  <si>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</si>
  <si>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</si>
  <si>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</si>
  <si>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</si>
  <si>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</si>
  <si>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</si>
  <si>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</si>
  <si>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</si>
  <si>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</si>
  <si>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</si>
  <si>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</si>
  <si>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</si>
  <si>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</si>
  <si>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</si>
  <si>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</si>
  <si>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</si>
  <si>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</si>
  <si>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</si>
  <si>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</si>
  <si>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</si>
  <si>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</si>
  <si>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</si>
  <si>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</si>
  <si>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</si>
  <si>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</si>
  <si>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</si>
  <si>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</si>
  <si>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Our peg: QoE method on our definition (average of the 12/31/24, 12/31/25 and 3/31/26 actuals, normalised)</t>
  </si>
  <si>
    <t>(e) Normalisation at the QoE's three dates (nil at year- and quarter-end actuals)</t>
  </si>
  <si>
    <t/>
  </si>
  <si>
    <t/>
  </si>
  <si>
    <t/>
  </si>
  <si>
    <t/>
  </si>
  <si>
    <t/>
  </si>
  <si>
    <t/>
  </si>
  <si>
    <t>Project Voltaic: normalised net working capital peg and closing true-up for the first-round indication</t>
  </si>
  <si>
    <t>$M. Responds to the process letter (11.08) §3(c) and Annex A item 3. Data room only; QoE = sell-side QoE report, draft (11.04). Support in tabs 2 to 6.</t>
  </si>
  <si>
    <t>2. PRICE EFFECT OF THE PEG AT CLOSING AGAINST THE QoE POSITION (equity price; negative = we pay less)</t>
  </si>
  <si>
    <t>3. TAKEAWAYS</t>
  </si>
  <si>
    <t>4. OPEN QUESTIONS FOR THE PHASE II Q&amp;A</t>
  </si>
  <si>
    <t>5. Timing of the PHX I property tax refund and the $0.1M insurance recovery.</t>
  </si>
  <si>
    <t>Closing: ILLUSTRATIVE closing NWC estimate, closing statements and true-up</t>
  </si>
  <si>
    <t>ILLUSTRATIVE ONLY. The equity purchase agreement is not yet drafted (it arrives with Phase II, process letter (11.08) §2), so the closing date, collar, escrow and seller estimate below are our assumptions (blue on yellow), not terms.</t>
  </si>
  <si>
    <t>$M. Closing NWC is estimated from the 12/31/25 and 3/31/26 actual balances rolled forward on the FY26 budget; the peg comes from the Peg tab.</t>
  </si>
  <si>
    <t>Items with switch 0 sit outside NWC: they are not in the NWC series, so no balance is counted both inside and outside NWC (check in section D).</t>
  </si>
  <si>
    <t>QoE: outside its NWC and off its §9 schedule</t>
  </si>
  <si>
    <t>2.05 'Non-recurring' (FY25 $4.8M: May, Jun, Sep, Nov, Dec) and 2.09 Q1 FY26 $1.7M. Balance = month's cost unpaid at month-end (assumption: one-month lag). Outside the QoE operating payables we use, so switch 0: outside NWC</t>
  </si>
  <si>
    <t>EBITDA: +$1.1M repair, -$1.0M recovery; no NWC treatment</t>
  </si>
  <si>
    <t>QoE: outside NWC, on its §9 schedule at $0.3M (agree)</t>
  </si>
  <si>
    <t>11.04 p.16 §9: $0.3M at 12/31/25. Outside QoE operating payables; outside NWC (switch 0)</t>
  </si>
  <si>
    <t>QoE: outside NWC, on its §9 schedule at $1.2M (agree)</t>
  </si>
  <si>
    <t>2.03 Note 7; 9.03: lien recorded 4 Nov 2025, $1.2M accrued at 12/31/25, claim $4.6M; outside NWC (switch 0)</t>
  </si>
  <si>
    <t>QoE: outside its NWC (inferred) and off its §9 schedule</t>
  </si>
  <si>
    <t>Monthly tab row 82; 8.03 §1. We treat the accrual as outside NWC, so its March step does not hit the peg</t>
  </si>
  <si>
    <t>D. DOUBLE-COUNT CHECK: EACH BALANCE INSIDE OR OUTSIDE NWC (12/31/25)</t>
  </si>
  <si>
    <t/>
  </si>
  <si>
    <t/>
  </si>
  <si>
    <t>Balances counted both inside and outside NWC (must be zero)</t>
  </si>
  <si>
    <t>Outside NWC</t>
  </si>
  <si>
    <t>$M. Balance sheets per 2.04 (FY23-FY25, audited) and 2.09 (Q1 FY26, unaudited); they agree to 2.05 tab 'Balance Sheet (FY24-Q1 FY26)'. QoE = sell-side QoE report, draft (11.04; scanned pages). Blue = sourced input; blue on yellow = assumption; black = formula.</t>
  </si>
  <si>
    <t>Cash-free deal: outside NWC. Includes the cash behind tenant deposits (no restricted-cash line on the balance sheet; assumed not segregated)</t>
  </si>
  <si>
    <t>PHX II / ATL II work done and unpaid at year end. QoE excludes it from NWC but leaves it off its §9 schedule</t>
  </si>
  <si>
    <t>RNO I ground lease. QoE carries it on its §9 schedule, outside NWC, while ground rent ($0.6M) stays in EBITDA; kept as proposed</t>
  </si>
  <si>
    <t>Our change: tenant deposits outside NWC</t>
  </si>
  <si>
    <t>outside QoE NWC, on its §9 schedule: construction retentions</t>
  </si>
  <si>
    <t>outside QoE NWC, on its §9 schedule: litigation accrual</t>
  </si>
  <si>
    <t>outside QoE NWC, on its §9 schedule: unpaid severance</t>
  </si>
  <si>
    <t>Reappears on the QoE §9 schedule</t>
  </si>
  <si>
    <t>Outside QoE NWC and off its §9 schedule</t>
  </si>
  <si>
    <t>F. MEMO: ITEM OUTSIDE NWC</t>
  </si>
  <si>
    <t>Month index</t>
  </si>
  <si>
    <t>Outside ($M)</t>
  </si>
  <si>
    <t>Price adjustment before collar</t>
  </si>
  <si>
    <t>Price adjustment after collar</t>
  </si>
  <si>
    <t>Cost to buyer vs our pick (after collar)</t>
  </si>
  <si>
    <t>Price effect vs QoE method, same definition (before collar, dollar for dollar)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</si>
</sst>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0.0);&quot;–&quot;_)"/>
    <numFmt numFmtId="165" formatCode="mm/dd/yy"/>
    <numFmt numFmtId="166" formatCode="0.0"/>
    <numFmt numFmtId="167" formatCode="0.0&quot; days&quot;"/>
    <numFmt numFmtId="168" formatCode="dd-mmm-yy"/>
    <numFmt numFmtId="169" formatCode="0.000"/>
    <numFmt numFmtId="170" formatCode="0.0&quot;x&quot;"/>
    <numFmt numFmtId="171" formatCode="0.0&quot; days&quot;;(0.0)&quot; days&quot;"/>
    <numFmt numFmtId="172" formatCode="0.0%"/>
  </numFmts>
  <fonts count="16">
    <font>
      <sz val="10"/>
      <color rgb="FF000000"/>
      <name val="Arial"/>
      <family val="2"/>
    </font>
    <font>
      <b/>
      <sz val="10"/>
      <color rgb="FF000000"/>
      <name val="Arial"/>
      <family val="2"/>
    </font>
    <font>
      <b/>
      <sz val="12"/>
      <color rgb="FF000000"/>
      <name val="Arial"/>
      <family val="2"/>
    </font>
    <font>
      <b/>
      <sz val="12"/>
      <color rgb="FF002060"/>
      <name val="Arial"/>
      <family val="2"/>
    </font>
    <font>
      <i/>
      <sz val="10"/>
      <color rgb="FF000000"/>
      <name val="Arial"/>
      <family val="2"/>
    </font>
    <font>
      <i/>
      <sz val="10"/>
      <color rgb="FF646464"/>
      <name val="Arial"/>
      <family val="2"/>
    </font>
    <font>
      <i/>
      <sz val="9"/>
      <color rgb="FF646464"/>
      <name val="Arial"/>
      <family val="2"/>
    </font>
    <font>
      <sz val="10"/>
      <color rgb="FFFFFFFF"/>
      <name val="Arial"/>
      <family val="2"/>
    </font>
    <font>
      <b/>
      <sz val="10"/>
      <color rgb="FFFFFFFF"/>
      <name val="Arial"/>
      <family val="2"/>
    </font>
    <font>
      <sz val="10"/>
      <color rgb="FF002060"/>
      <name val="Arial"/>
      <family val="2"/>
    </font>
    <font>
      <b/>
      <sz val="10"/>
      <color rgb="FF002060"/>
      <name val="Arial"/>
      <family val="2"/>
    </font>
    <font>
      <sz val="10"/>
      <color rgb="FF0000FF"/>
      <name val="Arial"/>
      <family val="2"/>
    </font>
    <font>
      <sz val="10"/>
      <color rgb="FF646464"/>
      <name val="Arial"/>
      <family val="2"/>
    </font>
    <font>
      <b/>
      <sz val="10"/>
      <color rgb="FF646464"/>
      <name val="Arial"/>
      <family val="2"/>
    </font>
    <font>
      <b/>
      <i/>
      <sz val="10"/>
      <color rgb="FF000000"/>
      <name val="Arial"/>
      <family val="2"/>
    </font>
    <font>
      <sz val="9"/>
      <color rgb="FF646464"/>
      <name val="Arial"/>
      <family val="2"/>
    </font>
  </fonts>
  <fills count="6">
    <fill>
      <patternFill patternType="none"/>
    </fill>
    <fill>
      <patternFill patternType="gray125"/>
    </fill>
    <fill>
      <patternFill patternType="solid">
        <fgColor rgb="FF002060"/>
        <bgColor indexed="64"/>
      </patternFill>
    </fill>
    <fill>
      <patternFill patternType="solid">
        <fgColor rgb="FFB4C6E7"/>
        <bgColor indexed="64"/>
      </patternFill>
    </fill>
    <fill>
      <patternFill patternType="solid">
        <fgColor rgb="FFFFFFE0"/>
        <bgColor indexed="64"/>
      </patternFill>
    </fill>
    <fill>
      <patternFill patternType="solid">
        <fgColor rgb="FFDDEBF7"/>
        <bgColor indexed="64"/>
      </patternFill>
    </fill>
  </fills>
  <borders count="3">
    <border>
      <left/>
      <right/>
      <top/>
      <bottom/>
      <diagonal/>
    </border>
    <border>
      <left/>
      <right/>
      <top style="thin"/>
      <bottom/>
      <diagonal/>
    </border>
    <border>
      <left/>
      <right/>
      <top/>
      <bottom style="thin"/>
      <diagonal/>
    </border>
  </borders>
  <cellStyleXfs count="1">
    <xf borderId="0" fillId="0" fontId="0" numFmtId="0" applyAlignment="1" applyFont="1" applyFill="1"/>
  </cellStyleXfs>
  <cellXfs count="93">
    <xf xfId="0" borderId="0" fillId="0" fontId="0" numFmtId="0"/>
    <xf xfId="0" borderId="0" fillId="0" fontId="0" numFmtId="164"/>
    <xf xfId="0" borderId="0" fillId="0" fontId="3" numFmtId="0" applyFont="1"/>
    <xf xfId="0" borderId="0" fillId="0" fontId="5" numFmtId="0" applyFont="1"/>
    <xf xfId="0" borderId="0" fillId="0" fontId="6" numFmtId="0" applyFont="1"/>
    <xf xfId="0" borderId="0" fillId="2" fontId="8" numFmtId="0" applyFont="1" applyFill="1"/>
    <xf xfId="0" borderId="0" fillId="3" fontId="10" numFmtId="0" applyFont="1" applyFill="1"/>
    <xf xfId="0" borderId="0" fillId="3" fontId="10" numFmtId="164" applyFont="1" applyFill="1"/>
    <xf xfId="0" borderId="1" fillId="0" fontId="1" numFmtId="0" applyFont="1"/>
    <xf xfId="0" borderId="1" fillId="0" fontId="1" numFmtId="164" applyFont="1"/>
    <xf xfId="0" borderId="0" fillId="0" fontId="5" numFmtId="164" applyFont="1"/>
    <xf xfId="0" borderId="0" fillId="0" fontId="0" numFmtId="0" applyAlignment="1">
      <alignment wrapText="1" vertical="top"/>
    </xf>
    <xf xfId="0" borderId="0" fillId="0" fontId="11" numFmtId="164" applyFont="1"/>
    <xf xfId="0" borderId="0" fillId="2" fontId="8" numFmtId="164" applyFont="1" applyFill="1"/>
    <xf xfId="0" borderId="2" fillId="0" fontId="1" numFmtId="0" applyAlignment="1" applyFont="1">
      <alignment horizontal="center"/>
    </xf>
    <xf xfId="0" borderId="2" fillId="0" fontId="1" numFmtId="0" applyAlignment="1" applyFont="1">
      <alignment horizontal="left"/>
    </xf>
    <xf xfId="0" borderId="0" fillId="4" fontId="11" numFmtId="164" applyFont="1" applyFill="1"/>
    <xf xfId="0" borderId="0" fillId="4" fontId="0" numFmtId="164" applyFill="1"/>
    <xf xfId="0" borderId="2" fillId="0" fontId="1" numFmtId="0" applyAlignment="1" applyFont="1">
      <alignment wrapText="1" horizontal="center"/>
    </xf>
    <xf xfId="0" borderId="1" fillId="0" fontId="1" numFmtId="0" applyAlignment="1" applyFont="1">
      <alignment wrapText="1" vertical="top"/>
    </xf>
    <xf xfId="0" borderId="0" fillId="0" fontId="5" numFmtId="0" applyAlignment="1" applyFont="1">
      <alignment wrapText="1" vertical="top"/>
    </xf>
    <xf xfId="0" borderId="0" fillId="2" fontId="8" numFmtId="0" applyAlignment="1" applyFont="1" applyFill="1">
      <alignment wrapText="1" vertical="top"/>
    </xf>
    <xf xfId="0" borderId="2" fillId="0" fontId="1" numFmtId="0" applyAlignment="1" applyFont="1">
      <alignment wrapText="1" horizontal="center" vertical="top"/>
    </xf>
    <xf xfId="0" borderId="0" fillId="0" fontId="0" numFmtId="1"/>
    <xf xfId="0" borderId="0" fillId="0" fontId="0" numFmtId="2"/>
    <xf xfId="0" borderId="0" fillId="0" fontId="0" numFmtId="166"/>
    <xf xfId="0" borderId="2" fillId="0" fontId="1" numFmtId="17" applyAlignment="1" applyFont="1">
      <alignment horizontal="center"/>
    </xf>
    <xf xfId="0" borderId="0" fillId="0" fontId="5" numFmtId="1" applyFont="1"/>
    <xf xfId="0" borderId="0" fillId="4" fontId="11" numFmtId="1" applyFont="1" applyFill="1"/>
    <xf xfId="0" borderId="0" fillId="0" fontId="0" numFmtId="168"/>
    <xf xfId="0" borderId="0" fillId="0" fontId="0" numFmtId="169"/>
    <xf xfId="0" borderId="0" fillId="0" fontId="0" numFmtId="170"/>
    <xf xfId="0" borderId="2" fillId="2" fontId="8" numFmtId="0" applyAlignment="1" applyFont="1" applyFill="1">
      <alignment horizontal="center"/>
    </xf>
    <xf xfId="0" borderId="2" fillId="2" fontId="8" numFmtId="164" applyAlignment="1" applyFont="1" applyFill="1">
      <alignment horizontal="center"/>
    </xf>
    <xf xfId="0" borderId="2" fillId="2" fontId="8" numFmtId="0" applyAlignment="1" applyFont="1" applyFill="1">
      <alignment horizontal="left"/>
    </xf>
    <xf xfId="0" borderId="0" fillId="4" fontId="0" numFmtId="168" applyFill="1"/>
    <xf xfId="0" borderId="0" fillId="4" fontId="11" numFmtId="170" applyFont="1" applyFill="1"/>
    <xf xfId="0" borderId="0" fillId="3" fontId="10" numFmtId="0" applyAlignment="1" applyFont="1" applyFill="1">
      <alignment wrapText="1" vertical="top"/>
    </xf>
    <xf xfId="0" borderId="2" fillId="0" fontId="1" numFmtId="0" applyAlignment="1" applyFont="1">
      <alignment horizontal="left" vertical="top"/>
    </xf>
    <xf xfId="0" borderId="2" fillId="0" fontId="1" numFmtId="165" applyAlignment="1" applyFont="1">
      <alignment horizontal="center" vertical="top"/>
    </xf>
    <xf xfId="0" borderId="2" fillId="0" fontId="1" numFmtId="0" applyAlignment="1" applyFont="1">
      <alignment horizontal="center" vertical="top"/>
    </xf>
    <xf xfId="0" borderId="0" fillId="0" fontId="0" numFmtId="0" applyAlignment="1">
      <alignment vertical="top"/>
    </xf>
    <xf xfId="0" borderId="0" fillId="0" fontId="11" numFmtId="164" applyAlignment="1" applyFont="1">
      <alignment vertical="top"/>
    </xf>
    <xf xfId="0" borderId="0" fillId="0" fontId="0" numFmtId="164" applyAlignment="1">
      <alignment vertical="top"/>
    </xf>
    <xf xfId="0" borderId="1" fillId="0" fontId="1" numFmtId="0" applyAlignment="1" applyFont="1">
      <alignment vertical="top"/>
    </xf>
    <xf xfId="0" borderId="1" fillId="0" fontId="1" numFmtId="164" applyAlignment="1" applyFont="1">
      <alignment vertical="top"/>
    </xf>
    <xf xfId="0" borderId="0" fillId="4" fontId="0" numFmtId="164" applyAlignment="1" applyFill="1">
      <alignment vertical="top"/>
    </xf>
    <xf xfId="0" borderId="0" fillId="4" fontId="11" numFmtId="164" applyAlignment="1" applyFont="1" applyFill="1">
      <alignment vertical="top"/>
    </xf>
    <xf xfId="0" borderId="0" fillId="0" fontId="5" numFmtId="0" applyAlignment="1" applyFont="1">
      <alignment vertical="top"/>
    </xf>
    <xf xfId="0" borderId="0" fillId="0" fontId="5" numFmtId="164" applyAlignment="1" applyFont="1">
      <alignment vertical="top"/>
    </xf>
    <xf xfId="0" borderId="0" fillId="2" fontId="8" numFmtId="0" applyAlignment="1" applyFont="1" applyFill="1">
      <alignment vertical="top"/>
    </xf>
    <xf xfId="0" borderId="0" fillId="2" fontId="8" numFmtId="164" applyAlignment="1" applyFont="1" applyFill="1">
      <alignment vertical="top"/>
    </xf>
    <xf xfId="0" borderId="2" fillId="0" fontId="1" numFmtId="164" applyAlignment="1" applyFont="1">
      <alignment horizontal="center" vertical="top"/>
    </xf>
    <xf xfId="0" borderId="0" fillId="0" fontId="0" numFmtId="164" applyAlignment="1">
      <alignment horizontal="right" vertical="top"/>
    </xf>
    <xf xfId="0" borderId="0" fillId="0" fontId="11" numFmtId="164" applyAlignment="1" applyFont="1">
      <alignment horizontal="right" vertical="top"/>
    </xf>
    <xf xfId="0" borderId="0" fillId="0" fontId="0" numFmtId="0" applyAlignment="1">
      <alignment vertical="top" indent="1"/>
    </xf>
    <xf xfId="0" borderId="0" fillId="0" fontId="0" numFmtId="0" applyAlignment="1">
      <alignment vertical="top" indent="2"/>
    </xf>
    <xf xfId="0" borderId="0" fillId="0" fontId="12" numFmtId="0" applyAlignment="1" applyFont="1">
      <alignment wrapText="1" vertical="top"/>
    </xf>
    <xf xfId="0" borderId="1" fillId="0" fontId="13" numFmtId="0" applyAlignment="1" applyFont="1">
      <alignment wrapText="1" vertical="top"/>
    </xf>
    <xf xfId="0" borderId="0" fillId="2" fontId="13" numFmtId="0" applyAlignment="1" applyFont="1" applyFill="1">
      <alignment wrapText="1" vertical="top"/>
    </xf>
    <xf xfId="0" borderId="2" fillId="0" fontId="13" numFmtId="0" applyAlignment="1" applyFont="1">
      <alignment wrapText="1" horizontal="center" vertical="top"/>
    </xf>
    <xf xfId="0" borderId="2" fillId="5" fontId="1" numFmtId="17" applyAlignment="1" applyFont="1" applyFill="1">
      <alignment horizontal="center"/>
    </xf>
    <xf xfId="0" borderId="2" fillId="5" fontId="1" numFmtId="0" applyAlignment="1" applyFont="1" applyFill="1">
      <alignment horizontal="center"/>
    </xf>
    <xf xfId="0" borderId="2" fillId="5" fontId="14" numFmtId="0" applyAlignment="1" applyFont="1" applyFill="1">
      <alignment horizontal="center"/>
    </xf>
    <xf xfId="0" borderId="2" fillId="0" fontId="14" numFmtId="0" applyAlignment="1" applyFont="1">
      <alignment horizontal="center"/>
    </xf>
    <xf xfId="0" borderId="0" fillId="0" fontId="0" numFmtId="0" applyAlignment="1">
      <alignment indent="1"/>
    </xf>
    <xf xfId="0" borderId="2" fillId="0" fontId="13" numFmtId="0" applyAlignment="1" applyFont="1">
      <alignment horizontal="center"/>
    </xf>
    <xf xfId="0" borderId="0" fillId="0" fontId="12" numFmtId="0" applyFont="1"/>
    <xf xfId="0" borderId="0" fillId="2" fontId="13" numFmtId="0" applyFont="1" applyFill="1"/>
    <xf xfId="0" borderId="0" fillId="3" fontId="13" numFmtId="0" applyFont="1" applyFill="1"/>
    <xf xfId="0" borderId="1" fillId="0" fontId="13" numFmtId="0" applyFont="1"/>
    <xf xfId="0" borderId="0" fillId="4" fontId="11" numFmtId="1" applyAlignment="1" applyFont="1" applyFill="1">
      <alignment vertical="top"/>
    </xf>
    <xf xfId="0" borderId="0" fillId="0" fontId="12" numFmtId="0" applyAlignment="1" applyFont="1">
      <alignment vertical="top"/>
    </xf>
    <xf xfId="0" borderId="0" fillId="0" fontId="0" numFmtId="1" applyAlignment="1">
      <alignment vertical="top"/>
    </xf>
    <xf xfId="0" borderId="0" fillId="2" fontId="8" numFmtId="1" applyAlignment="1" applyFont="1" applyFill="1">
      <alignment vertical="top"/>
    </xf>
    <xf xfId="0" borderId="0" fillId="2" fontId="13" numFmtId="0" applyAlignment="1" applyFont="1" applyFill="1">
      <alignment vertical="top"/>
    </xf>
    <xf xfId="0" borderId="0" fillId="3" fontId="10" numFmtId="0" applyAlignment="1" applyFont="1" applyFill="1">
      <alignment vertical="top"/>
    </xf>
    <xf xfId="0" borderId="0" fillId="3" fontId="10" numFmtId="164" applyAlignment="1" applyFont="1" applyFill="1">
      <alignment vertical="top"/>
    </xf>
    <xf xfId="0" borderId="1" fillId="0" fontId="13" numFmtId="0" applyAlignment="1" applyFont="1">
      <alignment vertical="top"/>
    </xf>
    <xf xfId="0" borderId="0" fillId="3" fontId="13" numFmtId="0" applyAlignment="1" applyFont="1" applyFill="1">
      <alignment vertical="top"/>
    </xf>
    <xf xfId="0" borderId="0" fillId="0" fontId="12" numFmtId="0" quotePrefix="1" applyAlignment="1" applyFont="1">
      <alignment vertical="top"/>
    </xf>
    <xf xfId="0" borderId="2" fillId="0" fontId="13" numFmtId="0" applyAlignment="1" applyFont="1">
      <alignment horizontal="center" vertical="top"/>
    </xf>
    <xf xfId="0" borderId="2" fillId="2" fontId="13" numFmtId="0" applyAlignment="1" applyFont="1" applyFill="1">
      <alignment horizontal="center"/>
    </xf>
    <xf xfId="0" borderId="0" fillId="0" fontId="0" numFmtId="17" applyAlignment="1">
      <alignment horizontal="left"/>
    </xf>
    <xf xfId="0" borderId="0" fillId="0" fontId="0" numFmtId="171"/>
    <xf xfId="0" borderId="0" fillId="0" fontId="0" numFmtId="172" applyAlignment="1">
      <alignment vertical="top"/>
    </xf>
    <xf xfId="0" borderId="0" fillId="0" fontId="4" numFmtId="164" applyAlignment="1" applyFont="1">
      <alignment vertical="top"/>
    </xf>
    <xf xfId="0" borderId="0" fillId="0" fontId="15" numFmtId="0" applyFont="1"/>
    <xf xfId="0" borderId="0" fillId="0" fontId="11" numFmtId="1" applyAlignment="1" applyFont="1">
      <alignment vertical="top"/>
    </xf>
    <xf xfId="0" borderId="0" fillId="0" fontId="0" numFmtId="164" applyAlignment="1">
      <alignment horizontal="right"/>
    </xf>
    <xf xfId="0" borderId="0" fillId="0" fontId="5" numFmtId="164" applyAlignment="1" applyFont="1">
      <alignment horizontal="right"/>
    </xf>
    <xf xfId="0" borderId="1" fillId="0" fontId="1" numFmtId="164" applyAlignment="1" applyFont="1">
      <alignment horizontal="right"/>
    </xf>
    <xf xfId="0" borderId="2" fillId="2" fontId="8" numFmtId="0" applyAlignment="1" applyFont="1" applyFill="1">
      <alignment wrapText="1"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comments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1"/>
  <sheetViews>
    <sheetView showGridLines="0" tabSelected="1" workbookViewId="0">
      <selection activeCell="A1" sqref="A1"/>
    </sheetView>
  </sheetViews>
  <cols>
    <col min="1" max="1" width="2.359375" customWidth="1"/>
    <col min="2" max="2" width="113.7890625" customWidth="1"/>
    <col min="3" max="3" width="14.7890625" customWidth="1"/>
    <col min="4" max="4" width="17.21875" customWidth="1"/>
    <col min="5" max="5" width="54.359375" customWidth="1"/>
  </cols>
  <sheetData>
    <row r="2">
      <c r="B2" t="s" s="2">
        <v>617</v>
      </c>
    </row>
    <row r="3">
      <c r="B3" t="s" s="4">
        <v>618</v>
      </c>
    </row>
    <row r="5">
      <c r="B5" t="s" s="5">
        <v>509</v>
      </c>
      <c r="C5" t="s" s="5">
        <v>45</v>
      </c>
      <c r="D5" s="5"/>
      <c r="E5" s="5"/>
    </row>
    <row r="6">
      <c r="B6" t="s" s="8">
        <v>609</v>
      </c>
      <c r="C6" s="9">
        <f>Peg!C14</f>
        <v>-16.433333333333334</v>
      </c>
      <c r="D6" s="8"/>
      <c r="E6" s="8"/>
    </row>
    <row r="7">
      <c r="B7" t="s">
        <v>511</v>
      </c>
      <c r="C7" s="1">
        <f>Peg!C7</f>
        <v>-11.8</v>
      </c>
    </row>
    <row r="8">
      <c r="B8" t="s" s="8">
        <v>512</v>
      </c>
      <c r="C8" s="9">
        <f>C6-C7</f>
        <v>-4.633333333333333</v>
      </c>
      <c r="D8" s="8"/>
      <c r="E8" s="8"/>
    </row>
    <row r="9">
      <c r="B9" t="s" s="6">
        <v>513</v>
      </c>
      <c r="C9" s="7"/>
      <c r="D9" s="6"/>
      <c r="E9" s="6"/>
    </row>
    <row r="10">
      <c r="B10" t="s">
        <v>514</v>
      </c>
      <c r="C10" s="1">
        <f>Definition!E76-Definition!E77</f>
        <v>0.13333333333333464</v>
      </c>
    </row>
    <row r="11">
      <c r="B11" t="s">
        <v>515</v>
      </c>
      <c r="C11" s="1">
        <f>AVERAGE(Definition!D67:F67)</f>
        <v>-10.700000000000001</v>
      </c>
    </row>
    <row r="12">
      <c r="B12" t="s">
        <v>516</v>
      </c>
      <c r="C12" s="1">
        <f>AVERAGE(Definition!D71:F71)</f>
        <v>2.3333333333333344</v>
      </c>
    </row>
    <row r="13">
      <c r="B13" t="s">
        <v>517</v>
      </c>
      <c r="C13" s="1">
        <f>AVERAGE(Definition!D72:F72)</f>
        <v>3.6</v>
      </c>
    </row>
    <row r="14">
      <c r="B14" t="s">
        <v>610</v>
      </c>
      <c r="C14" s="1">
        <f>C6-AVERAGE(Definition!D56:F56)</f>
        <v>0</v>
      </c>
    </row>
    <row r="15">
      <c r="B15" t="s" s="3">
        <v>519</v>
      </c>
      <c r="C15" s="10">
        <f>C7+SUM(C10:C14)-C6</f>
        <v>0</v>
      </c>
      <c r="D15" s="3"/>
      <c r="E15" s="3"/>
    </row>
    <row r="17">
      <c r="B17" t="s" s="5">
        <v>619</v>
      </c>
      <c r="C17" s="5"/>
      <c r="D17" t="s" s="5">
        <v>45</v>
      </c>
      <c r="E17" s="5"/>
    </row>
    <row r="18">
      <c r="B18" t="s">
        <v>523</v>
      </c>
      <c r="D18" s="1">
        <f>Peg!E14-Peg!E7</f>
        <v>0.5029880821476915</v>
      </c>
    </row>
    <row r="19">
      <c r="B19" t="s">
        <v>527</v>
      </c>
      <c r="D19" s="1">
        <f>Definition!E69-Definition!E65</f>
        <v>-20.6</v>
      </c>
    </row>
    <row r="20">
      <c r="B20"/>
      <c r="D20" s="1"/>
    </row>
    <row r="21">
      <c r="B21" t="s" s="5">
        <v>620</v>
      </c>
      <c r="C21" s="5"/>
      <c r="D21" s="5"/>
      <c r="E21" s="5"/>
    </row>
    <row r="22" ht="16" customHeight="1">
      <c r="B22" t="str" s="11">
        <f>"1. Peg: "&amp;TEXT(C6,"0.0;(0.0)")&amp;", the QoE's own three dates and averaging method on our definition, against the QoE's "&amp;TEXT(C7,"0.0;(0.0)")&amp;". The "&amp;TEXT(C8,"0.0;(0.0)")&amp;" gap is almost entirely definitional; at an illustrative 12/31/26 closing it is worth "&amp;TEXT(D18,"0.0;(0.0)")&amp;" of price; TTM cross-check "&amp;TEXT(Peg!C9,"0.0;(0.0)")&amp;"."</f>
        <v>1. Peg: (16.4), the QoE's own three dates and averaging method on our definition, against the QoE's (11.8). The (4.6) gap is almost entirely definitional; at an illustrative 12/31/26 closing it is worth 0.5 of price; TTM cross-check (18.4).</v>
      </c>
      <c r="C22" s="11"/>
      <c r="D22" s="11"/>
      <c r="E22" s="11"/>
    </row>
    <row r="23" ht="16" customHeight="1">
      <c r="B23" t="str" s="11">
        <f>"2. The QoE's NWC table does not follow its own definition: it leaves out accrued property taxes and tenant deposits that §8.1 includes ("&amp;TEXT(D19,"0.0;(0.0)")&amp;" at 12/31/25). The definition, not the number, is what to fix in the purchase agreement."</f>
        <v>2. The QoE's NWC table does not follow its own definition: it leaves out accrued property taxes and tenant deposits that §8.1 includes ((20.6) at 12/31/25). The definition, not the number, is what to fix in the purchase agreement.</v>
      </c>
      <c r="C23" s="11"/>
      <c r="D23" s="11"/>
      <c r="E23" s="11"/>
    </row>
    <row r="24" ht="16" customHeight="1">
      <c r="B24" t="str" s="11">
        <f>"3. The QoE 'TTM' peg rests on three dates (average "&amp;TEXT(Definition!E76,"0.0;(0.0)")&amp;"); monthly balances were never compiled. Our rebuild shows a "&amp;TEXT(Peg!C46,"0.0")&amp;" spread between months, from receivable timing and summer power payables."</f>
        <v>3. The QoE 'TTM' peg rests on three dates (average (11.7)); monthly balances were never compiled. Our rebuild shows a 13.5 spread between months, from receivable timing and summer power payables.</v>
      </c>
      <c r="C24" s="11"/>
      <c r="D24" s="11"/>
      <c r="E24" s="11"/>
    </row>
    <row r="26">
      <c r="B26" t="s" s="5">
        <v>621</v>
      </c>
      <c r="C26" s="5"/>
      <c r="D26" s="5"/>
      <c r="E26" s="5"/>
    </row>
    <row r="27" ht="16" customHeight="1">
      <c r="B27" t="s" s="11">
        <v>530</v>
      </c>
      <c r="C27" s="11"/>
      <c r="D27" s="11"/>
      <c r="E27" s="11"/>
    </row>
    <row r="28" ht="16" customHeight="1">
      <c r="B28" t="s" s="11">
        <v>531</v>
      </c>
      <c r="C28" s="11"/>
      <c r="D28" s="11"/>
      <c r="E28" s="11"/>
    </row>
    <row r="29" ht="16" customHeight="1">
      <c r="B29" t="s" s="11">
        <v>532</v>
      </c>
      <c r="C29" s="11"/>
      <c r="D29" s="11"/>
      <c r="E29" s="11"/>
    </row>
    <row r="30" ht="16" customHeight="1">
      <c r="B30" t="s" s="11">
        <v>533</v>
      </c>
      <c r="C30" s="11"/>
      <c r="D30" s="11"/>
      <c r="E30" s="11"/>
    </row>
    <row r="31" ht="16" customHeight="1">
      <c r="B31" t="s" s="11">
        <v>622</v>
      </c>
      <c r="C31" s="11"/>
      <c r="D31" s="11"/>
      <c r="E31" s="11"/>
    </row>
  </sheetData>
  <mergeCells count="8">
    <mergeCell ref="B22:E22"/>
    <mergeCell ref="B23:E23"/>
    <mergeCell ref="B24:E24"/>
    <mergeCell ref="B27:E27"/>
    <mergeCell ref="B28:E28"/>
    <mergeCell ref="B29:E29"/>
    <mergeCell ref="B30:E30"/>
    <mergeCell ref="B31:E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4"/>
  <sheetViews>
    <sheetView showGridLines="0" workbookViewId="0">
      <selection activeCell="A1" sqref="A1"/>
    </sheetView>
  </sheetViews>
  <cols>
    <col min="1" max="1" width="2.359375" customWidth="1"/>
    <col min="2" max="2" width="64.359375" customWidth="1"/>
    <col min="3" max="7" width="13.50390625" customWidth="1"/>
    <col min="8" max="8" width="86.64453125" customWidth="1"/>
    <col min="9" max="9" width="56.9296875" customWidth="1"/>
  </cols>
  <sheetData>
    <row r="2">
      <c r="B2" t="s" s="2">
        <v>0</v>
      </c>
    </row>
    <row r="3">
      <c r="B3" t="s" s="4">
        <v>641</v>
      </c>
    </row>
    <row r="5">
      <c r="B5" t="s" s="5">
        <v>2</v>
      </c>
      <c r="C5" s="5"/>
      <c r="D5" s="5"/>
      <c r="E5" s="5"/>
      <c r="F5" s="5"/>
      <c r="G5" s="5"/>
      <c r="H5" s="5"/>
      <c r="I5" s="5"/>
    </row>
    <row r="6">
      <c r="B6" t="s" s="38">
        <v>3</v>
      </c>
      <c r="C6" s="39">
        <f>DATE(2023,12,31)</f>
        <v>45291</v>
      </c>
      <c r="D6" s="39">
        <f>DATE(2024,12,31)</f>
        <v>45657</v>
      </c>
      <c r="E6" s="39">
        <f>DATE(2025,12,31)</f>
        <v>46022</v>
      </c>
      <c r="F6" s="39">
        <f>DATE(2026,3,31)</f>
        <v>46112</v>
      </c>
      <c r="G6" t="s" s="40">
        <v>86</v>
      </c>
      <c r="H6" t="s" s="40">
        <v>94</v>
      </c>
      <c r="I6" t="s" s="40">
        <v>129</v>
      </c>
    </row>
    <row r="7">
      <c r="B7" t="s" s="41">
        <v>4</v>
      </c>
      <c r="C7" s="42">
        <v>61</v>
      </c>
      <c r="D7" s="42">
        <v>70</v>
      </c>
      <c r="E7" s="42">
        <v>85</v>
      </c>
      <c r="F7" s="42">
        <v>91.2</v>
      </c>
      <c r="G7" t="s" s="41">
        <v>87</v>
      </c>
      <c r="H7" t="s" s="11">
        <v>642</v>
      </c>
      <c r="I7" t="s" s="57">
        <v>130</v>
      </c>
    </row>
    <row r="8">
      <c r="B8" t="s" s="41">
        <v>5</v>
      </c>
      <c r="C8" s="42">
        <v>22.6</v>
      </c>
      <c r="D8" s="42">
        <v>27.9</v>
      </c>
      <c r="E8" s="42">
        <v>34.2</v>
      </c>
      <c r="F8" s="42">
        <v>35.1</v>
      </c>
      <c r="G8" t="s" s="41">
        <v>88</v>
      </c>
      <c r="H8" t="s" s="11">
        <v>96</v>
      </c>
      <c r="I8" t="s" s="57">
        <v>131</v>
      </c>
    </row>
    <row r="9">
      <c r="B9" t="s" s="55">
        <v>6</v>
      </c>
      <c r="C9" t="s" s="53">
        <v>82</v>
      </c>
      <c r="D9" s="42">
        <v>26.2</v>
      </c>
      <c r="E9" s="42">
        <v>31.6</v>
      </c>
      <c r="F9" s="42">
        <v>32.4</v>
      </c>
      <c r="G9" t="s" s="41">
        <v>88</v>
      </c>
      <c r="H9" t="s" s="11">
        <v>97</v>
      </c>
      <c r="I9" t="s" s="57">
        <v>132</v>
      </c>
    </row>
    <row r="10">
      <c r="B10" t="s" s="55">
        <v>7</v>
      </c>
      <c r="C10" s="53"/>
      <c r="D10" s="43">
        <f>D8-D9</f>
        <v>1.6999999999999993</v>
      </c>
      <c r="E10" s="43">
        <f>E8-E9</f>
        <v>2.6000000000000014</v>
      </c>
      <c r="F10" s="43">
        <f>F8-F9</f>
        <v>2.700000000000003</v>
      </c>
      <c r="G10" t="s" s="41">
        <v>88</v>
      </c>
      <c r="H10" t="s" s="11">
        <v>98</v>
      </c>
      <c r="I10" t="s" s="57">
        <v>133</v>
      </c>
    </row>
    <row r="11">
      <c r="B11" t="s" s="55">
        <v>8</v>
      </c>
      <c r="C11" s="53"/>
      <c r="D11" s="43"/>
      <c r="E11" s="42">
        <v>4.046278</v>
      </c>
      <c r="F11" s="42">
        <v>6.494208</v>
      </c>
      <c r="G11" t="s" s="41">
        <v>88</v>
      </c>
      <c r="H11" t="s" s="11">
        <v>99</v>
      </c>
      <c r="I11" t="s" s="57">
        <v>134</v>
      </c>
    </row>
    <row r="12">
      <c r="B12" t="s" s="41">
        <v>9</v>
      </c>
      <c r="C12" s="54">
        <v>8.1</v>
      </c>
      <c r="D12" s="42">
        <v>9.8</v>
      </c>
      <c r="E12" s="42">
        <v>12.4</v>
      </c>
      <c r="F12" s="42">
        <v>13</v>
      </c>
      <c r="G12" t="s" s="41">
        <v>88</v>
      </c>
      <c r="H12" t="s" s="11">
        <v>96</v>
      </c>
      <c r="I12" t="s" s="57">
        <v>135</v>
      </c>
    </row>
    <row r="13">
      <c r="B13" t="s" s="55">
        <v>10</v>
      </c>
      <c r="C13" t="s" s="53">
        <v>82</v>
      </c>
      <c r="D13" s="42">
        <v>7.1</v>
      </c>
      <c r="E13" s="42">
        <v>8.4</v>
      </c>
      <c r="F13" s="42">
        <v>8.9</v>
      </c>
      <c r="G13" t="s" s="41">
        <v>88</v>
      </c>
      <c r="H13" t="s" s="11">
        <v>100</v>
      </c>
      <c r="I13" t="s" s="57">
        <v>132</v>
      </c>
    </row>
    <row r="14">
      <c r="B14" t="s" s="55">
        <v>11</v>
      </c>
      <c r="C14" s="43"/>
      <c r="D14" s="43">
        <f>D12-D13</f>
        <v>2.700000000000001</v>
      </c>
      <c r="E14" s="43">
        <f>E12-E13</f>
        <v>4</v>
      </c>
      <c r="F14" s="43">
        <f>F12-F13</f>
        <v>4.1</v>
      </c>
      <c r="G14" t="s" s="41">
        <v>88</v>
      </c>
      <c r="H14" t="s" s="11">
        <v>101</v>
      </c>
      <c r="I14" t="s" s="57">
        <v>133</v>
      </c>
    </row>
    <row r="15">
      <c r="B15" t="s" s="41">
        <v>12</v>
      </c>
      <c r="C15" s="42">
        <v>1473</v>
      </c>
      <c r="D15" s="42">
        <v>1716</v>
      </c>
      <c r="E15" s="42">
        <v>1978</v>
      </c>
      <c r="F15" s="42">
        <v>2020.7</v>
      </c>
      <c r="G15" t="s" s="41">
        <v>89</v>
      </c>
      <c r="H15" t="s" s="11">
        <v>102</v>
      </c>
      <c r="I15" t="s" s="57">
        <v>136</v>
      </c>
    </row>
    <row r="16">
      <c r="B16" t="s" s="41">
        <v>13</v>
      </c>
      <c r="C16" s="42">
        <v>27</v>
      </c>
      <c r="D16" s="42">
        <v>34.2</v>
      </c>
      <c r="E16" s="42">
        <v>42.6</v>
      </c>
      <c r="F16" s="42">
        <v>44.8</v>
      </c>
      <c r="G16" t="s" s="41">
        <v>89</v>
      </c>
      <c r="H16" t="s" s="11">
        <v>103</v>
      </c>
      <c r="I16" t="s" s="57">
        <v>137</v>
      </c>
    </row>
    <row r="17">
      <c r="B17" t="s" s="41">
        <v>14</v>
      </c>
      <c r="C17" s="42">
        <v>22.9</v>
      </c>
      <c r="D17" s="42">
        <v>25.8</v>
      </c>
      <c r="E17" s="42">
        <v>28.4</v>
      </c>
      <c r="F17" s="42">
        <v>28.6</v>
      </c>
      <c r="G17" t="s" s="41">
        <v>89</v>
      </c>
      <c r="H17" t="s" s="11">
        <v>104</v>
      </c>
      <c r="I17" t="s" s="57">
        <v>138</v>
      </c>
    </row>
    <row r="18">
      <c r="B18" t="s" s="41">
        <v>15</v>
      </c>
      <c r="C18" s="42">
        <v>8.6</v>
      </c>
      <c r="D18" s="42">
        <v>8.4</v>
      </c>
      <c r="E18" s="42">
        <v>8.2</v>
      </c>
      <c r="F18" s="42">
        <v>8.2</v>
      </c>
      <c r="G18" t="s" s="41">
        <v>89</v>
      </c>
      <c r="H18" t="s" s="11">
        <v>105</v>
      </c>
      <c r="I18" t="s" s="57">
        <v>139</v>
      </c>
    </row>
    <row r="19">
      <c r="B19" t="s" s="41">
        <v>16</v>
      </c>
      <c r="C19" s="42">
        <v>8.9</v>
      </c>
      <c r="D19" s="42">
        <v>10.2</v>
      </c>
      <c r="E19" s="42">
        <v>11.8</v>
      </c>
      <c r="F19" s="42">
        <v>12.1</v>
      </c>
      <c r="G19" t="s" s="41">
        <v>89</v>
      </c>
      <c r="H19" t="s" s="11">
        <v>106</v>
      </c>
      <c r="I19" t="s" s="57">
        <v>140</v>
      </c>
    </row>
    <row r="20">
      <c r="B20" t="s" s="55">
        <v>17</v>
      </c>
      <c r="C20" s="43"/>
      <c r="D20" s="43"/>
      <c r="E20" s="42">
        <v>6.8</v>
      </c>
      <c r="F20" s="43"/>
      <c r="G20" t="s" s="41">
        <v>89</v>
      </c>
      <c r="H20" t="s" s="11">
        <v>107</v>
      </c>
      <c r="I20" t="s" s="57">
        <v>141</v>
      </c>
    </row>
    <row r="21">
      <c r="B21" t="s" s="44">
        <v>18</v>
      </c>
      <c r="C21" s="45">
        <f>C7+C8+C12+SUM(C15:C19)</f>
        <v>1632.1000000000001</v>
      </c>
      <c r="D21" s="45">
        <f>D7+D8+D12+SUM(D15:D19)</f>
        <v>1902.3000000000002</v>
      </c>
      <c r="E21" s="45">
        <f>E7+E8+E12+SUM(E15:E19)</f>
        <v>2200.6</v>
      </c>
      <c r="F21" s="45">
        <f>F7+F8+F12+SUM(F15:F19)</f>
        <v>2253.7</v>
      </c>
      <c r="G21" s="44"/>
      <c r="H21" s="19"/>
      <c r="I21" t="s" s="58">
        <v>142</v>
      </c>
    </row>
    <row r="22">
      <c r="B22" s="41"/>
      <c r="C22" s="43"/>
      <c r="D22" s="43"/>
      <c r="E22" s="43"/>
      <c r="F22" s="43"/>
      <c r="G22" s="41"/>
      <c r="H22" s="11"/>
      <c r="I22" s="57"/>
    </row>
    <row r="23">
      <c r="B23" t="s" s="41">
        <v>19</v>
      </c>
      <c r="C23" s="42">
        <v>52.4</v>
      </c>
      <c r="D23" s="42">
        <v>74</v>
      </c>
      <c r="E23" s="42">
        <v>96.3</v>
      </c>
      <c r="F23" s="42">
        <v>101.5</v>
      </c>
      <c r="G23" t="s" s="41">
        <v>90</v>
      </c>
      <c r="H23" t="s" s="11">
        <v>108</v>
      </c>
      <c r="I23" t="s" s="57">
        <v>143</v>
      </c>
    </row>
    <row r="24">
      <c r="B24" t="s" s="55">
        <v>20</v>
      </c>
      <c r="C24" s="46">
        <f>C23*D24/D23</f>
        <v>22.588648648648647</v>
      </c>
      <c r="D24" s="42">
        <v>31.9</v>
      </c>
      <c r="E24" s="42">
        <v>38.7</v>
      </c>
      <c r="F24" s="42">
        <v>39.5</v>
      </c>
      <c r="G24" t="s" s="41">
        <v>88</v>
      </c>
      <c r="H24" t="s" s="11">
        <v>109</v>
      </c>
      <c r="I24" t="s" s="57">
        <v>144</v>
      </c>
    </row>
    <row r="25">
      <c r="B25" t="s" s="55">
        <v>21</v>
      </c>
      <c r="C25" s="43">
        <f>C23-C24</f>
        <v>29.81135135135135</v>
      </c>
      <c r="D25" s="43">
        <f>D23-D24</f>
        <v>42.1</v>
      </c>
      <c r="E25" s="43">
        <f>E23-E24</f>
        <v>57.599999999999994</v>
      </c>
      <c r="F25" s="43">
        <f>F23-F24</f>
        <v>62</v>
      </c>
      <c r="G25" t="s" s="41">
        <v>91</v>
      </c>
      <c r="H25" s="11"/>
      <c r="I25" t="s" s="57">
        <v>145</v>
      </c>
    </row>
    <row r="26">
      <c r="B26" t="s" s="56">
        <v>22</v>
      </c>
      <c r="C26" s="43"/>
      <c r="D26" s="43"/>
      <c r="E26" s="42">
        <v>11.4</v>
      </c>
      <c r="F26" s="43"/>
      <c r="G26" t="s" s="41">
        <v>640</v>
      </c>
      <c r="H26" t="s" s="11">
        <v>110</v>
      </c>
      <c r="I26" t="s" s="57">
        <v>146</v>
      </c>
    </row>
    <row r="27">
      <c r="B27" t="s" s="56">
        <v>23</v>
      </c>
      <c r="C27" s="43"/>
      <c r="D27" s="43"/>
      <c r="E27" s="42">
        <v>1.2</v>
      </c>
      <c r="F27" s="47">
        <v>1.2</v>
      </c>
      <c r="G27" t="s" s="41">
        <v>640</v>
      </c>
      <c r="H27" t="s" s="11">
        <v>111</v>
      </c>
      <c r="I27" t="s" s="57">
        <v>147</v>
      </c>
    </row>
    <row r="28">
      <c r="B28" t="s" s="56">
        <v>24</v>
      </c>
      <c r="C28" s="43"/>
      <c r="D28" s="43"/>
      <c r="E28" s="42">
        <v>0.3</v>
      </c>
      <c r="F28" s="43"/>
      <c r="G28" t="s" s="41">
        <v>640</v>
      </c>
      <c r="H28" t="s" s="11">
        <v>112</v>
      </c>
      <c r="I28" t="s" s="57">
        <v>148</v>
      </c>
    </row>
    <row r="29">
      <c r="B29" t="s" s="56">
        <v>25</v>
      </c>
      <c r="C29" s="43"/>
      <c r="D29" s="43"/>
      <c r="E29" s="42">
        <v>9.4</v>
      </c>
      <c r="F29" s="43"/>
      <c r="G29" t="s" s="41">
        <v>640</v>
      </c>
      <c r="H29" t="s" s="11">
        <v>113</v>
      </c>
      <c r="I29" t="s" s="57">
        <v>149</v>
      </c>
    </row>
    <row r="30">
      <c r="B30" t="s" s="56">
        <v>26</v>
      </c>
      <c r="C30" s="43"/>
      <c r="D30" s="43"/>
      <c r="E30" s="47">
        <v>1.2</v>
      </c>
      <c r="F30" s="43"/>
      <c r="G30" t="s" s="41">
        <v>640</v>
      </c>
      <c r="H30" t="s" s="11">
        <v>114</v>
      </c>
      <c r="I30" t="s" s="57">
        <v>150</v>
      </c>
    </row>
    <row r="31">
      <c r="B31" t="s" s="56">
        <v>27</v>
      </c>
      <c r="C31" s="43"/>
      <c r="D31" s="43"/>
      <c r="E31" s="47">
        <v>0</v>
      </c>
      <c r="F31" s="43"/>
      <c r="G31" t="s" s="41">
        <v>93</v>
      </c>
      <c r="H31" t="s" s="11">
        <v>115</v>
      </c>
      <c r="I31" t="s" s="57">
        <v>151</v>
      </c>
    </row>
    <row r="32">
      <c r="B32" t="s" s="56">
        <v>28</v>
      </c>
      <c r="C32" s="43"/>
      <c r="D32" s="43"/>
      <c r="E32" s="43">
        <f>E25-SUM(E26:E31)</f>
        <v>34.099999999999994</v>
      </c>
      <c r="F32" s="43"/>
      <c r="G32" t="s" s="41">
        <v>640</v>
      </c>
      <c r="H32" t="s" s="11">
        <v>643</v>
      </c>
      <c r="I32" t="s" s="57">
        <v>152</v>
      </c>
    </row>
    <row r="33">
      <c r="B33" t="s" s="41">
        <v>29</v>
      </c>
      <c r="C33" s="42">
        <v>7.6</v>
      </c>
      <c r="D33" s="42">
        <v>9.3</v>
      </c>
      <c r="E33" s="42">
        <v>11.2</v>
      </c>
      <c r="F33" s="42">
        <v>11.6</v>
      </c>
      <c r="G33" t="s" s="41">
        <v>88</v>
      </c>
      <c r="H33" t="s" s="11">
        <v>117</v>
      </c>
      <c r="I33" t="s" s="57">
        <v>153</v>
      </c>
    </row>
    <row r="34">
      <c r="B34" t="s" s="41">
        <v>30</v>
      </c>
      <c r="C34" s="42">
        <v>12.1</v>
      </c>
      <c r="D34" s="42">
        <v>15.2</v>
      </c>
      <c r="E34" s="42">
        <v>18.6</v>
      </c>
      <c r="F34" s="42">
        <v>19.3</v>
      </c>
      <c r="G34" t="s" s="41">
        <v>90</v>
      </c>
      <c r="H34" t="s" s="11">
        <v>118</v>
      </c>
      <c r="I34" t="s" s="57">
        <v>154</v>
      </c>
    </row>
    <row r="35">
      <c r="B35" t="s" s="55">
        <v>31</v>
      </c>
      <c r="C35" s="46">
        <f>C34*D35/D34</f>
        <v>9.234210526315788</v>
      </c>
      <c r="D35" s="42">
        <v>11.6</v>
      </c>
      <c r="E35" s="42">
        <v>13.8</v>
      </c>
      <c r="F35" s="42">
        <v>14.1</v>
      </c>
      <c r="G35" t="s" s="41">
        <v>88</v>
      </c>
      <c r="H35" t="s" s="11">
        <v>119</v>
      </c>
      <c r="I35" t="s" s="57">
        <v>155</v>
      </c>
    </row>
    <row r="36">
      <c r="B36" t="s" s="55">
        <v>32</v>
      </c>
      <c r="C36" s="43">
        <f>C34-C35</f>
        <v>2.8657894736842113</v>
      </c>
      <c r="D36" s="43">
        <f>D34-D35</f>
        <v>3.5999999999999996</v>
      </c>
      <c r="E36" s="43">
        <f>E34-E35</f>
        <v>4.800000000000001</v>
      </c>
      <c r="F36" s="43">
        <f>F34-F35</f>
        <v>5.200000000000001</v>
      </c>
      <c r="G36" t="s" s="41">
        <v>640</v>
      </c>
      <c r="H36" t="s" s="11">
        <v>120</v>
      </c>
      <c r="I36" t="s" s="57">
        <v>145</v>
      </c>
    </row>
    <row r="37">
      <c r="B37" t="s" s="41">
        <v>33</v>
      </c>
      <c r="C37" s="42">
        <v>6.8</v>
      </c>
      <c r="D37" s="42">
        <v>8</v>
      </c>
      <c r="E37" s="42">
        <v>9.4</v>
      </c>
      <c r="F37" s="42">
        <v>9.6</v>
      </c>
      <c r="G37" t="s" s="41">
        <v>640</v>
      </c>
      <c r="H37" t="s" s="11">
        <v>121</v>
      </c>
      <c r="I37" t="s" s="57">
        <v>156</v>
      </c>
    </row>
    <row r="38">
      <c r="B38" t="s" s="41">
        <v>34</v>
      </c>
      <c r="C38" s="42">
        <v>844</v>
      </c>
      <c r="D38" s="42">
        <v>994.1</v>
      </c>
      <c r="E38" s="42">
        <v>1143.9</v>
      </c>
      <c r="F38" s="42">
        <v>1144.3</v>
      </c>
      <c r="G38" t="s" s="41">
        <v>93</v>
      </c>
      <c r="H38" t="s" s="11">
        <v>122</v>
      </c>
      <c r="I38" t="s" s="57">
        <v>157</v>
      </c>
    </row>
    <row r="39">
      <c r="B39" t="s" s="41">
        <v>35</v>
      </c>
      <c r="C39" s="42">
        <v>0</v>
      </c>
      <c r="D39" s="42">
        <v>120</v>
      </c>
      <c r="E39" s="42">
        <v>420</v>
      </c>
      <c r="F39" s="42">
        <v>485</v>
      </c>
      <c r="G39" t="s" s="41">
        <v>93</v>
      </c>
      <c r="H39" t="s" s="11">
        <v>123</v>
      </c>
      <c r="I39" t="s" s="57">
        <v>158</v>
      </c>
    </row>
    <row r="40">
      <c r="B40" t="s" s="41">
        <v>36</v>
      </c>
      <c r="C40" s="42">
        <v>9.3</v>
      </c>
      <c r="D40" s="42">
        <v>9.2</v>
      </c>
      <c r="E40" s="42">
        <v>9</v>
      </c>
      <c r="F40" s="42">
        <v>9</v>
      </c>
      <c r="G40" t="s" s="41">
        <v>640</v>
      </c>
      <c r="H40" t="s" s="11">
        <v>644</v>
      </c>
      <c r="I40" t="s" s="57">
        <v>159</v>
      </c>
    </row>
    <row r="41">
      <c r="B41" t="s" s="41">
        <v>37</v>
      </c>
      <c r="C41" s="42">
        <v>4.6</v>
      </c>
      <c r="D41" s="42">
        <v>5.5</v>
      </c>
      <c r="E41" s="42">
        <v>6.5</v>
      </c>
      <c r="F41" s="42">
        <v>6.7</v>
      </c>
      <c r="G41" t="s" s="41">
        <v>89</v>
      </c>
      <c r="H41" t="s" s="11">
        <v>125</v>
      </c>
      <c r="I41" t="s" s="57">
        <v>160</v>
      </c>
    </row>
    <row r="42">
      <c r="B42" t="s" s="55">
        <v>38</v>
      </c>
      <c r="C42" s="43"/>
      <c r="D42" s="43"/>
      <c r="E42" s="42">
        <v>3.1</v>
      </c>
      <c r="F42" s="43"/>
      <c r="G42" t="s" s="41">
        <v>89</v>
      </c>
      <c r="H42" t="s" s="11">
        <v>126</v>
      </c>
      <c r="I42" t="s" s="57">
        <v>141</v>
      </c>
    </row>
    <row r="43">
      <c r="B43" t="s" s="44">
        <v>39</v>
      </c>
      <c r="C43" s="45">
        <f>C23+C33+C34+SUM(C37:C41)</f>
        <v>936.8</v>
      </c>
      <c r="D43" s="45">
        <f>D23+D33+D34+SUM(D37:D41)</f>
        <v>1235.3</v>
      </c>
      <c r="E43" s="45">
        <f>E23+E33+E34+SUM(E37:E41)</f>
        <v>1714.9</v>
      </c>
      <c r="F43" s="45">
        <f>F23+F33+F34+SUM(F37:F41)</f>
        <v>1787</v>
      </c>
      <c r="G43" s="44"/>
      <c r="H43" s="19"/>
      <c r="I43" t="s" s="58">
        <v>145</v>
      </c>
    </row>
    <row r="44">
      <c r="B44" t="s" s="41">
        <v>40</v>
      </c>
      <c r="C44" s="42">
        <v>695.3</v>
      </c>
      <c r="D44" s="42">
        <v>667</v>
      </c>
      <c r="E44" s="42">
        <v>485.7</v>
      </c>
      <c r="F44" s="42">
        <v>466.7</v>
      </c>
      <c r="G44" t="s" s="41">
        <v>89</v>
      </c>
      <c r="H44" t="s" s="11">
        <v>127</v>
      </c>
      <c r="I44" t="s" s="57">
        <v>161</v>
      </c>
    </row>
    <row r="45">
      <c r="B45" t="s" s="44">
        <v>41</v>
      </c>
      <c r="C45" s="45">
        <f>C43+C44</f>
        <v>1632.1</v>
      </c>
      <c r="D45" s="45">
        <f>D43+D44</f>
        <v>1902.3</v>
      </c>
      <c r="E45" s="45">
        <f>E43+E44</f>
        <v>2200.6</v>
      </c>
      <c r="F45" s="45">
        <f>F43+F44</f>
        <v>2253.7</v>
      </c>
      <c r="G45" s="44"/>
      <c r="H45" s="19"/>
      <c r="I45" s="58"/>
    </row>
    <row r="46">
      <c r="B46" t="s" s="48">
        <v>42</v>
      </c>
      <c r="C46" s="49">
        <f>C21-C45</f>
        <v>0</v>
      </c>
      <c r="D46" s="49">
        <f>D21-D45</f>
        <v>0</v>
      </c>
      <c r="E46" s="49">
        <f>E21-E45</f>
        <v>0</v>
      </c>
      <c r="F46" s="49">
        <f>F21-F45</f>
        <v>0</v>
      </c>
      <c r="G46" s="48"/>
      <c r="H46" s="20"/>
      <c r="I46" s="20"/>
    </row>
    <row r="47">
      <c r="B47" t="s" s="41">
        <v>43</v>
      </c>
      <c r="C47" s="43"/>
      <c r="D47" s="43"/>
      <c r="E47" s="43"/>
      <c r="F47" s="43"/>
      <c r="G47" t="s" s="41">
        <v>640</v>
      </c>
      <c r="H47" t="s" s="11">
        <v>128</v>
      </c>
      <c r="I47" t="s" s="57">
        <v>501</v>
      </c>
    </row>
    <row r="48">
      <c r="B48" s="41"/>
      <c r="C48" s="43"/>
      <c r="D48" s="43"/>
      <c r="E48" s="43"/>
      <c r="F48" s="43"/>
      <c r="G48" s="41"/>
      <c r="H48" s="11"/>
      <c r="I48" s="57"/>
    </row>
    <row r="49">
      <c r="B49" t="s" s="50">
        <v>44</v>
      </c>
      <c r="C49" s="51"/>
      <c r="D49" s="51"/>
      <c r="E49" s="51"/>
      <c r="F49" s="51"/>
      <c r="G49" s="50"/>
      <c r="H49" s="21"/>
      <c r="I49" s="59"/>
    </row>
    <row r="50">
      <c r="B50" t="s" s="38">
        <v>45</v>
      </c>
      <c r="C50" s="39">
        <f>DATE(2023,12,31)</f>
        <v>45291</v>
      </c>
      <c r="D50" s="39">
        <f>DATE(2024,12,31)</f>
        <v>45657</v>
      </c>
      <c r="E50" s="39">
        <f>DATE(2025,12,31)</f>
        <v>46022</v>
      </c>
      <c r="F50" s="39">
        <f>DATE(2026,3,31)</f>
        <v>46112</v>
      </c>
      <c r="G50" s="40"/>
      <c r="H50" s="22"/>
      <c r="I50" s="60"/>
    </row>
    <row r="51">
      <c r="B51" t="s" s="41">
        <v>5</v>
      </c>
      <c r="C51" s="43">
        <f>C8</f>
        <v>22.6</v>
      </c>
      <c r="D51" s="43">
        <f>D8</f>
        <v>27.9</v>
      </c>
      <c r="E51" s="43">
        <f>E8</f>
        <v>34.2</v>
      </c>
      <c r="F51" s="43">
        <f>F8</f>
        <v>35.1</v>
      </c>
      <c r="G51" s="41"/>
      <c r="H51" s="11"/>
      <c r="I51" s="57"/>
    </row>
    <row r="52">
      <c r="B52" t="s" s="41">
        <v>9</v>
      </c>
      <c r="C52" s="43">
        <f>C12</f>
        <v>8.1</v>
      </c>
      <c r="D52" s="43">
        <f>D12</f>
        <v>9.8</v>
      </c>
      <c r="E52" s="43">
        <f>E12</f>
        <v>12.4</v>
      </c>
      <c r="F52" s="43">
        <f>F12</f>
        <v>13</v>
      </c>
      <c r="G52" s="41"/>
      <c r="H52" s="11"/>
      <c r="I52" s="57"/>
    </row>
    <row r="53">
      <c r="B53" t="s" s="41">
        <v>46</v>
      </c>
      <c r="C53" s="43">
        <f>-C24</f>
        <v>-22.588648648648647</v>
      </c>
      <c r="D53" s="43">
        <f>-D24</f>
        <v>-31.9</v>
      </c>
      <c r="E53" s="43">
        <f>-E24</f>
        <v>-38.7</v>
      </c>
      <c r="F53" s="43">
        <f>-F24</f>
        <v>-39.5</v>
      </c>
      <c r="G53" s="41"/>
      <c r="H53" s="11"/>
      <c r="I53" s="57"/>
    </row>
    <row r="54">
      <c r="B54" t="s" s="41">
        <v>29</v>
      </c>
      <c r="C54" s="43">
        <f>-C33</f>
        <v>-7.6</v>
      </c>
      <c r="D54" s="43">
        <f>-D33</f>
        <v>-9.3</v>
      </c>
      <c r="E54" s="43">
        <f>-E33</f>
        <v>-11.2</v>
      </c>
      <c r="F54" s="43">
        <f>-F33</f>
        <v>-11.6</v>
      </c>
      <c r="G54" s="41"/>
      <c r="H54" s="11"/>
      <c r="I54" s="57"/>
    </row>
    <row r="55">
      <c r="B55" t="s" s="41">
        <v>47</v>
      </c>
      <c r="C55" s="43">
        <f>-C35</f>
        <v>-9.234210526315788</v>
      </c>
      <c r="D55" s="43">
        <f>-D35</f>
        <v>-11.6</v>
      </c>
      <c r="E55" s="43">
        <f>-E35</f>
        <v>-13.8</v>
      </c>
      <c r="F55" s="43">
        <f>-F35</f>
        <v>-14.1</v>
      </c>
      <c r="G55" s="41"/>
      <c r="H55" s="11"/>
      <c r="I55" s="57"/>
    </row>
    <row r="56">
      <c r="B56" t="s" s="44">
        <v>48</v>
      </c>
      <c r="C56" s="45">
        <f>SUM(C51:C55)</f>
        <v>-8.722859174964432</v>
      </c>
      <c r="D56" s="45">
        <f>SUM(D51:D55)</f>
        <v>-15.099999999999996</v>
      </c>
      <c r="E56" s="45">
        <f>SUM(E51:E55)</f>
        <v>-17.1</v>
      </c>
      <c r="F56" s="45">
        <f>SUM(F51:F55)</f>
        <v>-17.099999999999998</v>
      </c>
      <c r="G56" s="44"/>
      <c r="H56" s="19"/>
      <c r="I56" t="s" s="58">
        <v>163</v>
      </c>
    </row>
    <row r="57">
      <c r="B57" s="41"/>
      <c r="C57" s="43"/>
      <c r="D57" s="43"/>
      <c r="E57" s="43"/>
      <c r="F57" s="43"/>
      <c r="G57" s="41"/>
      <c r="H57" s="11"/>
      <c r="I57" s="57"/>
    </row>
    <row r="58">
      <c r="B58" t="s" s="50">
        <v>49</v>
      </c>
      <c r="C58" s="51"/>
      <c r="D58" s="51"/>
      <c r="E58" s="51"/>
      <c r="F58" s="51"/>
      <c r="G58" s="50"/>
      <c r="H58" s="21"/>
      <c r="I58" s="59"/>
    </row>
    <row r="59">
      <c r="B59" t="s" s="38">
        <v>45</v>
      </c>
      <c r="C59" s="52"/>
      <c r="D59" s="39">
        <f>DATE(2024,12,31)</f>
        <v>45657</v>
      </c>
      <c r="E59" s="39">
        <f>DATE(2025,12,31)</f>
        <v>46022</v>
      </c>
      <c r="F59" s="39">
        <f>DATE(2026,3,31)</f>
        <v>46112</v>
      </c>
      <c r="G59" s="40"/>
      <c r="H59" s="22"/>
      <c r="I59" s="60"/>
    </row>
    <row r="60">
      <c r="B60" t="s" s="41">
        <v>50</v>
      </c>
      <c r="C60" s="43"/>
      <c r="D60" s="43">
        <f>D9</f>
        <v>26.2</v>
      </c>
      <c r="E60" s="43">
        <f>E9</f>
        <v>31.6</v>
      </c>
      <c r="F60" s="43">
        <f>F9</f>
        <v>32.4</v>
      </c>
      <c r="G60" s="41"/>
      <c r="H60" s="11"/>
      <c r="I60" s="57"/>
    </row>
    <row r="61">
      <c r="B61" t="s" s="41">
        <v>51</v>
      </c>
      <c r="C61" s="43"/>
      <c r="D61" s="43">
        <f>D13</f>
        <v>7.1</v>
      </c>
      <c r="E61" s="43">
        <f>E13</f>
        <v>8.4</v>
      </c>
      <c r="F61" s="43">
        <f>F13</f>
        <v>8.9</v>
      </c>
      <c r="G61" s="41"/>
      <c r="H61" s="11"/>
      <c r="I61" s="57"/>
    </row>
    <row r="62">
      <c r="B62" t="s" s="41">
        <v>52</v>
      </c>
      <c r="C62" s="43"/>
      <c r="D62" s="43">
        <f>-D24</f>
        <v>-31.9</v>
      </c>
      <c r="E62" s="43">
        <f>-E24</f>
        <v>-38.7</v>
      </c>
      <c r="F62" s="43">
        <f>-F24</f>
        <v>-39.5</v>
      </c>
      <c r="G62" s="41"/>
      <c r="H62" s="11"/>
      <c r="I62" s="57"/>
    </row>
    <row r="63">
      <c r="B63" t="s" s="41">
        <v>53</v>
      </c>
      <c r="C63" s="43"/>
      <c r="D63" s="43">
        <f>-D35</f>
        <v>-11.6</v>
      </c>
      <c r="E63" s="43">
        <f>-E35</f>
        <v>-13.8</v>
      </c>
      <c r="F63" s="43">
        <f>-F35</f>
        <v>-14.1</v>
      </c>
      <c r="G63" s="41"/>
      <c r="H63" s="11"/>
      <c r="I63" s="57"/>
    </row>
    <row r="64">
      <c r="B64" t="s" s="44">
        <v>54</v>
      </c>
      <c r="C64" s="45"/>
      <c r="D64" s="45">
        <f>SUM(D60:D63)</f>
        <v>-10.200000000000001</v>
      </c>
      <c r="E64" s="45">
        <f>SUM(E60:E63)</f>
        <v>-12.500000000000004</v>
      </c>
      <c r="F64" s="45">
        <f>SUM(F60:F63)</f>
        <v>-12.300000000000002</v>
      </c>
      <c r="G64" s="44"/>
      <c r="H64" s="19"/>
      <c r="I64" s="58"/>
    </row>
    <row r="65">
      <c r="B65" t="s" s="41">
        <v>55</v>
      </c>
      <c r="C65" s="43"/>
      <c r="D65" s="42">
        <v>-10.2</v>
      </c>
      <c r="E65" s="42">
        <v>-12.5</v>
      </c>
      <c r="F65" s="42">
        <v>-12.3</v>
      </c>
      <c r="G65" s="41"/>
      <c r="H65" s="11"/>
      <c r="I65" t="s" s="57">
        <v>164</v>
      </c>
    </row>
    <row r="66">
      <c r="B66" t="s" s="48">
        <v>56</v>
      </c>
      <c r="C66" s="49"/>
      <c r="D66" s="49">
        <f>D64-D65</f>
        <v>0</v>
      </c>
      <c r="E66" s="49">
        <f>E64-E65</f>
        <v>0</v>
      </c>
      <c r="F66" s="49">
        <f>F64-F65</f>
        <v>0</v>
      </c>
      <c r="G66" s="48"/>
      <c r="H66" s="20"/>
      <c r="I66" s="20"/>
    </row>
    <row r="67">
      <c r="B67" t="s" s="41">
        <v>57</v>
      </c>
      <c r="C67" s="43"/>
      <c r="D67" s="43">
        <f>-D33</f>
        <v>-9.3</v>
      </c>
      <c r="E67" s="43">
        <f>-E33</f>
        <v>-11.2</v>
      </c>
      <c r="F67" s="43">
        <f>-F33</f>
        <v>-11.6</v>
      </c>
      <c r="G67" s="41"/>
      <c r="H67" s="11"/>
      <c r="I67" s="57"/>
    </row>
    <row r="68">
      <c r="B68" t="s" s="41">
        <v>58</v>
      </c>
      <c r="C68" s="43"/>
      <c r="D68" s="43">
        <f>-D37</f>
        <v>-8</v>
      </c>
      <c r="E68" s="43">
        <f>-E37</f>
        <v>-9.4</v>
      </c>
      <c r="F68" s="43">
        <f>-F37</f>
        <v>-9.6</v>
      </c>
      <c r="G68" s="41"/>
      <c r="H68" s="11"/>
      <c r="I68" s="57"/>
    </row>
    <row r="69">
      <c r="B69" t="s" s="44">
        <v>59</v>
      </c>
      <c r="C69" s="45"/>
      <c r="D69" s="45">
        <f>D64+D67+D68</f>
        <v>-27.5</v>
      </c>
      <c r="E69" s="45">
        <f>E64+E67+E68</f>
        <v>-33.1</v>
      </c>
      <c r="F69" s="45">
        <f>F64+F67+F68</f>
        <v>-33.5</v>
      </c>
      <c r="G69" s="44"/>
      <c r="H69" s="19"/>
      <c r="I69" t="str" s="58">
        <f>"The QoE's numbers do not follow its own definition: "&amp;TEXT(-(E69-E65),"0.0")&amp;" lower at 12/31/25 once both lines go in"</f>
        <v>The QoE's numbers do not follow its own definition: 20.6 lower at 12/31/25 once both lines go in</v>
      </c>
    </row>
    <row r="70">
      <c r="B70" t="s" s="41">
        <v>645</v>
      </c>
      <c r="C70" s="43"/>
      <c r="D70" s="43">
        <f>-D68</f>
        <v>8</v>
      </c>
      <c r="E70" s="43">
        <f>-E68</f>
        <v>9.4</v>
      </c>
      <c r="F70" s="43">
        <f>-F68</f>
        <v>9.6</v>
      </c>
      <c r="G70" s="41"/>
      <c r="H70" s="11"/>
      <c r="I70" s="57"/>
    </row>
    <row r="71">
      <c r="B71" t="s" s="41">
        <v>61</v>
      </c>
      <c r="C71" s="43"/>
      <c r="D71" s="43">
        <f>D10</f>
        <v>1.6999999999999993</v>
      </c>
      <c r="E71" s="43">
        <f>E10</f>
        <v>2.6000000000000014</v>
      </c>
      <c r="F71" s="43">
        <f>F10</f>
        <v>2.700000000000003</v>
      </c>
      <c r="G71" s="41"/>
      <c r="H71" s="11"/>
      <c r="I71" s="57"/>
    </row>
    <row r="72">
      <c r="B72" t="s" s="41">
        <v>62</v>
      </c>
      <c r="C72" s="43"/>
      <c r="D72" s="43">
        <f>D14</f>
        <v>2.700000000000001</v>
      </c>
      <c r="E72" s="43">
        <f>E14</f>
        <v>4</v>
      </c>
      <c r="F72" s="43">
        <f>F14</f>
        <v>4.1</v>
      </c>
      <c r="G72" s="41"/>
      <c r="H72" s="11"/>
      <c r="I72" s="57"/>
    </row>
    <row r="73">
      <c r="B73" t="s" s="44">
        <v>63</v>
      </c>
      <c r="C73" s="45"/>
      <c r="D73" s="45">
        <f>D69+SUM(D70:D72)</f>
        <v>-15.1</v>
      </c>
      <c r="E73" s="45">
        <f>E69+SUM(E70:E72)</f>
        <v>-17.1</v>
      </c>
      <c r="F73" s="45">
        <f>F69+SUM(F70:F72)</f>
        <v>-17.099999999999998</v>
      </c>
      <c r="G73" s="44"/>
      <c r="H73" s="19"/>
      <c r="I73" s="58"/>
    </row>
    <row r="74">
      <c r="B74" t="s" s="48">
        <v>64</v>
      </c>
      <c r="C74" s="49"/>
      <c r="D74" s="49">
        <f>D73-D56</f>
        <v>0</v>
      </c>
      <c r="E74" s="49">
        <f>E73-E56</f>
        <v>0</v>
      </c>
      <c r="F74" s="49">
        <f>F73-F56</f>
        <v>0</v>
      </c>
      <c r="G74" s="48"/>
      <c r="H74" s="20"/>
      <c r="I74" s="20"/>
    </row>
    <row r="75">
      <c r="B75" s="41"/>
      <c r="C75" s="43"/>
      <c r="D75" s="43"/>
      <c r="E75" s="43"/>
      <c r="F75" s="43"/>
      <c r="G75" s="41"/>
      <c r="H75" s="11"/>
      <c r="I75" s="57"/>
    </row>
    <row r="76">
      <c r="B76" t="s" s="41">
        <v>65</v>
      </c>
      <c r="C76" s="43"/>
      <c r="D76" s="43"/>
      <c r="E76" s="43">
        <f>AVERAGE(D65:F65)</f>
        <v>-11.666666666666666</v>
      </c>
      <c r="F76" s="43"/>
      <c r="G76" s="41"/>
      <c r="H76" s="11"/>
      <c r="I76" s="57"/>
    </row>
    <row r="77">
      <c r="B77" t="s" s="41">
        <v>66</v>
      </c>
      <c r="C77" s="43"/>
      <c r="D77" s="43"/>
      <c r="E77" s="42">
        <v>-11.8</v>
      </c>
      <c r="F77" s="43"/>
      <c r="G77" s="41"/>
      <c r="H77" s="11"/>
      <c r="I77" t="s" s="57">
        <v>166</v>
      </c>
    </row>
    <row r="78">
      <c r="B78" t="s" s="41">
        <v>67</v>
      </c>
      <c r="C78" s="43"/>
      <c r="D78" s="43"/>
      <c r="E78" s="43">
        <f>E77-E76</f>
        <v>-0.13333333333333464</v>
      </c>
      <c r="F78" s="43"/>
      <c r="G78" s="41"/>
      <c r="H78" s="11"/>
      <c r="I78" t="s" s="57">
        <v>167</v>
      </c>
    </row>
    <row r="79">
      <c r="B79" s="41"/>
      <c r="C79" s="43"/>
      <c r="D79" s="43"/>
      <c r="E79" s="43"/>
      <c r="F79" s="43"/>
      <c r="G79" s="41"/>
      <c r="H79" s="11"/>
      <c r="I79" s="57"/>
    </row>
    <row r="80">
      <c r="B80" t="s" s="50">
        <v>68</v>
      </c>
      <c r="C80" s="51"/>
      <c r="D80" s="51"/>
      <c r="E80" s="51"/>
      <c r="F80" s="51"/>
      <c r="G80" s="50"/>
      <c r="H80" s="21"/>
      <c r="I80" s="59"/>
    </row>
    <row r="81">
      <c r="B81" t="s" s="38">
        <v>45</v>
      </c>
      <c r="C81" s="52"/>
      <c r="D81" s="52"/>
      <c r="E81" s="39">
        <f>DATE(2025,12,31)</f>
        <v>46022</v>
      </c>
      <c r="F81" s="52"/>
      <c r="G81" s="40"/>
      <c r="H81" s="22"/>
      <c r="I81" s="60"/>
    </row>
    <row r="82">
      <c r="B82" t="s" s="41">
        <v>69</v>
      </c>
      <c r="C82" s="43"/>
      <c r="D82" s="43"/>
      <c r="E82" s="43">
        <f>E23</f>
        <v>96.3</v>
      </c>
      <c r="F82" s="43"/>
      <c r="G82" s="41"/>
      <c r="H82" s="11"/>
      <c r="I82" s="57"/>
    </row>
    <row r="83">
      <c r="B83" t="s" s="41">
        <v>70</v>
      </c>
      <c r="C83" s="43"/>
      <c r="D83" s="43"/>
      <c r="E83" s="43">
        <f>-E24</f>
        <v>-38.7</v>
      </c>
      <c r="F83" s="43"/>
      <c r="G83" s="41"/>
      <c r="H83" s="11"/>
      <c r="I83" s="57"/>
    </row>
    <row r="84">
      <c r="B84" t="s" s="44">
        <v>21</v>
      </c>
      <c r="C84" s="45"/>
      <c r="D84" s="45"/>
      <c r="E84" s="45">
        <f>E82+E83</f>
        <v>57.599999999999994</v>
      </c>
      <c r="F84" s="45"/>
      <c r="G84" s="44"/>
      <c r="H84" s="19"/>
      <c r="I84" s="58"/>
    </row>
    <row r="85">
      <c r="B85" t="s" s="55">
        <v>646</v>
      </c>
      <c r="C85" s="43"/>
      <c r="D85" s="43"/>
      <c r="E85" s="43">
        <f>E26</f>
        <v>11.4</v>
      </c>
      <c r="F85" s="43"/>
      <c r="G85" s="41"/>
      <c r="H85" s="11"/>
      <c r="I85" s="57"/>
    </row>
    <row r="86">
      <c r="B86" t="s" s="55">
        <v>647</v>
      </c>
      <c r="C86" s="43"/>
      <c r="D86" s="43"/>
      <c r="E86" s="43">
        <f>E27</f>
        <v>1.2</v>
      </c>
      <c r="F86" s="43"/>
      <c r="G86" s="41"/>
      <c r="H86" s="11"/>
      <c r="I86" s="57"/>
    </row>
    <row r="87">
      <c r="B87" t="s" s="55">
        <v>648</v>
      </c>
      <c r="C87" s="43"/>
      <c r="D87" s="43"/>
      <c r="E87" s="43">
        <f>E28</f>
        <v>0.3</v>
      </c>
      <c r="F87" s="43"/>
      <c r="G87" s="41"/>
      <c r="H87" s="11"/>
      <c r="I87" s="57"/>
    </row>
    <row r="88">
      <c r="B88" t="s" s="44">
        <v>649</v>
      </c>
      <c r="C88" s="45"/>
      <c r="D88" s="45"/>
      <c r="E88" s="45">
        <f>SUM(E85:E87)</f>
        <v>12.9</v>
      </c>
      <c r="F88" s="45"/>
      <c r="G88" s="44"/>
      <c r="H88" s="19"/>
      <c r="I88" s="58"/>
    </row>
    <row r="89">
      <c r="B89" t="s" s="44">
        <v>650</v>
      </c>
      <c r="C89" s="45"/>
      <c r="D89" s="45"/>
      <c r="E89" s="45">
        <f>E84-E88</f>
        <v>44.699999999999996</v>
      </c>
      <c r="F89" s="45"/>
      <c r="G89" s="44"/>
      <c r="H89" s="19"/>
      <c r="I89" s="58"/>
    </row>
    <row r="90">
      <c r="B90" t="s" s="55">
        <v>76</v>
      </c>
      <c r="C90" s="43"/>
      <c r="D90" s="43"/>
      <c r="E90" s="43">
        <f>E29</f>
        <v>9.4</v>
      </c>
      <c r="F90" s="43"/>
      <c r="G90" s="41"/>
      <c r="H90" s="11"/>
      <c r="I90" t="s" s="57">
        <v>168</v>
      </c>
    </row>
    <row r="91">
      <c r="B91" t="s" s="55">
        <v>77</v>
      </c>
      <c r="C91" s="43"/>
      <c r="D91" s="43"/>
      <c r="E91" s="43">
        <f>E30</f>
        <v>1.2</v>
      </c>
      <c r="F91" s="43"/>
      <c r="G91" s="41"/>
      <c r="H91" s="11"/>
      <c r="I91" s="57"/>
    </row>
    <row r="92">
      <c r="B92" t="s" s="55">
        <v>78</v>
      </c>
      <c r="C92" s="43"/>
      <c r="D92" s="43"/>
      <c r="E92" s="43">
        <f>E31</f>
        <v>0</v>
      </c>
      <c r="F92" s="43"/>
      <c r="G92" s="41"/>
      <c r="H92" s="11"/>
      <c r="I92" s="57"/>
    </row>
    <row r="93">
      <c r="B93" t="s" s="55">
        <v>79</v>
      </c>
      <c r="C93" s="43"/>
      <c r="D93" s="43"/>
      <c r="E93" s="43">
        <f>E32</f>
        <v>34.099999999999994</v>
      </c>
      <c r="F93" s="43"/>
      <c r="G93" s="41"/>
      <c r="H93" s="11"/>
      <c r="I93" s="57"/>
    </row>
    <row r="94">
      <c r="B94" t="s" s="48">
        <v>80</v>
      </c>
      <c r="C94" s="49"/>
      <c r="D94" s="49"/>
      <c r="E94" s="49">
        <f>E89-SUM(E90:E93)</f>
        <v>0</v>
      </c>
      <c r="F94" s="49"/>
      <c r="G94" s="48"/>
      <c r="H94" s="20"/>
      <c r="I94" s="20"/>
    </row>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82"/>
  <sheetViews>
    <sheetView showGridLines="0" workbookViewId="0">
      <pane xSplit="2" ySplit="7" topLeftCell="C8" activePane="bottomRight" state="frozen"/>
      <selection pane="topRight" activeCell="C1" sqref="C1"/>
      <selection pane="bottomLeft" activeCell="A8" sqref="A8"/>
      <selection pane="bottomRight" activeCell="A1" sqref="A1"/>
    </sheetView>
  </sheetViews>
  <cols>
    <col min="1" max="1" width="2.359375" customWidth="1"/>
    <col min="2" max="2" width="71.7890625" customWidth="1"/>
    <col min="3" max="18" width="11.07421875" customWidth="1"/>
    <col min="19" max="19" width="74.21875" customWidth="1"/>
  </cols>
  <sheetData>
    <row r="2">
      <c r="B2" t="s" s="2">
        <v>169</v>
      </c>
    </row>
    <row r="3">
      <c r="B3" t="s" s="4">
        <v>170</v>
      </c>
    </row>
    <row r="4">
      <c r="B4" t="s" s="4">
        <v>171</v>
      </c>
    </row>
    <row r="6">
      <c r="B6" t="s" s="15">
        <v>172</v>
      </c>
      <c r="C6" s="61">
        <f>DATE(2024,12,31)</f>
        <v>45657</v>
      </c>
      <c r="D6" s="26">
        <f>EOMONTH(C6,1)</f>
        <v>45688</v>
      </c>
      <c r="E6" s="26">
        <f>EOMONTH(D6,1)</f>
        <v>45716</v>
      </c>
      <c r="F6" s="26">
        <f>EOMONTH(E6,1)</f>
        <v>45747</v>
      </c>
      <c r="G6" s="26">
        <f>EOMONTH(F6,1)</f>
        <v>45777</v>
      </c>
      <c r="H6" s="26">
        <f>EOMONTH(G6,1)</f>
        <v>45808</v>
      </c>
      <c r="I6" s="26">
        <f>EOMONTH(H6,1)</f>
        <v>45838</v>
      </c>
      <c r="J6" s="26">
        <f>EOMONTH(I6,1)</f>
        <v>45869</v>
      </c>
      <c r="K6" s="26">
        <f>EOMONTH(J6,1)</f>
        <v>45900</v>
      </c>
      <c r="L6" s="26">
        <f>EOMONTH(K6,1)</f>
        <v>45930</v>
      </c>
      <c r="M6" s="26">
        <f>EOMONTH(L6,1)</f>
        <v>45961</v>
      </c>
      <c r="N6" s="26">
        <f>EOMONTH(M6,1)</f>
        <v>45991</v>
      </c>
      <c r="O6" s="61">
        <f>EOMONTH(N6,1)</f>
        <v>46022</v>
      </c>
      <c r="P6" s="26">
        <f>EOMONTH(O6,1)</f>
        <v>46053</v>
      </c>
      <c r="Q6" s="26">
        <f>EOMONTH(P6,1)</f>
        <v>46081</v>
      </c>
      <c r="R6" s="61">
        <f>EOMONTH(Q6,1)</f>
        <v>46112</v>
      </c>
      <c r="S6" t="s" s="66">
        <v>229</v>
      </c>
    </row>
    <row r="7">
      <c r="B7" t="s" s="15">
        <v>173</v>
      </c>
      <c r="C7" t="s" s="63">
        <v>227</v>
      </c>
      <c r="D7" t="s" s="64">
        <v>228</v>
      </c>
      <c r="E7" t="s" s="64">
        <v>228</v>
      </c>
      <c r="F7" t="s" s="64">
        <v>228</v>
      </c>
      <c r="G7" t="s" s="64">
        <v>228</v>
      </c>
      <c r="H7" t="s" s="64">
        <v>228</v>
      </c>
      <c r="I7" t="s" s="64">
        <v>228</v>
      </c>
      <c r="J7" t="s" s="64">
        <v>228</v>
      </c>
      <c r="K7" t="s" s="64">
        <v>228</v>
      </c>
      <c r="L7" t="s" s="64">
        <v>228</v>
      </c>
      <c r="M7" t="s" s="64">
        <v>228</v>
      </c>
      <c r="N7" t="s" s="64">
        <v>228</v>
      </c>
      <c r="O7" t="s" s="63">
        <v>227</v>
      </c>
      <c r="P7" t="s" s="64">
        <v>228</v>
      </c>
      <c r="Q7" t="s" s="64">
        <v>228</v>
      </c>
      <c r="R7" t="s" s="63">
        <v>227</v>
      </c>
      <c r="S7" s="66"/>
    </row>
    <row r="8">
      <c r="B8" t="s">
        <v>652</v>
      </c>
      <c r="C8" s="23">
        <f>COLUMN(C8)-COLUMN($C$8)</f>
        <v>0</v>
      </c>
      <c r="D8" s="23">
        <f>COLUMN(D8)-COLUMN($C$8)</f>
        <v>1</v>
      </c>
      <c r="E8" s="23">
        <f>COLUMN(E8)-COLUMN($C$8)</f>
        <v>2</v>
      </c>
      <c r="F8" s="23">
        <f>COLUMN(F8)-COLUMN($C$8)</f>
        <v>3</v>
      </c>
      <c r="G8" s="23">
        <f>COLUMN(G8)-COLUMN($C$8)</f>
        <v>4</v>
      </c>
      <c r="H8" s="23">
        <f>COLUMN(H8)-COLUMN($C$8)</f>
        <v>5</v>
      </c>
      <c r="I8" s="23">
        <f>COLUMN(I8)-COLUMN($C$8)</f>
        <v>6</v>
      </c>
      <c r="J8" s="23">
        <f>COLUMN(J8)-COLUMN($C$8)</f>
        <v>7</v>
      </c>
      <c r="K8" s="23">
        <f>COLUMN(K8)-COLUMN($C$8)</f>
        <v>8</v>
      </c>
      <c r="L8" s="23">
        <f>COLUMN(L8)-COLUMN($C$8)</f>
        <v>9</v>
      </c>
      <c r="M8" s="23">
        <f>COLUMN(M8)-COLUMN($C$8)</f>
        <v>10</v>
      </c>
      <c r="N8" s="23">
        <f>COLUMN(N8)-COLUMN($C$8)</f>
        <v>11</v>
      </c>
      <c r="O8" s="23">
        <f>COLUMN(O8)-COLUMN($C$8)</f>
        <v>12</v>
      </c>
      <c r="P8" s="23">
        <f>COLUMN(P8)-COLUMN($C$8)</f>
        <v>13</v>
      </c>
      <c r="Q8" s="23">
        <f>COLUMN(Q8)-COLUMN($C$8)</f>
        <v>14</v>
      </c>
      <c r="R8" s="23">
        <f>COLUMN(R8)-COLUMN($C$8)</f>
        <v>15</v>
      </c>
      <c r="S8" s="67"/>
    </row>
    <row r="9">
      <c r="S9" s="67"/>
    </row>
    <row r="10">
      <c r="B10" t="s" s="5">
        <v>175</v>
      </c>
      <c r="C10" s="5"/>
      <c r="D10" s="5"/>
      <c r="E10" s="5"/>
      <c r="F10" s="5"/>
      <c r="G10" s="5"/>
      <c r="H10" s="5"/>
      <c r="I10" s="5"/>
      <c r="J10" s="5"/>
      <c r="K10" s="5"/>
      <c r="L10" s="5"/>
      <c r="M10" s="5"/>
      <c r="N10" s="5"/>
      <c r="O10" s="5"/>
      <c r="P10" s="5"/>
      <c r="Q10" s="5"/>
      <c r="R10" s="5"/>
      <c r="S10" s="68"/>
    </row>
    <row r="11">
      <c r="B11" t="s">
        <v>176</v>
      </c>
      <c r="C11" s="23">
        <f>DAY(C6)</f>
        <v>31</v>
      </c>
      <c r="D11" s="23">
        <f>DAY(D6)</f>
        <v>31</v>
      </c>
      <c r="E11" s="23">
        <f>DAY(E6)</f>
        <v>28</v>
      </c>
      <c r="F11" s="23">
        <f>DAY(F6)</f>
        <v>31</v>
      </c>
      <c r="G11" s="23">
        <f>DAY(G6)</f>
        <v>30</v>
      </c>
      <c r="H11" s="23">
        <f>DAY(H6)</f>
        <v>31</v>
      </c>
      <c r="I11" s="23">
        <f>DAY(I6)</f>
        <v>30</v>
      </c>
      <c r="J11" s="23">
        <f>DAY(J6)</f>
        <v>31</v>
      </c>
      <c r="K11" s="23">
        <f>DAY(K6)</f>
        <v>31</v>
      </c>
      <c r="L11" s="23">
        <f>DAY(L6)</f>
        <v>30</v>
      </c>
      <c r="M11" s="23">
        <f>DAY(M6)</f>
        <v>31</v>
      </c>
      <c r="N11" s="23">
        <f>DAY(N6)</f>
        <v>30</v>
      </c>
      <c r="O11" s="23">
        <f>DAY(O6)</f>
        <v>31</v>
      </c>
      <c r="P11" s="23">
        <f>DAY(P6)</f>
        <v>31</v>
      </c>
      <c r="Q11" s="23">
        <f>DAY(Q6)</f>
        <v>28</v>
      </c>
      <c r="R11" s="23">
        <f>DAY(R6)</f>
        <v>31</v>
      </c>
      <c r="S11" t="s" s="67">
        <v>145</v>
      </c>
    </row>
    <row r="12">
      <c r="B12" t="s">
        <v>177</v>
      </c>
      <c r="C12" s="17">
        <f>D12</f>
        <v>31</v>
      </c>
      <c r="D12" s="12">
        <v>31</v>
      </c>
      <c r="E12" s="12">
        <v>31.2</v>
      </c>
      <c r="F12" s="12">
        <v>31.95</v>
      </c>
      <c r="G12" s="12">
        <v>32.86</v>
      </c>
      <c r="H12" s="12">
        <v>33.94</v>
      </c>
      <c r="I12" s="12">
        <v>35.7</v>
      </c>
      <c r="J12" s="12">
        <v>37.32</v>
      </c>
      <c r="K12" s="12">
        <v>37.4</v>
      </c>
      <c r="L12" s="12">
        <v>36.22</v>
      </c>
      <c r="M12" s="12">
        <v>35.18</v>
      </c>
      <c r="N12" s="12">
        <v>34.52</v>
      </c>
      <c r="O12" s="12">
        <v>34.71</v>
      </c>
      <c r="P12" s="1">
        <f>$C$26/3</f>
        <v>37.666666666666664</v>
      </c>
      <c r="Q12" s="1">
        <f>$C$26/3</f>
        <v>37.666666666666664</v>
      </c>
      <c r="R12" s="1">
        <f>$C$26/3</f>
        <v>37.666666666666664</v>
      </c>
      <c r="S12" t="s" s="67">
        <v>230</v>
      </c>
    </row>
    <row r="13">
      <c r="B13" t="s">
        <v>178</v>
      </c>
      <c r="C13" s="17">
        <f>D13</f>
        <v>5.61</v>
      </c>
      <c r="D13" s="12">
        <v>5.61</v>
      </c>
      <c r="E13" s="12">
        <v>5.47</v>
      </c>
      <c r="F13" s="12">
        <v>5.9</v>
      </c>
      <c r="G13" s="12">
        <v>6.46</v>
      </c>
      <c r="H13" s="12">
        <v>7.16</v>
      </c>
      <c r="I13" s="12">
        <v>8.56</v>
      </c>
      <c r="J13" s="12">
        <v>9.82</v>
      </c>
      <c r="K13" s="12">
        <v>9.54</v>
      </c>
      <c r="L13" s="12">
        <v>8</v>
      </c>
      <c r="M13" s="12">
        <v>6.6</v>
      </c>
      <c r="N13" s="12">
        <v>5.61</v>
      </c>
      <c r="O13" s="12">
        <v>5.47</v>
      </c>
      <c r="P13" s="17">
        <f>P14</f>
        <v>7.850197</v>
      </c>
      <c r="Q13" s="17">
        <f>Q14</f>
        <v>7.868228</v>
      </c>
      <c r="R13" s="17">
        <f>R14</f>
        <v>7.881575</v>
      </c>
      <c r="S13" t="s" s="67">
        <v>231</v>
      </c>
    </row>
    <row r="14">
      <c r="B14" t="s">
        <v>179</v>
      </c>
      <c r="C14" s="17">
        <f>D14</f>
        <v>6.82718</v>
      </c>
      <c r="D14" s="12">
        <v>6.82718</v>
      </c>
      <c r="E14" s="12">
        <v>6.873968</v>
      </c>
      <c r="F14" s="12">
        <v>6.890524</v>
      </c>
      <c r="G14" s="12">
        <v>6.900696</v>
      </c>
      <c r="H14" s="12">
        <v>6.951192</v>
      </c>
      <c r="I14" s="12">
        <v>7.166642</v>
      </c>
      <c r="J14" s="12">
        <v>7.195128</v>
      </c>
      <c r="K14" s="12">
        <v>7.234111</v>
      </c>
      <c r="L14" s="12">
        <v>7.066149</v>
      </c>
      <c r="M14" s="12">
        <v>6.987296</v>
      </c>
      <c r="N14" s="12">
        <v>7.033785</v>
      </c>
      <c r="O14" s="12">
        <v>7.073329</v>
      </c>
      <c r="P14" s="12">
        <v>7.850197</v>
      </c>
      <c r="Q14" s="12">
        <v>7.868228</v>
      </c>
      <c r="R14" s="12">
        <v>7.881575</v>
      </c>
      <c r="S14" t="s" s="67">
        <v>232</v>
      </c>
    </row>
    <row r="15">
      <c r="B15" t="s">
        <v>180</v>
      </c>
      <c r="C15" s="17">
        <f>D15</f>
        <v>10.73</v>
      </c>
      <c r="D15" s="12">
        <v>10.73</v>
      </c>
      <c r="E15" s="12">
        <v>10.72</v>
      </c>
      <c r="F15" s="12">
        <v>11.08</v>
      </c>
      <c r="G15" s="12">
        <v>11.52</v>
      </c>
      <c r="H15" s="12">
        <v>12.07</v>
      </c>
      <c r="I15" s="12">
        <v>13.07</v>
      </c>
      <c r="J15" s="12">
        <v>13.98</v>
      </c>
      <c r="K15" s="12">
        <v>13.88</v>
      </c>
      <c r="L15" s="12">
        <v>12.95</v>
      </c>
      <c r="M15" s="12">
        <v>12.11</v>
      </c>
      <c r="N15" s="12">
        <v>11.55</v>
      </c>
      <c r="O15" s="12">
        <v>11.54</v>
      </c>
      <c r="P15" s="1">
        <f>$C$27/3</f>
        <v>13.299999999999999</v>
      </c>
      <c r="Q15" s="1">
        <f>$C$27/3</f>
        <v>13.299999999999999</v>
      </c>
      <c r="R15" s="1">
        <f>$C$27/3</f>
        <v>13.299999999999999</v>
      </c>
      <c r="S15" t="s" s="67">
        <v>233</v>
      </c>
    </row>
    <row r="16">
      <c r="B16" t="s">
        <v>181</v>
      </c>
      <c r="C16" s="17">
        <f>D16</f>
        <v>1.64</v>
      </c>
      <c r="D16" s="12">
        <v>1.64</v>
      </c>
      <c r="E16" s="12">
        <v>1.64</v>
      </c>
      <c r="F16" s="12">
        <v>1.64</v>
      </c>
      <c r="G16" s="12">
        <v>1.64</v>
      </c>
      <c r="H16" s="12">
        <v>1.63</v>
      </c>
      <c r="I16" s="12">
        <v>1.63</v>
      </c>
      <c r="J16" s="12">
        <v>1.63</v>
      </c>
      <c r="K16" s="12">
        <v>1.63</v>
      </c>
      <c r="L16" s="12">
        <v>1.63</v>
      </c>
      <c r="M16" s="12">
        <v>1.63</v>
      </c>
      <c r="N16" s="12">
        <v>1.63</v>
      </c>
      <c r="O16" s="12">
        <v>1.63</v>
      </c>
      <c r="P16" s="1">
        <f>$C$28/3</f>
        <v>1.8156666666666668</v>
      </c>
      <c r="Q16" s="1">
        <f>$C$28/3</f>
        <v>1.8156666666666668</v>
      </c>
      <c r="R16" s="1">
        <f>$C$28/3</f>
        <v>1.8156666666666668</v>
      </c>
      <c r="S16" t="s" s="67">
        <v>234</v>
      </c>
    </row>
    <row r="17">
      <c r="B17" t="s">
        <v>182</v>
      </c>
      <c r="C17" s="17">
        <f>D17</f>
        <v>2.76</v>
      </c>
      <c r="D17" s="12">
        <v>2.76</v>
      </c>
      <c r="E17" s="12">
        <v>2.76</v>
      </c>
      <c r="F17" s="12">
        <v>2.76</v>
      </c>
      <c r="G17" s="12">
        <v>2.76</v>
      </c>
      <c r="H17" s="12">
        <v>2.76</v>
      </c>
      <c r="I17" s="12">
        <v>2.76</v>
      </c>
      <c r="J17" s="12">
        <v>2.76</v>
      </c>
      <c r="K17" s="12">
        <v>2.75</v>
      </c>
      <c r="L17" s="12">
        <v>2.75</v>
      </c>
      <c r="M17" s="12">
        <v>2.9</v>
      </c>
      <c r="N17" s="12">
        <v>2.9</v>
      </c>
      <c r="O17" s="12">
        <v>3.18</v>
      </c>
      <c r="P17" s="1">
        <f>$C$29/3</f>
        <v>3.1</v>
      </c>
      <c r="Q17" s="1">
        <f>$C$29/3</f>
        <v>3.1</v>
      </c>
      <c r="R17" s="1">
        <f>$C$29/3</f>
        <v>3.1</v>
      </c>
      <c r="S17" t="s" s="67">
        <v>235</v>
      </c>
    </row>
    <row r="18">
      <c r="B18" t="s">
        <v>183</v>
      </c>
      <c r="C18" s="17">
        <f>D18</f>
        <v>0</v>
      </c>
      <c r="D18" s="12">
        <v>0</v>
      </c>
      <c r="E18" s="12">
        <v>0</v>
      </c>
      <c r="F18" s="12">
        <v>0</v>
      </c>
      <c r="G18" s="12">
        <v>0</v>
      </c>
      <c r="H18" s="12">
        <v>1.2</v>
      </c>
      <c r="I18" s="12">
        <v>0.96</v>
      </c>
      <c r="J18" s="12">
        <v>0</v>
      </c>
      <c r="K18" s="12">
        <v>0</v>
      </c>
      <c r="L18" s="12">
        <v>0.72</v>
      </c>
      <c r="M18" s="12">
        <v>0</v>
      </c>
      <c r="N18" s="12">
        <v>0.72</v>
      </c>
      <c r="O18" s="12">
        <v>1.2</v>
      </c>
      <c r="P18" s="1">
        <f>$C$30/3</f>
        <v>0.5666666666666667</v>
      </c>
      <c r="Q18" s="1">
        <f>$C$30/3</f>
        <v>0.5666666666666667</v>
      </c>
      <c r="R18" s="1">
        <f>$C$30/3</f>
        <v>0.5666666666666667</v>
      </c>
      <c r="S18" t="s" s="67">
        <v>236</v>
      </c>
    </row>
    <row r="19">
      <c r="B19" t="s">
        <v>184</v>
      </c>
      <c r="C19" s="1">
        <f>$C$33/12</f>
        <v>0.9416666666666668</v>
      </c>
      <c r="D19" s="1">
        <f>$C$31/12</f>
        <v>1.25</v>
      </c>
      <c r="E19" s="1">
        <f>$C$31/12</f>
        <v>1.25</v>
      </c>
      <c r="F19" s="1">
        <f>$C$31/12</f>
        <v>1.25</v>
      </c>
      <c r="G19" s="1">
        <f>$C$31/12</f>
        <v>1.25</v>
      </c>
      <c r="H19" s="1">
        <f>$C$31/12</f>
        <v>1.25</v>
      </c>
      <c r="I19" s="1">
        <f>$C$31/12</f>
        <v>1.25</v>
      </c>
      <c r="J19" s="1">
        <f>$C$31/12</f>
        <v>1.25</v>
      </c>
      <c r="K19" s="1">
        <f>$C$31/12</f>
        <v>1.25</v>
      </c>
      <c r="L19" s="1">
        <f>$C$31/12</f>
        <v>1.25</v>
      </c>
      <c r="M19" s="1">
        <f>$C$31/12</f>
        <v>1.25</v>
      </c>
      <c r="N19" s="1">
        <f>$C$31/12</f>
        <v>1.25</v>
      </c>
      <c r="O19" s="1">
        <f>$C$31/12</f>
        <v>1.25</v>
      </c>
      <c r="P19" s="1">
        <f>$C$32/12</f>
        <v>1.425</v>
      </c>
      <c r="Q19" s="1">
        <f>$C$32/12</f>
        <v>1.425</v>
      </c>
      <c r="R19" s="1">
        <f>$C$32/12</f>
        <v>1.425</v>
      </c>
      <c r="S19" t="s" s="67">
        <v>237</v>
      </c>
    </row>
    <row r="20">
      <c r="B20" t="s">
        <v>185</v>
      </c>
      <c r="C20" s="17">
        <f>D20</f>
        <v>16.311839</v>
      </c>
      <c r="D20" s="12">
        <v>16.311839</v>
      </c>
      <c r="E20" s="12">
        <v>17.063161</v>
      </c>
      <c r="F20" s="12">
        <v>18.130128</v>
      </c>
      <c r="G20" s="12">
        <v>23.108163</v>
      </c>
      <c r="H20" s="12">
        <v>11.747649</v>
      </c>
      <c r="I20" s="12">
        <v>21.3282</v>
      </c>
      <c r="J20" s="12">
        <v>18.491105</v>
      </c>
      <c r="K20" s="12">
        <v>15.230782</v>
      </c>
      <c r="L20" s="12">
        <v>21.00154</v>
      </c>
      <c r="M20" s="12">
        <v>13.694836</v>
      </c>
      <c r="N20" s="12">
        <v>13.931943</v>
      </c>
      <c r="O20" s="12">
        <v>16.495504</v>
      </c>
      <c r="P20" s="12">
        <v>15.608535</v>
      </c>
      <c r="Q20" s="12">
        <v>23.36718</v>
      </c>
      <c r="R20" s="12">
        <v>24.194263</v>
      </c>
      <c r="S20" t="s" s="67">
        <v>238</v>
      </c>
    </row>
    <row r="21">
      <c r="B21" t="s">
        <v>186</v>
      </c>
      <c r="C21" s="1">
        <f>C15+C17</f>
        <v>13.49</v>
      </c>
      <c r="D21" s="1">
        <f>D15+D17</f>
        <v>13.49</v>
      </c>
      <c r="E21" s="1">
        <f>E15+E17</f>
        <v>13.48</v>
      </c>
      <c r="F21" s="1">
        <f>F15+F17</f>
        <v>13.84</v>
      </c>
      <c r="G21" s="1">
        <f>G15+G17</f>
        <v>14.28</v>
      </c>
      <c r="H21" s="1">
        <f>H15+H17</f>
        <v>14.83</v>
      </c>
      <c r="I21" s="1">
        <f>I15+I17</f>
        <v>15.83</v>
      </c>
      <c r="J21" s="1">
        <f>J15+J17</f>
        <v>16.740000000000002</v>
      </c>
      <c r="K21" s="1">
        <f>K15+K17</f>
        <v>16.630000000000003</v>
      </c>
      <c r="L21" s="1">
        <f>L15+L17</f>
        <v>15.7</v>
      </c>
      <c r="M21" s="1">
        <f>M15+M17</f>
        <v>15.01</v>
      </c>
      <c r="N21" s="1">
        <f>N15+N17</f>
        <v>14.450000000000001</v>
      </c>
      <c r="O21" s="1">
        <f>O15+O17</f>
        <v>14.719999999999999</v>
      </c>
      <c r="P21" s="1">
        <f>P15+P17</f>
        <v>16.4</v>
      </c>
      <c r="Q21" s="1">
        <f>Q15+Q17</f>
        <v>16.4</v>
      </c>
      <c r="R21" s="1">
        <f>R15+R17</f>
        <v>16.4</v>
      </c>
      <c r="S21" t="s" s="67">
        <v>145</v>
      </c>
    </row>
    <row r="22">
      <c r="B22" t="s">
        <v>187</v>
      </c>
      <c r="C22" s="1">
        <f>SUM(C15:C17)</f>
        <v>15.13</v>
      </c>
      <c r="D22" s="1">
        <f>SUM(D15:D17)</f>
        <v>15.13</v>
      </c>
      <c r="E22" s="1">
        <f>SUM(E15:E17)</f>
        <v>15.120000000000001</v>
      </c>
      <c r="F22" s="1">
        <f>SUM(F15:F17)</f>
        <v>15.48</v>
      </c>
      <c r="G22" s="1">
        <f>SUM(G15:G17)</f>
        <v>15.92</v>
      </c>
      <c r="H22" s="1">
        <f>SUM(H15:H17)</f>
        <v>16.46</v>
      </c>
      <c r="I22" s="1">
        <f>SUM(I15:I17)</f>
        <v>17.46</v>
      </c>
      <c r="J22" s="1">
        <f>SUM(J15:J17)</f>
        <v>18.369999999999997</v>
      </c>
      <c r="K22" s="1">
        <f>SUM(K15:K17)</f>
        <v>18.26</v>
      </c>
      <c r="L22" s="1">
        <f>SUM(L15:L17)</f>
        <v>17.33</v>
      </c>
      <c r="M22" s="1">
        <f>SUM(M15:M17)</f>
        <v>16.639999999999997</v>
      </c>
      <c r="N22" s="1">
        <f>SUM(N15:N17)</f>
        <v>16.08</v>
      </c>
      <c r="O22" s="1">
        <f>SUM(O15:O17)</f>
        <v>16.349999999999998</v>
      </c>
      <c r="P22" s="1">
        <f>SUM(P15:P17)</f>
        <v>18.215666666666667</v>
      </c>
      <c r="Q22" s="1">
        <f>SUM(Q15:Q17)</f>
        <v>18.215666666666667</v>
      </c>
      <c r="R22" s="1">
        <f>SUM(R15:R17)</f>
        <v>18.215666666666667</v>
      </c>
      <c r="S22" t="s" s="67">
        <v>145</v>
      </c>
    </row>
    <row r="23">
      <c r="S23" s="67"/>
    </row>
    <row r="24">
      <c r="B24" t="s" s="6">
        <v>188</v>
      </c>
      <c r="C24" s="6"/>
      <c r="D24" s="6"/>
      <c r="E24" s="6"/>
      <c r="F24" s="6"/>
      <c r="G24" s="6"/>
      <c r="H24" s="6"/>
      <c r="I24" s="6"/>
      <c r="J24" s="6"/>
      <c r="K24" s="6"/>
      <c r="L24" s="6"/>
      <c r="M24" s="6"/>
      <c r="N24" s="6"/>
      <c r="O24" s="6"/>
      <c r="P24" s="6"/>
      <c r="Q24" s="6"/>
      <c r="R24" s="6"/>
      <c r="S24" s="69"/>
    </row>
    <row r="25">
      <c r="S25" s="67"/>
    </row>
    <row r="26">
      <c r="B26" t="s">
        <v>189</v>
      </c>
      <c r="C26" s="12">
        <v>113</v>
      </c>
      <c r="S26" t="s" s="67">
        <v>239</v>
      </c>
    </row>
    <row r="27">
      <c r="B27" t="s">
        <v>190</v>
      </c>
      <c r="C27" s="12">
        <v>39.9</v>
      </c>
      <c r="S27" t="s" s="67">
        <v>240</v>
      </c>
    </row>
    <row r="28">
      <c r="B28" t="s">
        <v>191</v>
      </c>
      <c r="C28" s="12">
        <v>5.447</v>
      </c>
      <c r="S28" t="s" s="67">
        <v>241</v>
      </c>
    </row>
    <row r="29">
      <c r="B29" t="s">
        <v>192</v>
      </c>
      <c r="C29" s="12">
        <v>9.3</v>
      </c>
      <c r="S29" t="s" s="67">
        <v>242</v>
      </c>
    </row>
    <row r="30">
      <c r="B30" t="s">
        <v>193</v>
      </c>
      <c r="C30" s="12">
        <v>1.7</v>
      </c>
      <c r="S30" t="s" s="67">
        <v>243</v>
      </c>
    </row>
    <row r="31">
      <c r="B31" t="s">
        <v>194</v>
      </c>
      <c r="C31" s="12">
        <v>15</v>
      </c>
      <c r="S31" t="s" s="67">
        <v>244</v>
      </c>
    </row>
    <row r="32">
      <c r="B32" t="s">
        <v>195</v>
      </c>
      <c r="C32" s="12">
        <v>17.1</v>
      </c>
      <c r="S32" t="s" s="67">
        <v>245</v>
      </c>
    </row>
    <row r="33">
      <c r="B33" t="s">
        <v>196</v>
      </c>
      <c r="C33" s="12">
        <v>11.3</v>
      </c>
      <c r="S33" t="s" s="67">
        <v>246</v>
      </c>
    </row>
    <row r="34">
      <c r="B34" t="s">
        <v>197</v>
      </c>
      <c r="C34" s="12">
        <v>9.4</v>
      </c>
      <c r="S34" t="s" s="67">
        <v>149</v>
      </c>
    </row>
    <row r="35">
      <c r="B35" t="s">
        <v>198</v>
      </c>
      <c r="C35" s="17">
        <f>C34*C37/C36</f>
        <v>10.359183673469389</v>
      </c>
      <c r="S35" t="s" s="67">
        <v>247</v>
      </c>
    </row>
    <row r="36">
      <c r="B36" t="s">
        <v>199</v>
      </c>
      <c r="C36" s="12">
        <v>4.9</v>
      </c>
      <c r="S36" t="s" s="67">
        <v>248</v>
      </c>
    </row>
    <row r="37">
      <c r="B37" t="s">
        <v>200</v>
      </c>
      <c r="C37" s="12">
        <v>5.4</v>
      </c>
      <c r="S37" t="s" s="67">
        <v>249</v>
      </c>
    </row>
    <row r="38">
      <c r="B38" t="s">
        <v>201</v>
      </c>
      <c r="C38" s="17">
        <f>C34*C39/C40</f>
        <v>7.4696428571428575</v>
      </c>
      <c r="S38" t="s" s="67">
        <v>250</v>
      </c>
    </row>
    <row r="39">
      <c r="B39" t="s">
        <v>202</v>
      </c>
      <c r="C39" s="12">
        <v>178</v>
      </c>
      <c r="S39" t="s" s="67">
        <v>251</v>
      </c>
    </row>
    <row r="40">
      <c r="B40" t="s">
        <v>203</v>
      </c>
      <c r="C40" s="12">
        <v>224</v>
      </c>
      <c r="S40" t="s" s="67">
        <v>252</v>
      </c>
    </row>
    <row r="41">
      <c r="S41" s="67"/>
    </row>
    <row r="42">
      <c r="B42" t="s" s="6">
        <v>204</v>
      </c>
      <c r="C42" s="6"/>
      <c r="D42" s="6"/>
      <c r="E42" s="6"/>
      <c r="F42" s="6"/>
      <c r="G42" s="6"/>
      <c r="H42" s="6"/>
      <c r="I42" s="6"/>
      <c r="J42" s="6"/>
      <c r="K42" s="6"/>
      <c r="L42" s="6"/>
      <c r="M42" s="6"/>
      <c r="N42" s="6"/>
      <c r="O42" s="6"/>
      <c r="P42" s="6"/>
      <c r="Q42" s="6"/>
      <c r="R42" s="6"/>
      <c r="S42" s="69"/>
    </row>
    <row r="43">
      <c r="B43" t="s">
        <v>5</v>
      </c>
      <c r="C43" s="1">
        <f>Definition!D8</f>
        <v>27.9</v>
      </c>
      <c r="D43" s="1"/>
      <c r="E43" s="1"/>
      <c r="F43" s="1"/>
      <c r="G43" s="1"/>
      <c r="H43" s="1"/>
      <c r="I43" s="1"/>
      <c r="J43" s="1"/>
      <c r="K43" s="1"/>
      <c r="L43" s="1"/>
      <c r="M43" s="1"/>
      <c r="N43" s="1"/>
      <c r="O43" s="1">
        <f>Definition!E8</f>
        <v>34.2</v>
      </c>
      <c r="P43" s="1"/>
      <c r="Q43" s="1"/>
      <c r="R43" s="1">
        <f>Definition!F8</f>
        <v>35.1</v>
      </c>
      <c r="S43" t="s" s="67">
        <v>253</v>
      </c>
    </row>
    <row r="44">
      <c r="B44" t="s">
        <v>9</v>
      </c>
      <c r="C44" s="1">
        <f>Definition!D12</f>
        <v>9.8</v>
      </c>
      <c r="D44" s="1"/>
      <c r="E44" s="1"/>
      <c r="F44" s="1"/>
      <c r="G44" s="1"/>
      <c r="H44" s="1"/>
      <c r="I44" s="1"/>
      <c r="J44" s="1"/>
      <c r="K44" s="1"/>
      <c r="L44" s="1"/>
      <c r="M44" s="1"/>
      <c r="N44" s="1"/>
      <c r="O44" s="1">
        <f>Definition!E12</f>
        <v>12.4</v>
      </c>
      <c r="P44" s="1"/>
      <c r="Q44" s="1"/>
      <c r="R44" s="1">
        <f>Definition!F12</f>
        <v>13</v>
      </c>
      <c r="S44" s="67"/>
    </row>
    <row r="45">
      <c r="B45" t="s">
        <v>46</v>
      </c>
      <c r="C45" s="1">
        <f>Definition!D24</f>
        <v>31.9</v>
      </c>
      <c r="D45" s="1"/>
      <c r="E45" s="1"/>
      <c r="F45" s="1"/>
      <c r="G45" s="1"/>
      <c r="H45" s="1"/>
      <c r="I45" s="1"/>
      <c r="J45" s="1"/>
      <c r="K45" s="1"/>
      <c r="L45" s="1"/>
      <c r="M45" s="1"/>
      <c r="N45" s="1"/>
      <c r="O45" s="1">
        <f>Definition!E24</f>
        <v>38.7</v>
      </c>
      <c r="P45" s="1"/>
      <c r="Q45" s="1"/>
      <c r="R45" s="1">
        <f>Definition!F24</f>
        <v>39.5</v>
      </c>
      <c r="S45" s="67"/>
    </row>
    <row r="46">
      <c r="B46" t="s">
        <v>29</v>
      </c>
      <c r="C46" s="1">
        <f>Definition!D33</f>
        <v>9.3</v>
      </c>
      <c r="D46" s="1"/>
      <c r="E46" s="1"/>
      <c r="F46" s="1"/>
      <c r="G46" s="1"/>
      <c r="H46" s="1"/>
      <c r="I46" s="1"/>
      <c r="J46" s="1"/>
      <c r="K46" s="1"/>
      <c r="L46" s="1"/>
      <c r="M46" s="1"/>
      <c r="N46" s="1"/>
      <c r="O46" s="1">
        <f>Definition!E33</f>
        <v>11.2</v>
      </c>
      <c r="P46" s="1"/>
      <c r="Q46" s="1"/>
      <c r="R46" s="1">
        <f>Definition!F33</f>
        <v>11.6</v>
      </c>
      <c r="S46" s="67"/>
    </row>
    <row r="47">
      <c r="B47" t="s">
        <v>47</v>
      </c>
      <c r="C47" s="1">
        <f>Definition!D35</f>
        <v>11.6</v>
      </c>
      <c r="D47" s="1"/>
      <c r="E47" s="1"/>
      <c r="F47" s="1"/>
      <c r="G47" s="1"/>
      <c r="H47" s="1"/>
      <c r="I47" s="1"/>
      <c r="J47" s="1"/>
      <c r="K47" s="1"/>
      <c r="L47" s="1"/>
      <c r="M47" s="1"/>
      <c r="N47" s="1"/>
      <c r="O47" s="1">
        <f>Definition!E35</f>
        <v>13.8</v>
      </c>
      <c r="P47" s="1"/>
      <c r="Q47" s="1"/>
      <c r="R47" s="1">
        <f>Definition!F35</f>
        <v>14.1</v>
      </c>
      <c r="S47" s="67"/>
    </row>
    <row r="48">
      <c r="B48" t="s">
        <v>205</v>
      </c>
      <c r="C48" s="1">
        <f>Definition!D56</f>
        <v>-15.099999999999996</v>
      </c>
      <c r="D48" s="1"/>
      <c r="E48" s="1"/>
      <c r="F48" s="1"/>
      <c r="G48" s="1"/>
      <c r="H48" s="1"/>
      <c r="I48" s="1"/>
      <c r="J48" s="1"/>
      <c r="K48" s="1"/>
      <c r="L48" s="1"/>
      <c r="M48" s="1"/>
      <c r="N48" s="1"/>
      <c r="O48" s="1">
        <f>Definition!E56</f>
        <v>-17.1</v>
      </c>
      <c r="P48" s="1"/>
      <c r="Q48" s="1"/>
      <c r="R48" s="1">
        <f>Definition!F56</f>
        <v>-17.099999999999998</v>
      </c>
      <c r="S48" s="67"/>
    </row>
    <row r="49">
      <c r="S49" s="67"/>
    </row>
    <row r="50">
      <c r="B50" t="s" s="5">
        <v>206</v>
      </c>
      <c r="C50" s="5"/>
      <c r="D50" s="5"/>
      <c r="E50" s="5"/>
      <c r="F50" s="5"/>
      <c r="G50" s="5"/>
      <c r="H50" s="5"/>
      <c r="I50" s="5"/>
      <c r="J50" s="5"/>
      <c r="K50" s="5"/>
      <c r="L50" s="5"/>
      <c r="M50" s="5"/>
      <c r="N50" s="5"/>
      <c r="O50" s="5"/>
      <c r="P50" s="5"/>
      <c r="Q50" s="5"/>
      <c r="R50" s="5"/>
      <c r="S50" s="68"/>
    </row>
    <row r="51">
      <c r="B51" t="s">
        <v>207</v>
      </c>
      <c r="C51" s="1">
        <f>C43-C20</f>
        <v>11.588161</v>
      </c>
      <c r="D51" s="1"/>
      <c r="E51" s="1"/>
      <c r="F51" s="1"/>
      <c r="G51" s="1"/>
      <c r="H51" s="1"/>
      <c r="I51" s="1"/>
      <c r="J51" s="1"/>
      <c r="K51" s="1"/>
      <c r="L51" s="1"/>
      <c r="M51" s="1"/>
      <c r="N51" s="1"/>
      <c r="O51" s="1">
        <f>O43-O20</f>
        <v>17.704496000000002</v>
      </c>
      <c r="P51" s="1"/>
      <c r="Q51" s="1"/>
      <c r="R51" s="1">
        <f>R43-R20</f>
        <v>10.905737000000002</v>
      </c>
      <c r="S51" t="s" s="67">
        <v>254</v>
      </c>
    </row>
    <row r="52">
      <c r="B52" t="s" s="65">
        <v>208</v>
      </c>
      <c r="C52" s="1">
        <f>IF(C$8&lt;=$O$8,$C51+($O51-$C51)*C$8/$O$8,$O51+($R51-$O51)*(C$8-$O$8)/($R$8-$O$8))</f>
        <v>11.588161</v>
      </c>
      <c r="D52" s="1">
        <f>IF(D$8&lt;=$O$8,$C51+($O51-$C51)*D$8/$O$8,$O51+($R51-$O51)*(D$8-$O$8)/($R$8-$O$8))</f>
        <v>12.097855583333333</v>
      </c>
      <c r="E52" s="1">
        <f>IF(E$8&lt;=$O$8,$C51+($O51-$C51)*E$8/$O$8,$O51+($R51-$O51)*(E$8-$O$8)/($R$8-$O$8))</f>
        <v>12.607550166666666</v>
      </c>
      <c r="F52" s="1">
        <f>IF(F$8&lt;=$O$8,$C51+($O51-$C51)*F$8/$O$8,$O51+($R51-$O51)*(F$8-$O$8)/($R$8-$O$8))</f>
        <v>13.117244750000001</v>
      </c>
      <c r="G52" s="1">
        <f>IF(G$8&lt;=$O$8,$C51+($O51-$C51)*G$8/$O$8,$O51+($R51-$O51)*(G$8-$O$8)/($R$8-$O$8))</f>
        <v>13.626939333333334</v>
      </c>
      <c r="H52" s="1">
        <f>IF(H$8&lt;=$O$8,$C51+($O51-$C51)*H$8/$O$8,$O51+($R51-$O51)*(H$8-$O$8)/($R$8-$O$8))</f>
        <v>14.136633916666668</v>
      </c>
      <c r="I52" s="1">
        <f>IF(I$8&lt;=$O$8,$C51+($O51-$C51)*I$8/$O$8,$O51+($R51-$O51)*(I$8-$O$8)/($R$8-$O$8))</f>
        <v>14.646328500000001</v>
      </c>
      <c r="J52" s="1">
        <f>IF(J$8&lt;=$O$8,$C51+($O51-$C51)*J$8/$O$8,$O51+($R51-$O51)*(J$8-$O$8)/($R$8-$O$8))</f>
        <v>15.156023083333334</v>
      </c>
      <c r="K52" s="1">
        <f>IF(K$8&lt;=$O$8,$C51+($O51-$C51)*K$8/$O$8,$O51+($R51-$O51)*(K$8-$O$8)/($R$8-$O$8))</f>
        <v>15.66571766666667</v>
      </c>
      <c r="L52" s="1">
        <f>IF(L$8&lt;=$O$8,$C51+($O51-$C51)*L$8/$O$8,$O51+($R51-$O51)*(L$8-$O$8)/($R$8-$O$8))</f>
        <v>16.17541225</v>
      </c>
      <c r="M52" s="1">
        <f>IF(M$8&lt;=$O$8,$C51+($O51-$C51)*M$8/$O$8,$O51+($R51-$O51)*(M$8-$O$8)/($R$8-$O$8))</f>
        <v>16.685106833333336</v>
      </c>
      <c r="N52" s="1">
        <f>IF(N$8&lt;=$O$8,$C51+($O51-$C51)*N$8/$O$8,$O51+($R51-$O51)*(N$8-$O$8)/($R$8-$O$8))</f>
        <v>17.194801416666667</v>
      </c>
      <c r="O52" s="1">
        <f>IF(O$8&lt;=$O$8,$C51+($O51-$C51)*O$8/$O$8,$O51+($R51-$O51)*(O$8-$O$8)/($R$8-$O$8))</f>
        <v>17.704496000000002</v>
      </c>
      <c r="P52" s="1">
        <f>IF(P$8&lt;=$O$8,$C51+($O51-$C51)*P$8/$O$8,$O51+($R51-$O51)*(P$8-$O$8)/($R$8-$O$8))</f>
        <v>15.438243000000002</v>
      </c>
      <c r="Q52" s="1">
        <f>IF(Q$8&lt;=$O$8,$C51+($O51-$C51)*Q$8/$O$8,$O51+($R51-$O51)*(Q$8-$O$8)/($R$8-$O$8))</f>
        <v>13.171990000000001</v>
      </c>
      <c r="R52" s="1">
        <f>IF(R$8&lt;=$O$8,$C51+($O51-$C51)*R$8/$O$8,$O51+($R51-$O51)*(R$8-$O$8)/($R$8-$O$8))</f>
        <v>10.905737000000002</v>
      </c>
      <c r="S52" t="s" s="67">
        <v>255</v>
      </c>
    </row>
    <row r="53">
      <c r="B53" t="s">
        <v>209</v>
      </c>
      <c r="C53" s="24">
        <f>C44/C22</f>
        <v>0.6477197620621282</v>
      </c>
      <c r="D53" s="24"/>
      <c r="E53" s="24"/>
      <c r="F53" s="24"/>
      <c r="G53" s="24"/>
      <c r="H53" s="24"/>
      <c r="I53" s="24"/>
      <c r="J53" s="24"/>
      <c r="K53" s="24"/>
      <c r="L53" s="24"/>
      <c r="M53" s="24"/>
      <c r="N53" s="24"/>
      <c r="O53" s="24">
        <f>O44/O22</f>
        <v>0.7584097859327218</v>
      </c>
      <c r="P53" s="24"/>
      <c r="Q53" s="24"/>
      <c r="R53" s="24">
        <f>R44/R22</f>
        <v>0.7136713817775907</v>
      </c>
      <c r="S53" t="s" s="67">
        <v>256</v>
      </c>
    </row>
    <row r="54">
      <c r="B54" t="s" s="65">
        <v>208</v>
      </c>
      <c r="C54" s="24">
        <f>IF(C$8&lt;=$O$8,$C53+($O53-$C53)*C$8/$O$8,$O53+($R53-$O53)*(C$8-$O$8)/($R$8-$O$8))</f>
        <v>0.6477197620621282</v>
      </c>
      <c r="D54" s="24">
        <f>IF(D$8&lt;=$O$8,$C53+($O53-$C53)*D$8/$O$8,$O53+($R53-$O53)*(D$8-$O$8)/($R$8-$O$8))</f>
        <v>0.656943930718011</v>
      </c>
      <c r="E54" s="24">
        <f>IF(E$8&lt;=$O$8,$C53+($O53-$C53)*E$8/$O$8,$O53+($R53-$O53)*(E$8-$O$8)/($R$8-$O$8))</f>
        <v>0.6661680993738939</v>
      </c>
      <c r="F54" s="24">
        <f>IF(F$8&lt;=$O$8,$C53+($O53-$C53)*F$8/$O$8,$O53+($R53-$O53)*(F$8-$O$8)/($R$8-$O$8))</f>
        <v>0.6753922680297766</v>
      </c>
      <c r="G54" s="24">
        <f>IF(G$8&lt;=$O$8,$C53+($O53-$C53)*G$8/$O$8,$O53+($R53-$O53)*(G$8-$O$8)/($R$8-$O$8))</f>
        <v>0.6846164366856594</v>
      </c>
      <c r="H54" s="24">
        <f>IF(H$8&lt;=$O$8,$C53+($O53-$C53)*H$8/$O$8,$O53+($R53-$O53)*(H$8-$O$8)/($R$8-$O$8))</f>
        <v>0.6938406053415422</v>
      </c>
      <c r="I54" s="24">
        <f>IF(I$8&lt;=$O$8,$C53+($O53-$C53)*I$8/$O$8,$O53+($R53-$O53)*(I$8-$O$8)/($R$8-$O$8))</f>
        <v>0.703064773997425</v>
      </c>
      <c r="J54" s="24">
        <f>IF(J$8&lt;=$O$8,$C53+($O53-$C53)*J$8/$O$8,$O53+($R53-$O53)*(J$8-$O$8)/($R$8-$O$8))</f>
        <v>0.7122889426533078</v>
      </c>
      <c r="K54" s="24">
        <f>IF(K$8&lt;=$O$8,$C53+($O53-$C53)*K$8/$O$8,$O53+($R53-$O53)*(K$8-$O$8)/($R$8-$O$8))</f>
        <v>0.7215131113091906</v>
      </c>
      <c r="L54" s="24">
        <f>IF(L$8&lt;=$O$8,$C53+($O53-$C53)*L$8/$O$8,$O53+($R53-$O53)*(L$8-$O$8)/($R$8-$O$8))</f>
        <v>0.7307372799650734</v>
      </c>
      <c r="M54" s="24">
        <f>IF(M$8&lt;=$O$8,$C53+($O53-$C53)*M$8/$O$8,$O53+($R53-$O53)*(M$8-$O$8)/($R$8-$O$8))</f>
        <v>0.7399614486209563</v>
      </c>
      <c r="N54" s="24">
        <f>IF(N$8&lt;=$O$8,$C53+($O53-$C53)*N$8/$O$8,$O53+($R53-$O53)*(N$8-$O$8)/($R$8-$O$8))</f>
        <v>0.749185617276839</v>
      </c>
      <c r="O54" s="24">
        <f>IF(O$8&lt;=$O$8,$C53+($O53-$C53)*O$8/$O$8,$O53+($R53-$O53)*(O$8-$O$8)/($R$8-$O$8))</f>
        <v>0.7584097859327218</v>
      </c>
      <c r="P54" s="24">
        <f>IF(P$8&lt;=$O$8,$C53+($O53-$C53)*P$8/$O$8,$O53+($R53-$O53)*(P$8-$O$8)/($R$8-$O$8))</f>
        <v>0.7434969845476781</v>
      </c>
      <c r="Q54" s="24">
        <f>IF(Q$8&lt;=$O$8,$C53+($O53-$C53)*Q$8/$O$8,$O53+($R53-$O53)*(Q$8-$O$8)/($R$8-$O$8))</f>
        <v>0.7285841831626344</v>
      </c>
      <c r="R54" s="24">
        <f>IF(R$8&lt;=$O$8,$C53+($O53-$C53)*R$8/$O$8,$O53+($R53-$O53)*(R$8-$O$8)/($R$8-$O$8))</f>
        <v>0.7136713817775907</v>
      </c>
      <c r="S54" t="s" s="67">
        <v>255</v>
      </c>
    </row>
    <row r="55">
      <c r="B55" t="s">
        <v>210</v>
      </c>
      <c r="C55" s="24">
        <f>C45/C21</f>
        <v>2.3647146034099333</v>
      </c>
      <c r="D55" s="24"/>
      <c r="E55" s="24"/>
      <c r="F55" s="24"/>
      <c r="G55" s="24"/>
      <c r="H55" s="24"/>
      <c r="I55" s="24"/>
      <c r="J55" s="24"/>
      <c r="K55" s="24"/>
      <c r="L55" s="24"/>
      <c r="M55" s="24"/>
      <c r="N55" s="24"/>
      <c r="O55" s="24">
        <f>O45/O21</f>
        <v>2.629076086956522</v>
      </c>
      <c r="P55" s="24"/>
      <c r="Q55" s="24"/>
      <c r="R55" s="24">
        <f>R45/R21</f>
        <v>2.408536585365854</v>
      </c>
      <c r="S55" t="s" s="67">
        <v>256</v>
      </c>
    </row>
    <row r="56">
      <c r="B56" t="s" s="65">
        <v>208</v>
      </c>
      <c r="C56" s="24">
        <f>IF(C$8&lt;=$O$8,$C55+($O55-$C55)*C$8/$O$8,$O55+($R55-$O55)*(C$8-$O$8)/($R$8-$O$8))</f>
        <v>2.3647146034099333</v>
      </c>
      <c r="D56" s="24">
        <f>IF(D$8&lt;=$O$8,$C55+($O55-$C55)*D$8/$O$8,$O55+($R55-$O55)*(D$8-$O$8)/($R$8-$O$8))</f>
        <v>2.3867447270388156</v>
      </c>
      <c r="E56" s="24">
        <f>IF(E$8&lt;=$O$8,$C55+($O55-$C55)*E$8/$O$8,$O55+($R55-$O55)*(E$8-$O$8)/($R$8-$O$8))</f>
        <v>2.4087748506676983</v>
      </c>
      <c r="F56" s="24">
        <f>IF(F$8&lt;=$O$8,$C55+($O55-$C55)*F$8/$O$8,$O55+($R55-$O55)*(F$8-$O$8)/($R$8-$O$8))</f>
        <v>2.4308049742965805</v>
      </c>
      <c r="G56" s="24">
        <f>IF(G$8&lt;=$O$8,$C55+($O55-$C55)*G$8/$O$8,$O55+($R55-$O55)*(G$8-$O$8)/($R$8-$O$8))</f>
        <v>2.4528350979254627</v>
      </c>
      <c r="H56" s="24">
        <f>IF(H$8&lt;=$O$8,$C55+($O55-$C55)*H$8/$O$8,$O55+($R55-$O55)*(H$8-$O$8)/($R$8-$O$8))</f>
        <v>2.4748652215543454</v>
      </c>
      <c r="I56" s="24">
        <f>IF(I$8&lt;=$O$8,$C55+($O55-$C55)*I$8/$O$8,$O55+($R55-$O55)*(I$8-$O$8)/($R$8-$O$8))</f>
        <v>2.4968953451832276</v>
      </c>
      <c r="J56" s="24">
        <f>IF(J$8&lt;=$O$8,$C55+($O55-$C55)*J$8/$O$8,$O55+($R55-$O55)*(J$8-$O$8)/($R$8-$O$8))</f>
        <v>2.51892546881211</v>
      </c>
      <c r="K56" s="24">
        <f>IF(K$8&lt;=$O$8,$C55+($O55-$C55)*K$8/$O$8,$O55+($R55-$O55)*(K$8-$O$8)/($R$8-$O$8))</f>
        <v>2.5409555924409926</v>
      </c>
      <c r="L56" s="24">
        <f>IF(L$8&lt;=$O$8,$C55+($O55-$C55)*L$8/$O$8,$O55+($R55-$O55)*(L$8-$O$8)/($R$8-$O$8))</f>
        <v>2.562985716069875</v>
      </c>
      <c r="M56" s="24">
        <f>IF(M$8&lt;=$O$8,$C55+($O55-$C55)*M$8/$O$8,$O55+($R55-$O55)*(M$8-$O$8)/($R$8-$O$8))</f>
        <v>2.585015839698757</v>
      </c>
      <c r="N56" s="24">
        <f>IF(N$8&lt;=$O$8,$C55+($O55-$C55)*N$8/$O$8,$O55+($R55-$O55)*(N$8-$O$8)/($R$8-$O$8))</f>
        <v>2.6070459633276397</v>
      </c>
      <c r="O56" s="24">
        <f>IF(O$8&lt;=$O$8,$C55+($O55-$C55)*O$8/$O$8,$O55+($R55-$O55)*(O$8-$O$8)/($R$8-$O$8))</f>
        <v>2.629076086956522</v>
      </c>
      <c r="P56" s="24">
        <f>IF(P$8&lt;=$O$8,$C55+($O55-$C55)*P$8/$O$8,$O55+($R55-$O55)*(P$8-$O$8)/($R$8-$O$8))</f>
        <v>2.5555629197596326</v>
      </c>
      <c r="Q56" s="24">
        <f>IF(Q$8&lt;=$O$8,$C55+($O55-$C55)*Q$8/$O$8,$O55+($R55-$O55)*(Q$8-$O$8)/($R$8-$O$8))</f>
        <v>2.482049752562743</v>
      </c>
      <c r="R56" s="24">
        <f>IF(R$8&lt;=$O$8,$C55+($O55-$C55)*R$8/$O$8,$O55+($R55-$O55)*(R$8-$O$8)/($R$8-$O$8))</f>
        <v>2.408536585365854</v>
      </c>
      <c r="S56" t="s" s="67">
        <v>255</v>
      </c>
    </row>
    <row r="57">
      <c r="B57" t="s">
        <v>211</v>
      </c>
      <c r="C57" s="24">
        <f>C47/C12</f>
        <v>0.3741935483870968</v>
      </c>
      <c r="D57" s="24"/>
      <c r="E57" s="24"/>
      <c r="F57" s="24"/>
      <c r="G57" s="24"/>
      <c r="H57" s="24"/>
      <c r="I57" s="24"/>
      <c r="J57" s="24"/>
      <c r="K57" s="24"/>
      <c r="L57" s="24"/>
      <c r="M57" s="24"/>
      <c r="N57" s="24"/>
      <c r="O57" s="24">
        <f>O47/O12</f>
        <v>0.3975799481417459</v>
      </c>
      <c r="P57" s="24"/>
      <c r="Q57" s="24"/>
      <c r="R57" s="24">
        <f>R47/R12</f>
        <v>0.3743362831858407</v>
      </c>
      <c r="S57" t="s" s="67">
        <v>257</v>
      </c>
    </row>
    <row r="58">
      <c r="B58" t="s" s="65">
        <v>208</v>
      </c>
      <c r="C58" s="24">
        <f>IF(C$8&lt;=$O$8,$C57+($O57-$C57)*C$8/$O$8,$O57+($R57-$O57)*(C$8-$O$8)/($R$8-$O$8))</f>
        <v>0.3741935483870968</v>
      </c>
      <c r="D58" s="24">
        <f>IF(D$8&lt;=$O$8,$C57+($O57-$C57)*D$8/$O$8,$O57+($R57-$O57)*(D$8-$O$8)/($R$8-$O$8))</f>
        <v>0.3761424150333175</v>
      </c>
      <c r="E58" s="24">
        <f>IF(E$8&lt;=$O$8,$C57+($O57-$C57)*E$8/$O$8,$O57+($R57-$O57)*(E$8-$O$8)/($R$8-$O$8))</f>
        <v>0.3780912816795383</v>
      </c>
      <c r="F58" s="24">
        <f>IF(F$8&lt;=$O$8,$C57+($O57-$C57)*F$8/$O$8,$O57+($R57-$O57)*(F$8-$O$8)/($R$8-$O$8))</f>
        <v>0.38004014832575905</v>
      </c>
      <c r="G58" s="24">
        <f>IF(G$8&lt;=$O$8,$C57+($O57-$C57)*G$8/$O$8,$O57+($R57-$O57)*(G$8-$O$8)/($R$8-$O$8))</f>
        <v>0.38198901497197985</v>
      </c>
      <c r="H58" s="24">
        <f>IF(H$8&lt;=$O$8,$C57+($O57-$C57)*H$8/$O$8,$O57+($R57-$O57)*(H$8-$O$8)/($R$8-$O$8))</f>
        <v>0.3839378816182006</v>
      </c>
      <c r="I58" s="24">
        <f>IF(I$8&lt;=$O$8,$C57+($O57-$C57)*I$8/$O$8,$O57+($R57-$O57)*(I$8-$O$8)/($R$8-$O$8))</f>
        <v>0.3858867482644214</v>
      </c>
      <c r="J58" s="24">
        <f>IF(J$8&lt;=$O$8,$C57+($O57-$C57)*J$8/$O$8,$O57+($R57-$O57)*(J$8-$O$8)/($R$8-$O$8))</f>
        <v>0.3878356149106421</v>
      </c>
      <c r="K58" s="24">
        <f>IF(K$8&lt;=$O$8,$C57+($O57-$C57)*K$8/$O$8,$O57+($R57-$O57)*(K$8-$O$8)/($R$8-$O$8))</f>
        <v>0.38978448155686285</v>
      </c>
      <c r="L58" s="24">
        <f>IF(L$8&lt;=$O$8,$C57+($O57-$C57)*L$8/$O$8,$O57+($R57-$O57)*(L$8-$O$8)/($R$8-$O$8))</f>
        <v>0.39173334820308364</v>
      </c>
      <c r="M58" s="24">
        <f>IF(M$8&lt;=$O$8,$C57+($O57-$C57)*M$8/$O$8,$O57+($R57-$O57)*(M$8-$O$8)/($R$8-$O$8))</f>
        <v>0.3936822148493044</v>
      </c>
      <c r="N58" s="24">
        <f>IF(N$8&lt;=$O$8,$C57+($O57-$C57)*N$8/$O$8,$O57+($R57-$O57)*(N$8-$O$8)/($R$8-$O$8))</f>
        <v>0.39563108149552517</v>
      </c>
      <c r="O58" s="24">
        <f>IF(O$8&lt;=$O$8,$C57+($O57-$C57)*O$8/$O$8,$O57+($R57-$O57)*(O$8-$O$8)/($R$8-$O$8))</f>
        <v>0.3975799481417459</v>
      </c>
      <c r="P58" s="24">
        <f>IF(P$8&lt;=$O$8,$C57+($O57-$C57)*P$8/$O$8,$O57+($R57-$O57)*(P$8-$O$8)/($R$8-$O$8))</f>
        <v>0.38983205982311087</v>
      </c>
      <c r="Q58" s="24">
        <f>IF(Q$8&lt;=$O$8,$C57+($O57-$C57)*Q$8/$O$8,$O57+($R57-$O57)*(Q$8-$O$8)/($R$8-$O$8))</f>
        <v>0.38208417150447577</v>
      </c>
      <c r="R58" s="24">
        <f>IF(R$8&lt;=$O$8,$C57+($O57-$C57)*R$8/$O$8,$O57+($R57-$O57)*(R$8-$O$8)/($R$8-$O$8))</f>
        <v>0.3743362831858407</v>
      </c>
      <c r="S58" t="s" s="67">
        <v>255</v>
      </c>
    </row>
    <row r="59">
      <c r="B59" t="s">
        <v>212</v>
      </c>
      <c r="C59" s="1"/>
      <c r="D59" s="17">
        <f>($C$46+SUM($D$19:$O$19)-$O$46)/12</f>
        <v>1.0916666666666668</v>
      </c>
      <c r="E59" s="17">
        <f>($C$46+SUM($D$19:$O$19)-$O$46)/12</f>
        <v>1.0916666666666668</v>
      </c>
      <c r="F59" s="17">
        <f>($C$46+SUM($D$19:$O$19)-$O$46)/12</f>
        <v>1.0916666666666668</v>
      </c>
      <c r="G59" s="17">
        <f>($C$46+SUM($D$19:$O$19)-$O$46)/12</f>
        <v>1.0916666666666668</v>
      </c>
      <c r="H59" s="17">
        <f>($C$46+SUM($D$19:$O$19)-$O$46)/12</f>
        <v>1.0916666666666668</v>
      </c>
      <c r="I59" s="17">
        <f>($C$46+SUM($D$19:$O$19)-$O$46)/12</f>
        <v>1.0916666666666668</v>
      </c>
      <c r="J59" s="17">
        <f>($C$46+SUM($D$19:$O$19)-$O$46)/12</f>
        <v>1.0916666666666668</v>
      </c>
      <c r="K59" s="17">
        <f>($C$46+SUM($D$19:$O$19)-$O$46)/12</f>
        <v>1.0916666666666668</v>
      </c>
      <c r="L59" s="17">
        <f>($C$46+SUM($D$19:$O$19)-$O$46)/12</f>
        <v>1.0916666666666668</v>
      </c>
      <c r="M59" s="17">
        <f>($C$46+SUM($D$19:$O$19)-$O$46)/12</f>
        <v>1.0916666666666668</v>
      </c>
      <c r="N59" s="17">
        <f>($C$46+SUM($D$19:$O$19)-$O$46)/12</f>
        <v>1.0916666666666668</v>
      </c>
      <c r="O59" s="17">
        <f>($C$46+SUM($D$19:$O$19)-$O$46)/12</f>
        <v>1.0916666666666668</v>
      </c>
      <c r="P59" s="17">
        <f>($O$46+SUM($P$19:$R$19)-$R$46)/3</f>
        <v>1.2916666666666667</v>
      </c>
      <c r="Q59" s="17">
        <f>($O$46+SUM($P$19:$R$19)-$R$46)/3</f>
        <v>1.2916666666666667</v>
      </c>
      <c r="R59" s="17">
        <f>($O$46+SUM($P$19:$R$19)-$R$46)/3</f>
        <v>1.2916666666666667</v>
      </c>
      <c r="S59" t="s" s="67">
        <v>258</v>
      </c>
    </row>
    <row r="60">
      <c r="S60" s="67"/>
    </row>
    <row r="61">
      <c r="B61" t="s" s="5">
        <v>213</v>
      </c>
      <c r="C61" s="5"/>
      <c r="D61" s="5"/>
      <c r="E61" s="5"/>
      <c r="F61" s="5"/>
      <c r="G61" s="5"/>
      <c r="H61" s="5"/>
      <c r="I61" s="5"/>
      <c r="J61" s="5"/>
      <c r="K61" s="5"/>
      <c r="L61" s="5"/>
      <c r="M61" s="5"/>
      <c r="N61" s="5"/>
      <c r="O61" s="5"/>
      <c r="P61" s="5"/>
      <c r="Q61" s="5"/>
      <c r="R61" s="5"/>
      <c r="S61" s="68"/>
    </row>
    <row r="62">
      <c r="B62" t="s">
        <v>5</v>
      </c>
      <c r="C62" s="1">
        <f>C20+C52</f>
        <v>27.9</v>
      </c>
      <c r="D62" s="1">
        <f>D20+D52</f>
        <v>28.409694583333334</v>
      </c>
      <c r="E62" s="1">
        <f>E20+E52</f>
        <v>29.670711166666667</v>
      </c>
      <c r="F62" s="1">
        <f>F20+F52</f>
        <v>31.24737275</v>
      </c>
      <c r="G62" s="1">
        <f>G20+G52</f>
        <v>36.73510233333334</v>
      </c>
      <c r="H62" s="1">
        <f>H20+H52</f>
        <v>25.884282916666667</v>
      </c>
      <c r="I62" s="1">
        <f>I20+I52</f>
        <v>35.9745285</v>
      </c>
      <c r="J62" s="1">
        <f>J20+J52</f>
        <v>33.647128083333335</v>
      </c>
      <c r="K62" s="1">
        <f>K20+K52</f>
        <v>30.89649966666667</v>
      </c>
      <c r="L62" s="1">
        <f>L20+L52</f>
        <v>37.17695225</v>
      </c>
      <c r="M62" s="1">
        <f>M20+M52</f>
        <v>30.379942833333338</v>
      </c>
      <c r="N62" s="1">
        <f>N20+N52</f>
        <v>31.126744416666668</v>
      </c>
      <c r="O62" s="1">
        <f>O20+O52</f>
        <v>34.2</v>
      </c>
      <c r="P62" s="1">
        <f>P20+P52</f>
        <v>31.046778000000003</v>
      </c>
      <c r="Q62" s="1">
        <f>Q20+Q52</f>
        <v>36.53917</v>
      </c>
      <c r="R62" s="1">
        <f>R20+R52</f>
        <v>35.1</v>
      </c>
      <c r="S62" t="s" s="67">
        <v>259</v>
      </c>
    </row>
    <row r="63">
      <c r="B63" t="s">
        <v>214</v>
      </c>
      <c r="C63" s="17">
        <f>0</f>
        <v>0</v>
      </c>
      <c r="D63" s="1">
        <f>IF(MONTH(D6)=1,0,C63)+D13-D14</f>
        <v>-1.21718</v>
      </c>
      <c r="E63" s="1">
        <f>IF(MONTH(E6)=1,0,D63)+E13-E14</f>
        <v>-2.621148</v>
      </c>
      <c r="F63" s="1">
        <f>IF(MONTH(F6)=1,0,E63)+F13-F14</f>
        <v>-3.6116719999999995</v>
      </c>
      <c r="G63" s="1">
        <f>IF(MONTH(G6)=1,0,F63)+G13-G14</f>
        <v>-4.0523679999999995</v>
      </c>
      <c r="H63" s="1">
        <f>IF(MONTH(H6)=1,0,G63)+H13-H14</f>
        <v>-3.843559999999999</v>
      </c>
      <c r="I63" s="1">
        <f>IF(MONTH(I6)=1,0,H63)+I13-I14</f>
        <v>-2.450201999999999</v>
      </c>
      <c r="J63" s="1">
        <f>IF(MONTH(J6)=1,0,I63)+J13-J14</f>
        <v>0.17467000000000077</v>
      </c>
      <c r="K63" s="1">
        <f>IF(MONTH(K6)=1,0,J63)+K13-K14</f>
        <v>2.4805589999999995</v>
      </c>
      <c r="L63" s="1">
        <f>IF(MONTH(L6)=1,0,K63)+L13-L14</f>
        <v>3.4144099999999993</v>
      </c>
      <c r="M63" s="1">
        <f>IF(MONTH(M6)=1,0,L63)+M13-M14</f>
        <v>3.0271139999999983</v>
      </c>
      <c r="N63" s="1">
        <f>IF(MONTH(N6)=1,0,M63)+N13-N14</f>
        <v>1.6033289999999987</v>
      </c>
      <c r="O63" s="1">
        <f>IF(MONTH(O6)=1,0,N63)+O13-O14</f>
        <v>-0.0000000000000017763568394002505</v>
      </c>
      <c r="P63" s="1">
        <f>IF(MONTH(P6)=1,0,O63)+P13-P14</f>
        <v>0</v>
      </c>
      <c r="Q63" s="1">
        <f>IF(MONTH(Q6)=1,0,P63)+Q13-Q14</f>
        <v>0</v>
      </c>
      <c r="R63" s="1">
        <f>IF(MONTH(R6)=1,0,Q63)+R13-R14</f>
        <v>0</v>
      </c>
      <c r="S63" t="s" s="67">
        <v>260</v>
      </c>
    </row>
    <row r="64">
      <c r="B64" t="s">
        <v>9</v>
      </c>
      <c r="C64" s="1">
        <f>C54*C22</f>
        <v>9.8</v>
      </c>
      <c r="D64" s="1">
        <f>D54*D22</f>
        <v>9.939561671763508</v>
      </c>
      <c r="E64" s="1">
        <f>E54*E22</f>
        <v>10.072461662533277</v>
      </c>
      <c r="F64" s="1">
        <f>F54*F22</f>
        <v>10.455072309100942</v>
      </c>
      <c r="G64" s="1">
        <f>G54*G22</f>
        <v>10.899093672035697</v>
      </c>
      <c r="H64" s="1">
        <f>H54*H22</f>
        <v>11.420616363921786</v>
      </c>
      <c r="I64" s="1">
        <f>I54*I22</f>
        <v>12.27551095399504</v>
      </c>
      <c r="J64" s="1">
        <f>J54*J22</f>
        <v>13.084747876541263</v>
      </c>
      <c r="K64" s="1">
        <f>K54*K22</f>
        <v>13.174829412505822</v>
      </c>
      <c r="L64" s="1">
        <f>L54*L22</f>
        <v>12.663677061794722</v>
      </c>
      <c r="M64" s="1">
        <f>M54*M22</f>
        <v>12.312958505052709</v>
      </c>
      <c r="N64" s="1">
        <f>N54*N22</f>
        <v>12.046904725811569</v>
      </c>
      <c r="O64" s="1">
        <f>O54*O22</f>
        <v>12.4</v>
      </c>
      <c r="P64" s="1">
        <f>P54*P22</f>
        <v>13.543293238192323</v>
      </c>
      <c r="Q64" s="1">
        <f>Q54*Q22</f>
        <v>13.271646619096162</v>
      </c>
      <c r="R64" s="1">
        <f>R54*R22</f>
        <v>13</v>
      </c>
      <c r="S64" t="s" s="67">
        <v>261</v>
      </c>
    </row>
    <row r="65">
      <c r="B65" t="s">
        <v>46</v>
      </c>
      <c r="C65" s="1">
        <f>-C56*C21</f>
        <v>-31.900000000000002</v>
      </c>
      <c r="D65" s="1">
        <f>-D56*D21</f>
        <v>-32.19718636775362</v>
      </c>
      <c r="E65" s="1">
        <f>-E56*E21</f>
        <v>-32.470284987000575</v>
      </c>
      <c r="F65" s="1">
        <f>-F56*F21</f>
        <v>-33.64234084426467</v>
      </c>
      <c r="G65" s="1">
        <f>-G56*G21</f>
        <v>-35.0264851983756</v>
      </c>
      <c r="H65" s="1">
        <f>-H56*H21</f>
        <v>-36.70225123565094</v>
      </c>
      <c r="I65" s="1">
        <f>-I56*I21</f>
        <v>-39.5258533142505</v>
      </c>
      <c r="J65" s="1">
        <f>-J56*J21</f>
        <v>-42.16681234791472</v>
      </c>
      <c r="K65" s="1">
        <f>-K56*K21</f>
        <v>-42.256091502293714</v>
      </c>
      <c r="L65" s="1">
        <f>-L56*L21</f>
        <v>-40.23887574229703</v>
      </c>
      <c r="M65" s="1">
        <f>-M56*M21</f>
        <v>-38.80108775387834</v>
      </c>
      <c r="N65" s="1">
        <f>-N56*N21</f>
        <v>-37.671814170084396</v>
      </c>
      <c r="O65" s="1">
        <f>-O56*O21</f>
        <v>-38.7</v>
      </c>
      <c r="P65" s="1">
        <f>-P56*P21</f>
        <v>-41.91123188405797</v>
      </c>
      <c r="Q65" s="1">
        <f>-Q56*Q21</f>
        <v>-40.705615942028984</v>
      </c>
      <c r="R65" s="1">
        <f>-R56*R21</f>
        <v>-39.5</v>
      </c>
      <c r="S65" t="s" s="67">
        <v>261</v>
      </c>
    </row>
    <row r="66">
      <c r="B66" t="s">
        <v>29</v>
      </c>
      <c r="C66" s="1">
        <f>-C46</f>
        <v>-9.3</v>
      </c>
      <c r="D66" s="1">
        <f>C66-D19+D59</f>
        <v>-9.458333333333334</v>
      </c>
      <c r="E66" s="1">
        <f>D66-E19+E59</f>
        <v>-9.616666666666667</v>
      </c>
      <c r="F66" s="1">
        <f>E66-F19+F59</f>
        <v>-9.775</v>
      </c>
      <c r="G66" s="1">
        <f>F66-G19+G59</f>
        <v>-9.933333333333334</v>
      </c>
      <c r="H66" s="1">
        <f>G66-H19+H59</f>
        <v>-10.091666666666667</v>
      </c>
      <c r="I66" s="1">
        <f>H66-I19+I59</f>
        <v>-10.25</v>
      </c>
      <c r="J66" s="1">
        <f>I66-J19+J59</f>
        <v>-10.408333333333333</v>
      </c>
      <c r="K66" s="1">
        <f>J66-K19+K59</f>
        <v>-10.566666666666666</v>
      </c>
      <c r="L66" s="1">
        <f>K66-L19+L59</f>
        <v>-10.725</v>
      </c>
      <c r="M66" s="1">
        <f>L66-M19+M59</f>
        <v>-10.883333333333333</v>
      </c>
      <c r="N66" s="1">
        <f>M66-N19+N59</f>
        <v>-11.041666666666666</v>
      </c>
      <c r="O66" s="1">
        <f>N66-O19+O59</f>
        <v>-11.2</v>
      </c>
      <c r="P66" s="1">
        <f>O66-P19+P59</f>
        <v>-11.333333333333334</v>
      </c>
      <c r="Q66" s="1">
        <f>P66-Q19+Q59</f>
        <v>-11.466666666666669</v>
      </c>
      <c r="R66" s="1">
        <f>Q66-R19+R59</f>
        <v>-11.600000000000003</v>
      </c>
      <c r="S66" t="s" s="67">
        <v>262</v>
      </c>
    </row>
    <row r="67">
      <c r="B67" t="s">
        <v>47</v>
      </c>
      <c r="C67" s="1">
        <f>-C58*C12</f>
        <v>-11.6</v>
      </c>
      <c r="D67" s="1">
        <f>-D58*D12</f>
        <v>-11.660414866032843</v>
      </c>
      <c r="E67" s="1">
        <f>-E58*E12</f>
        <v>-11.796447988401596</v>
      </c>
      <c r="F67" s="1">
        <f>-F58*F12</f>
        <v>-12.142282739008001</v>
      </c>
      <c r="G67" s="1">
        <f>-G58*G12</f>
        <v>-12.552159031979258</v>
      </c>
      <c r="H67" s="1">
        <f>-H58*H12</f>
        <v>-13.030851702121726</v>
      </c>
      <c r="I67" s="1">
        <f>-I58*I12</f>
        <v>-13.776156913039845</v>
      </c>
      <c r="J67" s="1">
        <f>-J58*J12</f>
        <v>-14.474025148465163</v>
      </c>
      <c r="K67" s="1">
        <f>-K58*K12</f>
        <v>-14.57793961022667</v>
      </c>
      <c r="L67" s="1">
        <f>-L58*L12</f>
        <v>-14.188581871915689</v>
      </c>
      <c r="M67" s="1">
        <f>-M58*M12</f>
        <v>-13.849740318398528</v>
      </c>
      <c r="N67" s="1">
        <f>-N58*N12</f>
        <v>-13.65718493322553</v>
      </c>
      <c r="O67" s="1">
        <f>-O58*O12</f>
        <v>-13.8</v>
      </c>
      <c r="P67" s="1">
        <f>-P58*P12</f>
        <v>-14.683674253337175</v>
      </c>
      <c r="Q67" s="1">
        <f>-Q58*Q12</f>
        <v>-14.391837126668586</v>
      </c>
      <c r="R67" s="1">
        <f>-R58*R12</f>
        <v>-14.1</v>
      </c>
      <c r="S67" t="s" s="67">
        <v>263</v>
      </c>
    </row>
    <row r="68">
      <c r="B68" t="s" s="8">
        <v>215</v>
      </c>
      <c r="C68" s="9">
        <f>SUM(C62:C67)</f>
        <v>-15.1</v>
      </c>
      <c r="D68" s="9">
        <f>SUM(D62:D67)</f>
        <v>-16.18385831202296</v>
      </c>
      <c r="E68" s="9">
        <f>SUM(E62:E67)</f>
        <v>-16.761374812868894</v>
      </c>
      <c r="F68" s="9">
        <f>SUM(F62:F67)</f>
        <v>-17.468850524171735</v>
      </c>
      <c r="G68" s="9">
        <f>SUM(G62:G67)</f>
        <v>-13.930149558319162</v>
      </c>
      <c r="H68" s="9">
        <f>SUM(H62:H67)</f>
        <v>-26.363430323850878</v>
      </c>
      <c r="I68" s="9">
        <f>SUM(I62:I67)</f>
        <v>-17.752172773295303</v>
      </c>
      <c r="J68" s="9">
        <f>SUM(J62:J67)</f>
        <v>-20.14262486983862</v>
      </c>
      <c r="K68" s="9">
        <f>SUM(K62:K67)</f>
        <v>-20.848809700014556</v>
      </c>
      <c r="L68" s="9">
        <f>SUM(L62:L67)</f>
        <v>-11.897418302418004</v>
      </c>
      <c r="M68" s="9">
        <f>SUM(M62:M67)</f>
        <v>-17.814146067224154</v>
      </c>
      <c r="N68" s="9">
        <f>SUM(N62:N67)</f>
        <v>-17.593687627498348</v>
      </c>
      <c r="O68" s="9">
        <f>SUM(O62:O67)</f>
        <v>-17.1</v>
      </c>
      <c r="P68" s="9">
        <f>SUM(P62:P67)</f>
        <v>-23.338168232536155</v>
      </c>
      <c r="Q68" s="9">
        <f>SUM(Q62:Q67)</f>
        <v>-16.75330311626808</v>
      </c>
      <c r="R68" s="9">
        <f>SUM(R62:R67)</f>
        <v>-17.1</v>
      </c>
      <c r="S68" t="s" s="70">
        <v>264</v>
      </c>
    </row>
    <row r="69">
      <c r="C69" s="1"/>
      <c r="D69" s="1"/>
      <c r="E69" s="1"/>
      <c r="F69" s="1"/>
      <c r="G69" s="1"/>
      <c r="H69" s="1"/>
      <c r="I69" s="1"/>
      <c r="J69" s="1"/>
      <c r="K69" s="1"/>
      <c r="L69" s="1"/>
      <c r="M69" s="1"/>
      <c r="N69" s="1"/>
      <c r="O69" s="1"/>
      <c r="P69" s="1"/>
      <c r="Q69" s="1"/>
      <c r="R69" s="1"/>
      <c r="S69" s="67"/>
    </row>
    <row r="70">
      <c r="B70" t="s" s="5">
        <v>216</v>
      </c>
      <c r="C70" s="13"/>
      <c r="D70" s="13"/>
      <c r="E70" s="13"/>
      <c r="F70" s="13"/>
      <c r="G70" s="13"/>
      <c r="H70" s="13"/>
      <c r="I70" s="13"/>
      <c r="J70" s="13"/>
      <c r="K70" s="13"/>
      <c r="L70" s="13"/>
      <c r="M70" s="13"/>
      <c r="N70" s="13"/>
      <c r="O70" s="13"/>
      <c r="P70" s="13"/>
      <c r="Q70" s="13"/>
      <c r="R70" s="13"/>
      <c r="S70" s="68"/>
    </row>
    <row r="71">
      <c r="B71" t="s">
        <v>217</v>
      </c>
      <c r="C71" s="1">
        <f>C48</f>
        <v>-15.099999999999996</v>
      </c>
      <c r="D71" s="1"/>
      <c r="E71" s="1"/>
      <c r="F71" s="1"/>
      <c r="G71" s="1"/>
      <c r="H71" s="1"/>
      <c r="I71" s="1"/>
      <c r="J71" s="1"/>
      <c r="K71" s="1"/>
      <c r="L71" s="1"/>
      <c r="M71" s="1"/>
      <c r="N71" s="1"/>
      <c r="O71" s="1">
        <f>O48</f>
        <v>-17.1</v>
      </c>
      <c r="P71" s="1"/>
      <c r="Q71" s="1"/>
      <c r="R71" s="1">
        <f>R48</f>
        <v>-17.099999999999998</v>
      </c>
      <c r="S71" s="67"/>
    </row>
    <row r="72">
      <c r="B72" t="s">
        <v>218</v>
      </c>
      <c r="C72" s="1">
        <f>C68</f>
        <v>-15.1</v>
      </c>
      <c r="D72" s="1"/>
      <c r="E72" s="1"/>
      <c r="F72" s="1"/>
      <c r="G72" s="1"/>
      <c r="H72" s="1"/>
      <c r="I72" s="1"/>
      <c r="J72" s="1"/>
      <c r="K72" s="1"/>
      <c r="L72" s="1"/>
      <c r="M72" s="1"/>
      <c r="N72" s="1"/>
      <c r="O72" s="1">
        <f>O68</f>
        <v>-17.1</v>
      </c>
      <c r="P72" s="1"/>
      <c r="Q72" s="1"/>
      <c r="R72" s="1">
        <f>R68</f>
        <v>-17.1</v>
      </c>
      <c r="S72" s="67"/>
    </row>
    <row r="73">
      <c r="B73" t="s" s="3">
        <v>219</v>
      </c>
      <c r="C73" s="10">
        <f>C72-C71</f>
        <v>0</v>
      </c>
      <c r="D73" s="10"/>
      <c r="E73" s="10"/>
      <c r="F73" s="10"/>
      <c r="G73" s="10"/>
      <c r="H73" s="10"/>
      <c r="I73" s="10"/>
      <c r="J73" s="10"/>
      <c r="K73" s="10"/>
      <c r="L73" s="10"/>
      <c r="M73" s="10"/>
      <c r="N73" s="10"/>
      <c r="O73" s="10">
        <f>O72-O71</f>
        <v>0</v>
      </c>
      <c r="P73" s="10"/>
      <c r="Q73" s="10"/>
      <c r="R73" s="10">
        <f>R72-R71</f>
        <v>0</v>
      </c>
      <c r="S73" t="s" s="3">
        <v>265</v>
      </c>
    </row>
    <row r="74">
      <c r="S74" s="67"/>
    </row>
    <row r="75">
      <c r="B75" t="s" s="5">
        <v>220</v>
      </c>
      <c r="C75" s="5"/>
      <c r="D75" s="5"/>
      <c r="E75" s="5"/>
      <c r="F75" s="5"/>
      <c r="G75" s="5"/>
      <c r="H75" s="5"/>
      <c r="I75" s="5"/>
      <c r="J75" s="5"/>
      <c r="K75" s="5"/>
      <c r="L75" s="5"/>
      <c r="M75" s="5"/>
      <c r="N75" s="5"/>
      <c r="O75" s="5"/>
      <c r="P75" s="5"/>
      <c r="Q75" s="5"/>
      <c r="R75" s="5"/>
      <c r="S75" s="68"/>
    </row>
    <row r="76">
      <c r="B76" t="s">
        <v>221</v>
      </c>
      <c r="C76" s="25">
        <f>C62/C12*365/12</f>
        <v>27.374999999999996</v>
      </c>
      <c r="D76" s="25">
        <f>D62/D12*365/12</f>
        <v>27.875103556227597</v>
      </c>
      <c r="E76" s="25">
        <f>E62/E12*365/12</f>
        <v>28.925773439725784</v>
      </c>
      <c r="F76" s="25">
        <f>F62/F12*365/12</f>
        <v>29.747759660276476</v>
      </c>
      <c r="G76" s="25">
        <f>G62/G12*365/12</f>
        <v>34.00363246010009</v>
      </c>
      <c r="H76" s="25">
        <f>H62/H12*365/12</f>
        <v>23.197218779668372</v>
      </c>
      <c r="I76" s="25">
        <f>I62/I12*365/12</f>
        <v>30.650566999299713</v>
      </c>
      <c r="J76" s="25">
        <f>J62/J12*365/12</f>
        <v>27.42319076102328</v>
      </c>
      <c r="K76" s="25">
        <f>K62/K12*365/12</f>
        <v>25.127500842988713</v>
      </c>
      <c r="L76" s="25">
        <f>L62/L12*365/12</f>
        <v>31.220291669542608</v>
      </c>
      <c r="M76" s="25">
        <f>M62/M12*365/12</f>
        <v>26.266531964579</v>
      </c>
      <c r="N76" s="25">
        <f>N62/N12*365/12</f>
        <v>27.426761568374207</v>
      </c>
      <c r="O76" s="25">
        <f>O62/O12*365/12</f>
        <v>29.969749351771824</v>
      </c>
      <c r="P76" s="25">
        <f>P62/P12*365/12</f>
        <v>25.07096011061947</v>
      </c>
      <c r="Q76" s="25">
        <f>Q62/Q12*365/12</f>
        <v>29.506188163716814</v>
      </c>
      <c r="R76" s="25">
        <f>R62/R12*365/12</f>
        <v>28.34402654867257</v>
      </c>
      <c r="S76" t="s" s="67">
        <v>266</v>
      </c>
    </row>
    <row r="77">
      <c r="B77" t="s">
        <v>222</v>
      </c>
      <c r="C77" s="25">
        <f>-C65/C21*365/12</f>
        <v>71.92673585371881</v>
      </c>
      <c r="D77" s="25">
        <f>-D65/D21*365/12</f>
        <v>72.59681878076397</v>
      </c>
      <c r="E77" s="25">
        <f>-E65/E21*365/12</f>
        <v>73.26690170780915</v>
      </c>
      <c r="F77" s="25">
        <f>-F65/F21*365/12</f>
        <v>73.93698463485433</v>
      </c>
      <c r="G77" s="25">
        <f>-G65/G21*365/12</f>
        <v>74.60706756189948</v>
      </c>
      <c r="H77" s="25">
        <f>-H65/H21*365/12</f>
        <v>75.27715048894467</v>
      </c>
      <c r="I77" s="25">
        <f>-I65/I21*365/12</f>
        <v>75.94723341598986</v>
      </c>
      <c r="J77" s="25">
        <f>-J65/J21*365/12</f>
        <v>76.617316343035</v>
      </c>
      <c r="K77" s="25">
        <f>-K65/K21*365/12</f>
        <v>77.28739927008019</v>
      </c>
      <c r="L77" s="25">
        <f>-L65/L21*365/12</f>
        <v>77.95748219712536</v>
      </c>
      <c r="M77" s="25">
        <f>-M65/M21*365/12</f>
        <v>78.62756512417053</v>
      </c>
      <c r="N77" s="25">
        <f>-N65/N21*365/12</f>
        <v>79.29764805121572</v>
      </c>
      <c r="O77" s="25">
        <f>-O65/O21*365/12</f>
        <v>79.96773097826087</v>
      </c>
      <c r="P77" s="25">
        <f>-P65/P21*365/12</f>
        <v>77.73170547602216</v>
      </c>
      <c r="Q77" s="25">
        <f>-Q65/Q21*365/12</f>
        <v>75.49567997378344</v>
      </c>
      <c r="R77" s="25">
        <f>-R65/R21*365/12</f>
        <v>73.25965447154472</v>
      </c>
      <c r="S77" s="67"/>
    </row>
    <row r="78">
      <c r="B78" t="s">
        <v>223</v>
      </c>
      <c r="C78" s="25">
        <f>-C67/C12*365/12</f>
        <v>11.381720430107528</v>
      </c>
      <c r="D78" s="25">
        <f>-D67/D12*365/12</f>
        <v>11.440998457263406</v>
      </c>
      <c r="E78" s="25">
        <f>-E67/E12*365/12</f>
        <v>11.50027648441929</v>
      </c>
      <c r="F78" s="25">
        <f>-F67/F12*365/12</f>
        <v>11.559554511575172</v>
      </c>
      <c r="G78" s="25">
        <f>-G67/G12*365/12</f>
        <v>11.618832538731054</v>
      </c>
      <c r="H78" s="25">
        <f>-H67/H12*365/12</f>
        <v>11.678110565886934</v>
      </c>
      <c r="I78" s="25">
        <f>-I67/I12*365/12</f>
        <v>11.737388593042816</v>
      </c>
      <c r="J78" s="25">
        <f>-J67/J12*365/12</f>
        <v>11.796666620198698</v>
      </c>
      <c r="K78" s="25">
        <f>-K67/K12*365/12</f>
        <v>11.855944647354578</v>
      </c>
      <c r="L78" s="25">
        <f>-L67/L12*365/12</f>
        <v>11.91522267451046</v>
      </c>
      <c r="M78" s="25">
        <f>-M67/M12*365/12</f>
        <v>11.974500701666342</v>
      </c>
      <c r="N78" s="25">
        <f>-N67/N12*365/12</f>
        <v>12.033778728822226</v>
      </c>
      <c r="O78" s="25">
        <f>-O67/O12*365/12</f>
        <v>12.093056755978104</v>
      </c>
      <c r="P78" s="25">
        <f>-P67/P12*365/12</f>
        <v>11.857391819619622</v>
      </c>
      <c r="Q78" s="25">
        <f>-Q67/Q12*365/12</f>
        <v>11.621726883261138</v>
      </c>
      <c r="R78" s="25">
        <f>-R67/R12*365/12</f>
        <v>11.386061946902656</v>
      </c>
      <c r="S78" s="67"/>
    </row>
    <row r="79">
      <c r="B79" t="s">
        <v>224</v>
      </c>
      <c r="C79" s="25">
        <f>-C66/C19</f>
        <v>9.876106194690266</v>
      </c>
      <c r="D79" s="25">
        <f>-D66/D19</f>
        <v>7.566666666666667</v>
      </c>
      <c r="E79" s="25">
        <f>-E66/E19</f>
        <v>7.693333333333333</v>
      </c>
      <c r="F79" s="25">
        <f>-F66/F19</f>
        <v>7.82</v>
      </c>
      <c r="G79" s="25">
        <f>-G66/G19</f>
        <v>7.946666666666667</v>
      </c>
      <c r="H79" s="25">
        <f>-H66/H19</f>
        <v>8.073333333333334</v>
      </c>
      <c r="I79" s="25">
        <f>-I66/I19</f>
        <v>8.2</v>
      </c>
      <c r="J79" s="25">
        <f>-J66/J19</f>
        <v>8.326666666666666</v>
      </c>
      <c r="K79" s="25">
        <f>-K66/K19</f>
        <v>8.453333333333333</v>
      </c>
      <c r="L79" s="25">
        <f>-L66/L19</f>
        <v>8.58</v>
      </c>
      <c r="M79" s="25">
        <f>-M66/M19</f>
        <v>8.706666666666667</v>
      </c>
      <c r="N79" s="25">
        <f>-N66/N19</f>
        <v>8.833333333333332</v>
      </c>
      <c r="O79" s="25">
        <f>-O66/O19</f>
        <v>8.959999999999999</v>
      </c>
      <c r="P79" s="25">
        <f>-P66/P19</f>
        <v>7.953216374269006</v>
      </c>
      <c r="Q79" s="25">
        <f>-Q66/Q19</f>
        <v>8.046783625730995</v>
      </c>
      <c r="R79" s="25">
        <f>-R66/R19</f>
        <v>8.140350877192985</v>
      </c>
      <c r="S79" s="67"/>
    </row>
    <row r="80">
      <c r="S80" s="67"/>
    </row>
    <row r="81">
      <c r="B81" t="s" s="5">
        <v>651</v>
      </c>
      <c r="C81" s="5"/>
      <c r="D81" s="5"/>
      <c r="E81" s="5"/>
      <c r="F81" s="5"/>
      <c r="G81" s="5"/>
      <c r="H81" s="5"/>
      <c r="I81" s="5"/>
      <c r="J81" s="5"/>
      <c r="K81" s="5"/>
      <c r="L81" s="5"/>
      <c r="M81" s="5"/>
      <c r="N81" s="5"/>
      <c r="O81" s="5"/>
      <c r="P81" s="5"/>
      <c r="Q81" s="5"/>
      <c r="R81" s="5"/>
      <c r="S81" s="68"/>
    </row>
    <row r="82">
      <c r="B82" t="s">
        <v>226</v>
      </c>
      <c r="C82" s="1">
        <f>C38</f>
        <v>7.4696428571428575</v>
      </c>
      <c r="D82" s="1">
        <f>C82+IF(YEAR(D6)=2025,$C$34,$C$35)/12-IF(MONTH(D6)=3,IF(YEAR(D6)=2025,$C$38,$C$34),0)</f>
        <v>8.252976190476192</v>
      </c>
      <c r="E82" s="1">
        <f>D82+IF(YEAR(E6)=2025,$C$34,$C$35)/12-IF(MONTH(E6)=3,IF(YEAR(E6)=2025,$C$38,$C$34),0)</f>
        <v>9.036309523809525</v>
      </c>
      <c r="F82" s="1">
        <f>E82+IF(YEAR(F6)=2025,$C$34,$C$35)/12-IF(MONTH(F6)=3,IF(YEAR(F6)=2025,$C$38,$C$34),0)</f>
        <v>2.3500000000000005</v>
      </c>
      <c r="G82" s="1">
        <f>F82+IF(YEAR(G6)=2025,$C$34,$C$35)/12-IF(MONTH(G6)=3,IF(YEAR(G6)=2025,$C$38,$C$34),0)</f>
        <v>3.1333333333333337</v>
      </c>
      <c r="H82" s="1">
        <f>G82+IF(YEAR(H6)=2025,$C$34,$C$35)/12-IF(MONTH(H6)=3,IF(YEAR(H6)=2025,$C$38,$C$34),0)</f>
        <v>3.916666666666667</v>
      </c>
      <c r="I82" s="1">
        <f>H82+IF(YEAR(I6)=2025,$C$34,$C$35)/12-IF(MONTH(I6)=3,IF(YEAR(I6)=2025,$C$38,$C$34),0)</f>
        <v>4.7</v>
      </c>
      <c r="J82" s="1">
        <f>I82+IF(YEAR(J6)=2025,$C$34,$C$35)/12-IF(MONTH(J6)=3,IF(YEAR(J6)=2025,$C$38,$C$34),0)</f>
        <v>5.483333333333333</v>
      </c>
      <c r="K82" s="1">
        <f>J82+IF(YEAR(K6)=2025,$C$34,$C$35)/12-IF(MONTH(K6)=3,IF(YEAR(K6)=2025,$C$38,$C$34),0)</f>
        <v>6.266666666666667</v>
      </c>
      <c r="L82" s="1">
        <f>K82+IF(YEAR(L6)=2025,$C$34,$C$35)/12-IF(MONTH(L6)=3,IF(YEAR(L6)=2025,$C$38,$C$34),0)</f>
        <v>7.05</v>
      </c>
      <c r="M82" s="1">
        <f>L82+IF(YEAR(M6)=2025,$C$34,$C$35)/12-IF(MONTH(M6)=3,IF(YEAR(M6)=2025,$C$38,$C$34),0)</f>
        <v>7.833333333333333</v>
      </c>
      <c r="N82" s="1">
        <f>M82+IF(YEAR(N6)=2025,$C$34,$C$35)/12-IF(MONTH(N6)=3,IF(YEAR(N6)=2025,$C$38,$C$34),0)</f>
        <v>8.616666666666667</v>
      </c>
      <c r="O82" s="1">
        <f>N82+IF(YEAR(O6)=2025,$C$34,$C$35)/12-IF(MONTH(O6)=3,IF(YEAR(O6)=2025,$C$38,$C$34),0)</f>
        <v>9.4</v>
      </c>
      <c r="P82" s="1">
        <f>O82+IF(YEAR(P6)=2025,$C$34,$C$35)/12-IF(MONTH(P6)=3,IF(YEAR(P6)=2025,$C$38,$C$34),0)</f>
        <v>10.263265306122449</v>
      </c>
      <c r="Q82" s="1">
        <f>P82+IF(YEAR(Q6)=2025,$C$34,$C$35)/12-IF(MONTH(Q6)=3,IF(YEAR(Q6)=2025,$C$38,$C$34),0)</f>
        <v>11.126530612244897</v>
      </c>
      <c r="R82" s="1">
        <f>Q82+IF(YEAR(R6)=2025,$C$34,$C$35)/12-IF(MONTH(R6)=3,IF(YEAR(R6)=2025,$C$38,$C$34),0)</f>
        <v>2.5897959183673454</v>
      </c>
      <c r="S82" t="s" s="67">
        <v>267</v>
      </c>
    </row>
  </sheetData>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8"/>
  <sheetViews>
    <sheetView showGridLines="0" workbookViewId="0">
      <pane xSplit="2" ySplit="7" topLeftCell="C8" activePane="bottomRight" state="frozen"/>
      <selection pane="topRight" activeCell="C1" sqref="C1"/>
      <selection pane="bottomLeft" activeCell="A8" sqref="A8"/>
      <selection pane="bottomRight" activeCell="A1" sqref="A1"/>
    </sheetView>
  </sheetViews>
  <cols>
    <col min="1" max="1" width="2.359375" customWidth="1"/>
    <col min="2" max="2" width="71.7890625" customWidth="1"/>
    <col min="3" max="18" width="11.07421875" customWidth="1"/>
    <col min="19" max="19" width="15.21875" customWidth="1"/>
    <col min="20" max="20" width="49.50390625" customWidth="1"/>
    <col min="21" max="21" width="74.21875" customWidth="1"/>
  </cols>
  <sheetData>
    <row r="2">
      <c r="B2" t="s" s="2">
        <v>268</v>
      </c>
    </row>
    <row r="3">
      <c r="B3" t="s" s="4">
        <v>269</v>
      </c>
    </row>
    <row r="4">
      <c r="B4" t="s" s="4">
        <v>626</v>
      </c>
    </row>
    <row r="6" ht="28" customHeight="1">
      <c r="B6" t="s" s="15">
        <v>172</v>
      </c>
      <c r="C6" s="61">
        <f>Monthly!C6</f>
        <v>45657</v>
      </c>
      <c r="D6" s="26">
        <f>Monthly!D6</f>
        <v>45688</v>
      </c>
      <c r="E6" s="26">
        <f>Monthly!E6</f>
        <v>45716</v>
      </c>
      <c r="F6" s="26">
        <f>Monthly!F6</f>
        <v>45747</v>
      </c>
      <c r="G6" s="26">
        <f>Monthly!G6</f>
        <v>45777</v>
      </c>
      <c r="H6" s="26">
        <f>Monthly!H6</f>
        <v>45808</v>
      </c>
      <c r="I6" s="26">
        <f>Monthly!I6</f>
        <v>45838</v>
      </c>
      <c r="J6" s="26">
        <f>Monthly!J6</f>
        <v>45869</v>
      </c>
      <c r="K6" s="26">
        <f>Monthly!K6</f>
        <v>45900</v>
      </c>
      <c r="L6" s="26">
        <f>Monthly!L6</f>
        <v>45930</v>
      </c>
      <c r="M6" s="26">
        <f>Monthly!M6</f>
        <v>45961</v>
      </c>
      <c r="N6" s="26">
        <f>Monthly!N6</f>
        <v>45991</v>
      </c>
      <c r="O6" s="61">
        <f>Monthly!O6</f>
        <v>46022</v>
      </c>
      <c r="P6" s="26">
        <f>Monthly!P6</f>
        <v>46053</v>
      </c>
      <c r="Q6" s="26">
        <f>Monthly!Q6</f>
        <v>46081</v>
      </c>
      <c r="R6" s="61">
        <f>Monthly!R6</f>
        <v>46112</v>
      </c>
      <c r="S6" t="s" s="18">
        <v>292</v>
      </c>
      <c r="T6" t="s" s="14">
        <v>293</v>
      </c>
      <c r="U6" t="s" s="66">
        <v>302</v>
      </c>
    </row>
    <row r="7">
      <c r="B7" t="s" s="15">
        <v>173</v>
      </c>
      <c r="C7" t="str" s="62">
        <f>Monthly!C7</f>
        <v>Actual</v>
      </c>
      <c r="D7" t="str" s="14">
        <f>Monthly!D7</f>
        <v>Estimate</v>
      </c>
      <c r="E7" t="str" s="14">
        <f>Monthly!E7</f>
        <v>Estimate</v>
      </c>
      <c r="F7" t="str" s="14">
        <f>Monthly!F7</f>
        <v>Estimate</v>
      </c>
      <c r="G7" t="str" s="14">
        <f>Monthly!G7</f>
        <v>Estimate</v>
      </c>
      <c r="H7" t="str" s="14">
        <f>Monthly!H7</f>
        <v>Estimate</v>
      </c>
      <c r="I7" t="str" s="14">
        <f>Monthly!I7</f>
        <v>Estimate</v>
      </c>
      <c r="J7" t="str" s="14">
        <f>Monthly!J7</f>
        <v>Estimate</v>
      </c>
      <c r="K7" t="str" s="14">
        <f>Monthly!K7</f>
        <v>Estimate</v>
      </c>
      <c r="L7" t="str" s="14">
        <f>Monthly!L7</f>
        <v>Estimate</v>
      </c>
      <c r="M7" t="str" s="14">
        <f>Monthly!M7</f>
        <v>Estimate</v>
      </c>
      <c r="N7" t="str" s="14">
        <f>Monthly!N7</f>
        <v>Estimate</v>
      </c>
      <c r="O7" t="str" s="62">
        <f>Monthly!O7</f>
        <v>Actual</v>
      </c>
      <c r="P7" t="str" s="14">
        <f>Monthly!P7</f>
        <v>Estimate</v>
      </c>
      <c r="Q7" t="str" s="14">
        <f>Monthly!Q7</f>
        <v>Estimate</v>
      </c>
      <c r="R7" t="str" s="62">
        <f>Monthly!R7</f>
        <v>Actual</v>
      </c>
      <c r="S7" s="18"/>
      <c r="T7" s="14"/>
      <c r="U7" s="66"/>
    </row>
    <row r="8">
      <c r="U8" s="67"/>
    </row>
    <row r="9">
      <c r="B9" t="s">
        <v>271</v>
      </c>
      <c r="C9" s="1">
        <f>Monthly!C68</f>
        <v>-15.1</v>
      </c>
      <c r="D9" s="1">
        <f>Monthly!D68</f>
        <v>-16.18385831202296</v>
      </c>
      <c r="E9" s="1">
        <f>Monthly!E68</f>
        <v>-16.761374812868894</v>
      </c>
      <c r="F9" s="1">
        <f>Monthly!F68</f>
        <v>-17.468850524171735</v>
      </c>
      <c r="G9" s="1">
        <f>Monthly!G68</f>
        <v>-13.930149558319162</v>
      </c>
      <c r="H9" s="1">
        <f>Monthly!H68</f>
        <v>-26.363430323850878</v>
      </c>
      <c r="I9" s="1">
        <f>Monthly!I68</f>
        <v>-17.752172773295303</v>
      </c>
      <c r="J9" s="1">
        <f>Monthly!J68</f>
        <v>-20.14262486983862</v>
      </c>
      <c r="K9" s="1">
        <f>Monthly!K68</f>
        <v>-20.848809700014556</v>
      </c>
      <c r="L9" s="1">
        <f>Monthly!L68</f>
        <v>-11.897418302418004</v>
      </c>
      <c r="M9" s="1">
        <f>Monthly!M68</f>
        <v>-17.814146067224154</v>
      </c>
      <c r="N9" s="1">
        <f>Monthly!N68</f>
        <v>-17.593687627498348</v>
      </c>
      <c r="O9" s="1">
        <f>Monthly!O68</f>
        <v>-17.1</v>
      </c>
      <c r="P9" s="1">
        <f>Monthly!P68</f>
        <v>-23.338168232536155</v>
      </c>
      <c r="Q9" s="1">
        <f>Monthly!Q68</f>
        <v>-16.75330311626808</v>
      </c>
      <c r="R9" s="1">
        <f>Monthly!R68</f>
        <v>-17.1</v>
      </c>
      <c r="U9" t="s" s="67">
        <v>303</v>
      </c>
    </row>
    <row r="10">
      <c r="C10" s="1"/>
      <c r="D10" s="1"/>
      <c r="E10" s="1"/>
      <c r="F10" s="1"/>
      <c r="G10" s="1"/>
      <c r="H10" s="1"/>
      <c r="I10" s="1"/>
      <c r="J10" s="1"/>
      <c r="K10" s="1"/>
      <c r="L10" s="1"/>
      <c r="M10" s="1"/>
      <c r="N10" s="1"/>
      <c r="O10" s="1"/>
      <c r="P10" s="1"/>
      <c r="Q10" s="1"/>
      <c r="R10" s="1"/>
      <c r="U10" s="67"/>
    </row>
    <row r="11">
      <c r="B11" t="s" s="5">
        <v>272</v>
      </c>
      <c r="C11" s="13"/>
      <c r="D11" s="13"/>
      <c r="E11" s="13"/>
      <c r="F11" s="13"/>
      <c r="G11" s="13"/>
      <c r="H11" s="13"/>
      <c r="I11" s="13"/>
      <c r="J11" s="13"/>
      <c r="K11" s="13"/>
      <c r="L11" s="13"/>
      <c r="M11" s="13"/>
      <c r="N11" s="13"/>
      <c r="O11" s="13"/>
      <c r="P11" s="13"/>
      <c r="Q11" s="13"/>
      <c r="R11" s="13"/>
      <c r="S11" s="5"/>
      <c r="T11" s="5"/>
      <c r="U11" s="68"/>
    </row>
    <row r="12">
      <c r="B12" t="s" s="41">
        <v>273</v>
      </c>
      <c r="C12" s="43"/>
      <c r="D12" s="43"/>
      <c r="E12" s="43"/>
      <c r="F12" s="43"/>
      <c r="G12" s="43"/>
      <c r="H12" s="43"/>
      <c r="I12" s="43"/>
      <c r="J12" s="43"/>
      <c r="K12" s="43"/>
      <c r="L12" s="43"/>
      <c r="M12" s="43"/>
      <c r="N12" s="43"/>
      <c r="O12" s="43"/>
      <c r="P12" s="43"/>
      <c r="Q12" s="43"/>
      <c r="R12" s="43"/>
      <c r="S12" s="71">
        <v>0</v>
      </c>
      <c r="T12" t="s" s="11">
        <v>627</v>
      </c>
      <c r="U12" t="s" s="72">
        <v>628</v>
      </c>
    </row>
    <row r="13">
      <c r="B13" t="s" s="55">
        <v>274</v>
      </c>
      <c r="C13" s="46">
        <f>0</f>
        <v>0</v>
      </c>
      <c r="D13" s="43">
        <f>-Monthly!D18</f>
        <v>0</v>
      </c>
      <c r="E13" s="43">
        <f>-Monthly!E18</f>
        <v>0</v>
      </c>
      <c r="F13" s="43">
        <f>-Monthly!F18</f>
        <v>0</v>
      </c>
      <c r="G13" s="43">
        <f>-Monthly!G18</f>
        <v>0</v>
      </c>
      <c r="H13" s="43">
        <f>-Monthly!H18</f>
        <v>-1.2</v>
      </c>
      <c r="I13" s="43">
        <f>-Monthly!I18</f>
        <v>-0.96</v>
      </c>
      <c r="J13" s="43">
        <f>-Monthly!J18</f>
        <v>0</v>
      </c>
      <c r="K13" s="43">
        <f>-Monthly!K18</f>
        <v>0</v>
      </c>
      <c r="L13" s="43">
        <f>-Monthly!L18</f>
        <v>-0.72</v>
      </c>
      <c r="M13" s="43">
        <f>-Monthly!M18</f>
        <v>0</v>
      </c>
      <c r="N13" s="43">
        <f>-Monthly!N18</f>
        <v>-0.72</v>
      </c>
      <c r="O13" s="43">
        <f>-Monthly!O18</f>
        <v>-1.2</v>
      </c>
      <c r="P13" s="43">
        <f>-Monthly!P18</f>
        <v>-0.5666666666666667</v>
      </c>
      <c r="Q13" s="43">
        <f>-Monthly!Q18</f>
        <v>-0.5666666666666667</v>
      </c>
      <c r="R13" s="43">
        <f>-Monthly!R18</f>
        <v>-0.5666666666666667</v>
      </c>
      <c r="S13" s="73"/>
      <c r="T13" s="11"/>
      <c r="U13" s="72"/>
    </row>
    <row r="14">
      <c r="B14" t="s" s="55">
        <v>275</v>
      </c>
      <c r="C14" s="43">
        <f>-C13*$S12</f>
        <v>0</v>
      </c>
      <c r="D14" s="43">
        <f>-D13*$S12</f>
        <v>0</v>
      </c>
      <c r="E14" s="43">
        <f>-E13*$S12</f>
        <v>0</v>
      </c>
      <c r="F14" s="43">
        <f>-F13*$S12</f>
        <v>0</v>
      </c>
      <c r="G14" s="43">
        <f>-G13*$S12</f>
        <v>0</v>
      </c>
      <c r="H14" s="43">
        <f>-H13*$S12</f>
        <v>0</v>
      </c>
      <c r="I14" s="43">
        <f>-I13*$S12</f>
        <v>0</v>
      </c>
      <c r="J14" s="43">
        <f>-J13*$S12</f>
        <v>0</v>
      </c>
      <c r="K14" s="43">
        <f>-K13*$S12</f>
        <v>0</v>
      </c>
      <c r="L14" s="43">
        <f>-L13*$S12</f>
        <v>0</v>
      </c>
      <c r="M14" s="43">
        <f>-M13*$S12</f>
        <v>0</v>
      </c>
      <c r="N14" s="43">
        <f>-N13*$S12</f>
        <v>0</v>
      </c>
      <c r="O14" s="43">
        <f>-O13*$S12</f>
        <v>0</v>
      </c>
      <c r="P14" s="43">
        <f>-P13*$S12</f>
        <v>0</v>
      </c>
      <c r="Q14" s="43">
        <f>-Q13*$S12</f>
        <v>0</v>
      </c>
      <c r="R14" s="43">
        <f>-R13*$S12</f>
        <v>0</v>
      </c>
      <c r="S14" s="73"/>
      <c r="T14" s="11"/>
      <c r="U14" s="72"/>
    </row>
    <row r="15">
      <c r="B15" t="s" s="41">
        <v>276</v>
      </c>
      <c r="C15" s="43"/>
      <c r="D15" s="43"/>
      <c r="E15" s="43"/>
      <c r="F15" s="43"/>
      <c r="G15" s="43"/>
      <c r="H15" s="43"/>
      <c r="I15" s="43"/>
      <c r="J15" s="43"/>
      <c r="K15" s="43"/>
      <c r="L15" s="43"/>
      <c r="M15" s="43"/>
      <c r="N15" s="43"/>
      <c r="O15" s="43"/>
      <c r="P15" s="43"/>
      <c r="Q15" s="43"/>
      <c r="R15" s="43"/>
      <c r="S15" s="71">
        <v>1</v>
      </c>
      <c r="T15" t="s" s="11">
        <v>629</v>
      </c>
      <c r="U15" t="s" s="72">
        <v>305</v>
      </c>
    </row>
    <row r="16">
      <c r="B16" t="s" s="55">
        <v>274</v>
      </c>
      <c r="C16" s="47">
        <v>0</v>
      </c>
      <c r="D16" s="47">
        <v>0</v>
      </c>
      <c r="E16" s="47">
        <v>0</v>
      </c>
      <c r="F16" s="47">
        <v>0</v>
      </c>
      <c r="G16" s="47">
        <v>0</v>
      </c>
      <c r="H16" s="47">
        <v>0</v>
      </c>
      <c r="I16" s="47">
        <v>0</v>
      </c>
      <c r="J16" s="47">
        <v>0</v>
      </c>
      <c r="K16" s="47">
        <v>0</v>
      </c>
      <c r="L16" s="47">
        <v>0</v>
      </c>
      <c r="M16" s="47">
        <v>0</v>
      </c>
      <c r="N16" s="47">
        <v>0</v>
      </c>
      <c r="O16" s="47">
        <v>0</v>
      </c>
      <c r="P16" s="47">
        <v>0</v>
      </c>
      <c r="Q16" s="47">
        <v>0</v>
      </c>
      <c r="R16" s="47">
        <v>0</v>
      </c>
      <c r="S16" s="73"/>
      <c r="T16" s="11"/>
      <c r="U16" s="72"/>
    </row>
    <row r="17">
      <c r="B17" t="s" s="55">
        <v>275</v>
      </c>
      <c r="C17" s="43">
        <f>-C16*$S15</f>
        <v>0</v>
      </c>
      <c r="D17" s="43">
        <f>-D16*$S15</f>
        <v>0</v>
      </c>
      <c r="E17" s="43">
        <f>-E16*$S15</f>
        <v>0</v>
      </c>
      <c r="F17" s="43">
        <f>-F16*$S15</f>
        <v>0</v>
      </c>
      <c r="G17" s="43">
        <f>-G16*$S15</f>
        <v>0</v>
      </c>
      <c r="H17" s="43">
        <f>-H16*$S15</f>
        <v>0</v>
      </c>
      <c r="I17" s="43">
        <f>-I16*$S15</f>
        <v>0</v>
      </c>
      <c r="J17" s="43">
        <f>-J16*$S15</f>
        <v>0</v>
      </c>
      <c r="K17" s="43">
        <f>-K16*$S15</f>
        <v>0</v>
      </c>
      <c r="L17" s="43">
        <f>-L16*$S15</f>
        <v>0</v>
      </c>
      <c r="M17" s="43">
        <f>-M16*$S15</f>
        <v>0</v>
      </c>
      <c r="N17" s="43">
        <f>-N16*$S15</f>
        <v>0</v>
      </c>
      <c r="O17" s="43">
        <f>-O16*$S15</f>
        <v>0</v>
      </c>
      <c r="P17" s="43">
        <f>-P16*$S15</f>
        <v>0</v>
      </c>
      <c r="Q17" s="43">
        <f>-Q16*$S15</f>
        <v>0</v>
      </c>
      <c r="R17" s="43">
        <f>-R16*$S15</f>
        <v>0</v>
      </c>
      <c r="S17" s="73"/>
      <c r="T17" s="11"/>
      <c r="U17" s="72"/>
    </row>
    <row r="18">
      <c r="B18" t="s" s="41">
        <v>277</v>
      </c>
      <c r="C18" s="43"/>
      <c r="D18" s="43"/>
      <c r="E18" s="43"/>
      <c r="F18" s="43"/>
      <c r="G18" s="43"/>
      <c r="H18" s="43"/>
      <c r="I18" s="43"/>
      <c r="J18" s="43"/>
      <c r="K18" s="43"/>
      <c r="L18" s="43"/>
      <c r="M18" s="43"/>
      <c r="N18" s="43"/>
      <c r="O18" s="43"/>
      <c r="P18" s="43"/>
      <c r="Q18" s="43"/>
      <c r="R18" s="43"/>
      <c r="S18" s="71">
        <v>1</v>
      </c>
      <c r="T18" t="s" s="11">
        <v>296</v>
      </c>
      <c r="U18" t="s" s="72">
        <v>306</v>
      </c>
    </row>
    <row r="19">
      <c r="B19" t="s" s="55">
        <v>274</v>
      </c>
      <c r="C19" s="47">
        <v>0</v>
      </c>
      <c r="D19" s="47">
        <v>0</v>
      </c>
      <c r="E19" s="47">
        <v>0</v>
      </c>
      <c r="F19" s="47">
        <v>0</v>
      </c>
      <c r="G19" s="47">
        <v>0</v>
      </c>
      <c r="H19" s="47">
        <v>0</v>
      </c>
      <c r="I19" s="47">
        <v>0</v>
      </c>
      <c r="J19" s="47">
        <v>0</v>
      </c>
      <c r="K19" s="47">
        <v>0</v>
      </c>
      <c r="L19" s="47">
        <v>0</v>
      </c>
      <c r="M19" s="47">
        <v>0</v>
      </c>
      <c r="N19" s="47">
        <v>0</v>
      </c>
      <c r="O19" s="47">
        <v>0</v>
      </c>
      <c r="P19" s="47">
        <v>0</v>
      </c>
      <c r="Q19" s="47">
        <v>0</v>
      </c>
      <c r="R19" s="47">
        <v>0</v>
      </c>
      <c r="S19" s="73"/>
      <c r="T19" s="11"/>
      <c r="U19" s="72"/>
    </row>
    <row r="20">
      <c r="B20" t="s" s="55">
        <v>275</v>
      </c>
      <c r="C20" s="43">
        <f>-C19*$S18</f>
        <v>0</v>
      </c>
      <c r="D20" s="43">
        <f>-D19*$S18</f>
        <v>0</v>
      </c>
      <c r="E20" s="43">
        <f>-E19*$S18</f>
        <v>0</v>
      </c>
      <c r="F20" s="43">
        <f>-F19*$S18</f>
        <v>0</v>
      </c>
      <c r="G20" s="43">
        <f>-G19*$S18</f>
        <v>0</v>
      </c>
      <c r="H20" s="43">
        <f>-H19*$S18</f>
        <v>0</v>
      </c>
      <c r="I20" s="43">
        <f>-I19*$S18</f>
        <v>0</v>
      </c>
      <c r="J20" s="43">
        <f>-J19*$S18</f>
        <v>0</v>
      </c>
      <c r="K20" s="43">
        <f>-K19*$S18</f>
        <v>0</v>
      </c>
      <c r="L20" s="43">
        <f>-L19*$S18</f>
        <v>0</v>
      </c>
      <c r="M20" s="43">
        <f>-M19*$S18</f>
        <v>0</v>
      </c>
      <c r="N20" s="43">
        <f>-N19*$S18</f>
        <v>0</v>
      </c>
      <c r="O20" s="43">
        <f>-O19*$S18</f>
        <v>0</v>
      </c>
      <c r="P20" s="43">
        <f>-P19*$S18</f>
        <v>0</v>
      </c>
      <c r="Q20" s="43">
        <f>-Q19*$S18</f>
        <v>0</v>
      </c>
      <c r="R20" s="43">
        <f>-R19*$S18</f>
        <v>0</v>
      </c>
      <c r="S20" s="73"/>
      <c r="T20" s="11"/>
      <c r="U20" s="72"/>
    </row>
    <row r="21">
      <c r="B21" t="s" s="41">
        <v>278</v>
      </c>
      <c r="C21" s="43"/>
      <c r="D21" s="43"/>
      <c r="E21" s="43"/>
      <c r="F21" s="43"/>
      <c r="G21" s="43"/>
      <c r="H21" s="43"/>
      <c r="I21" s="43"/>
      <c r="J21" s="43"/>
      <c r="K21" s="43"/>
      <c r="L21" s="43"/>
      <c r="M21" s="43"/>
      <c r="N21" s="43"/>
      <c r="O21" s="43"/>
      <c r="P21" s="43"/>
      <c r="Q21" s="43"/>
      <c r="R21" s="43"/>
      <c r="S21" s="71">
        <v>0</v>
      </c>
      <c r="T21" t="s" s="11">
        <v>630</v>
      </c>
      <c r="U21" t="s" s="72">
        <v>631</v>
      </c>
    </row>
    <row r="22">
      <c r="B22" t="s" s="55">
        <v>274</v>
      </c>
      <c r="C22" s="47">
        <v>0</v>
      </c>
      <c r="D22" s="47">
        <v>0</v>
      </c>
      <c r="E22" s="47">
        <v>0</v>
      </c>
      <c r="F22" s="47">
        <v>0</v>
      </c>
      <c r="G22" s="47">
        <v>0</v>
      </c>
      <c r="H22" s="47">
        <v>0</v>
      </c>
      <c r="I22" s="47">
        <v>0</v>
      </c>
      <c r="J22" s="47">
        <v>0</v>
      </c>
      <c r="K22" s="47">
        <v>0</v>
      </c>
      <c r="L22" s="47">
        <v>0</v>
      </c>
      <c r="M22" s="47">
        <v>0</v>
      </c>
      <c r="N22" s="47">
        <v>0</v>
      </c>
      <c r="O22" s="42">
        <v>-0.3</v>
      </c>
      <c r="P22" s="47">
        <v>-0.3</v>
      </c>
      <c r="Q22" s="47">
        <v>-0.3</v>
      </c>
      <c r="R22" s="47">
        <v>-0.3</v>
      </c>
      <c r="S22" s="73"/>
      <c r="T22" s="11"/>
      <c r="U22" t="s" s="72">
        <v>308</v>
      </c>
    </row>
    <row r="23">
      <c r="B23" t="s" s="55">
        <v>275</v>
      </c>
      <c r="C23" s="43">
        <f>-C22*$S21</f>
        <v>0</v>
      </c>
      <c r="D23" s="43">
        <f>-D22*$S21</f>
        <v>0</v>
      </c>
      <c r="E23" s="43">
        <f>-E22*$S21</f>
        <v>0</v>
      </c>
      <c r="F23" s="43">
        <f>-F22*$S21</f>
        <v>0</v>
      </c>
      <c r="G23" s="43">
        <f>-G22*$S21</f>
        <v>0</v>
      </c>
      <c r="H23" s="43">
        <f>-H22*$S21</f>
        <v>0</v>
      </c>
      <c r="I23" s="43">
        <f>-I22*$S21</f>
        <v>0</v>
      </c>
      <c r="J23" s="43">
        <f>-J22*$S21</f>
        <v>0</v>
      </c>
      <c r="K23" s="43">
        <f>-K22*$S21</f>
        <v>0</v>
      </c>
      <c r="L23" s="43">
        <f>-L22*$S21</f>
        <v>0</v>
      </c>
      <c r="M23" s="43">
        <f>-M22*$S21</f>
        <v>0</v>
      </c>
      <c r="N23" s="43">
        <f>-N22*$S21</f>
        <v>0</v>
      </c>
      <c r="O23" s="43">
        <f>-O22*$S21</f>
        <v>0</v>
      </c>
      <c r="P23" s="43">
        <f>-P22*$S21</f>
        <v>0</v>
      </c>
      <c r="Q23" s="43">
        <f>-Q22*$S21</f>
        <v>0</v>
      </c>
      <c r="R23" s="43">
        <f>-R22*$S21</f>
        <v>0</v>
      </c>
      <c r="S23" s="73"/>
      <c r="T23" s="11"/>
      <c r="U23" s="72"/>
    </row>
    <row r="24">
      <c r="B24" t="s" s="41">
        <v>23</v>
      </c>
      <c r="C24" s="43"/>
      <c r="D24" s="43"/>
      <c r="E24" s="43"/>
      <c r="F24" s="43"/>
      <c r="G24" s="43"/>
      <c r="H24" s="43"/>
      <c r="I24" s="43"/>
      <c r="J24" s="43"/>
      <c r="K24" s="43"/>
      <c r="L24" s="43"/>
      <c r="M24" s="43"/>
      <c r="N24" s="43"/>
      <c r="O24" s="43"/>
      <c r="P24" s="43"/>
      <c r="Q24" s="43"/>
      <c r="R24" s="43"/>
      <c r="S24" s="71">
        <v>0</v>
      </c>
      <c r="T24" t="s" s="11">
        <v>632</v>
      </c>
      <c r="U24" t="s" s="72">
        <v>633</v>
      </c>
    </row>
    <row r="25">
      <c r="B25" t="s" s="55">
        <v>274</v>
      </c>
      <c r="C25" s="47">
        <v>0</v>
      </c>
      <c r="D25" s="47">
        <v>0</v>
      </c>
      <c r="E25" s="47">
        <v>0</v>
      </c>
      <c r="F25" s="47">
        <v>0</v>
      </c>
      <c r="G25" s="47">
        <v>0</v>
      </c>
      <c r="H25" s="47">
        <v>0</v>
      </c>
      <c r="I25" s="47">
        <v>0</v>
      </c>
      <c r="J25" s="47">
        <v>0</v>
      </c>
      <c r="K25" s="47">
        <v>0</v>
      </c>
      <c r="L25" s="47">
        <v>0</v>
      </c>
      <c r="M25" s="47">
        <v>0</v>
      </c>
      <c r="N25" s="47">
        <v>0</v>
      </c>
      <c r="O25" s="42">
        <v>-1.2</v>
      </c>
      <c r="P25" s="46">
        <f>$O$25</f>
        <v>-1.2</v>
      </c>
      <c r="Q25" s="46">
        <f>$O$25</f>
        <v>-1.2</v>
      </c>
      <c r="R25" s="46">
        <f>$O$25</f>
        <v>-1.2</v>
      </c>
      <c r="S25" s="73"/>
      <c r="T25" s="11"/>
      <c r="U25" s="72"/>
    </row>
    <row r="26">
      <c r="B26" t="s" s="55">
        <v>275</v>
      </c>
      <c r="C26" s="43">
        <f>-C25*$S24</f>
        <v>0</v>
      </c>
      <c r="D26" s="43">
        <f>-D25*$S24</f>
        <v>0</v>
      </c>
      <c r="E26" s="43">
        <f>-E25*$S24</f>
        <v>0</v>
      </c>
      <c r="F26" s="43">
        <f>-F25*$S24</f>
        <v>0</v>
      </c>
      <c r="G26" s="43">
        <f>-G25*$S24</f>
        <v>0</v>
      </c>
      <c r="H26" s="43">
        <f>-H25*$S24</f>
        <v>0</v>
      </c>
      <c r="I26" s="43">
        <f>-I25*$S24</f>
        <v>0</v>
      </c>
      <c r="J26" s="43">
        <f>-J25*$S24</f>
        <v>0</v>
      </c>
      <c r="K26" s="43">
        <f>-K25*$S24</f>
        <v>0</v>
      </c>
      <c r="L26" s="43">
        <f>-L25*$S24</f>
        <v>0</v>
      </c>
      <c r="M26" s="43">
        <f>-M25*$S24</f>
        <v>0</v>
      </c>
      <c r="N26" s="43">
        <f>-N25*$S24</f>
        <v>0</v>
      </c>
      <c r="O26" s="43">
        <f>-O25*$S24</f>
        <v>0</v>
      </c>
      <c r="P26" s="43">
        <f>-P25*$S24</f>
        <v>0</v>
      </c>
      <c r="Q26" s="43">
        <f>-Q25*$S24</f>
        <v>0</v>
      </c>
      <c r="R26" s="43">
        <f>-R25*$S24</f>
        <v>0</v>
      </c>
      <c r="S26" s="73"/>
      <c r="T26" s="11"/>
      <c r="U26" s="72"/>
    </row>
    <row r="27">
      <c r="B27" t="s" s="50">
        <v>279</v>
      </c>
      <c r="C27" s="51"/>
      <c r="D27" s="51"/>
      <c r="E27" s="51"/>
      <c r="F27" s="51"/>
      <c r="G27" s="51"/>
      <c r="H27" s="51"/>
      <c r="I27" s="51"/>
      <c r="J27" s="51"/>
      <c r="K27" s="51"/>
      <c r="L27" s="51"/>
      <c r="M27" s="51"/>
      <c r="N27" s="51"/>
      <c r="O27" s="51"/>
      <c r="P27" s="51"/>
      <c r="Q27" s="51"/>
      <c r="R27" s="51"/>
      <c r="S27" s="74"/>
      <c r="T27" s="21"/>
      <c r="U27" s="75"/>
    </row>
    <row r="28">
      <c r="B28" t="s" s="41">
        <v>280</v>
      </c>
      <c r="C28" s="43"/>
      <c r="D28" s="43"/>
      <c r="E28" s="43"/>
      <c r="F28" s="43"/>
      <c r="G28" s="43"/>
      <c r="H28" s="43"/>
      <c r="I28" s="43"/>
      <c r="J28" s="43"/>
      <c r="K28" s="43"/>
      <c r="L28" s="43"/>
      <c r="M28" s="43"/>
      <c r="N28" s="43"/>
      <c r="O28" s="43"/>
      <c r="P28" s="43"/>
      <c r="Q28" s="43"/>
      <c r="R28" s="43"/>
      <c r="S28" s="71">
        <v>1</v>
      </c>
      <c r="T28" t="s" s="11">
        <v>299</v>
      </c>
      <c r="U28" t="s" s="72">
        <v>310</v>
      </c>
    </row>
    <row r="29">
      <c r="B29" t="s" s="55">
        <v>274</v>
      </c>
      <c r="C29" s="43">
        <f>Monthly!C63</f>
        <v>0</v>
      </c>
      <c r="D29" s="43">
        <f>Monthly!D63</f>
        <v>-1.21718</v>
      </c>
      <c r="E29" s="43">
        <f>Monthly!E63</f>
        <v>-2.621148</v>
      </c>
      <c r="F29" s="43">
        <f>Monthly!F63</f>
        <v>-3.6116719999999995</v>
      </c>
      <c r="G29" s="43">
        <f>Monthly!G63</f>
        <v>-4.0523679999999995</v>
      </c>
      <c r="H29" s="43">
        <f>Monthly!H63</f>
        <v>-3.843559999999999</v>
      </c>
      <c r="I29" s="43">
        <f>Monthly!I63</f>
        <v>-2.450201999999999</v>
      </c>
      <c r="J29" s="43">
        <f>Monthly!J63</f>
        <v>0.17467000000000077</v>
      </c>
      <c r="K29" s="43">
        <f>Monthly!K63</f>
        <v>2.4805589999999995</v>
      </c>
      <c r="L29" s="43">
        <f>Monthly!L63</f>
        <v>3.4144099999999993</v>
      </c>
      <c r="M29" s="43">
        <f>Monthly!M63</f>
        <v>3.0271139999999983</v>
      </c>
      <c r="N29" s="43">
        <f>Monthly!N63</f>
        <v>1.6033289999999987</v>
      </c>
      <c r="O29" s="43">
        <f>Monthly!O63</f>
        <v>-0.0000000000000017763568394002505</v>
      </c>
      <c r="P29" s="43">
        <f>Monthly!P63</f>
        <v>0</v>
      </c>
      <c r="Q29" s="43">
        <f>Monthly!Q63</f>
        <v>0</v>
      </c>
      <c r="R29" s="43">
        <f>Monthly!R63</f>
        <v>0</v>
      </c>
      <c r="S29" s="73"/>
      <c r="T29" s="11"/>
      <c r="U29" s="72"/>
    </row>
    <row r="30">
      <c r="B30" t="s" s="55">
        <v>275</v>
      </c>
      <c r="C30" s="43">
        <f>-C29*$S28</f>
        <v>0</v>
      </c>
      <c r="D30" s="43">
        <f>-D29*$S28</f>
        <v>1.21718</v>
      </c>
      <c r="E30" s="43">
        <f>-E29*$S28</f>
        <v>2.621148</v>
      </c>
      <c r="F30" s="43">
        <f>-F29*$S28</f>
        <v>3.6116719999999995</v>
      </c>
      <c r="G30" s="43">
        <f>-G29*$S28</f>
        <v>4.0523679999999995</v>
      </c>
      <c r="H30" s="43">
        <f>-H29*$S28</f>
        <v>3.843559999999999</v>
      </c>
      <c r="I30" s="43">
        <f>-I29*$S28</f>
        <v>2.450201999999999</v>
      </c>
      <c r="J30" s="43">
        <f>-J29*$S28</f>
        <v>-0.17467000000000077</v>
      </c>
      <c r="K30" s="43">
        <f>-K29*$S28</f>
        <v>-2.4805589999999995</v>
      </c>
      <c r="L30" s="43">
        <f>-L29*$S28</f>
        <v>-3.4144099999999993</v>
      </c>
      <c r="M30" s="43">
        <f>-M29*$S28</f>
        <v>-3.0271139999999983</v>
      </c>
      <c r="N30" s="43">
        <f>-N29*$S28</f>
        <v>-1.6033289999999987</v>
      </c>
      <c r="O30" s="43">
        <f>-O29*$S28</f>
        <v>0.0000000000000017763568394002505</v>
      </c>
      <c r="P30" s="43">
        <f>-P29*$S28</f>
        <v>0</v>
      </c>
      <c r="Q30" s="43">
        <f>-Q29*$S28</f>
        <v>0</v>
      </c>
      <c r="R30" s="43">
        <f>-R29*$S28</f>
        <v>0</v>
      </c>
      <c r="S30" s="73"/>
      <c r="T30" s="11"/>
      <c r="U30" s="72"/>
    </row>
    <row r="31">
      <c r="B31" t="s" s="41">
        <v>281</v>
      </c>
      <c r="C31" s="43"/>
      <c r="D31" s="43"/>
      <c r="E31" s="43"/>
      <c r="F31" s="43"/>
      <c r="G31" s="43"/>
      <c r="H31" s="43"/>
      <c r="I31" s="43"/>
      <c r="J31" s="43"/>
      <c r="K31" s="43"/>
      <c r="L31" s="43"/>
      <c r="M31" s="43"/>
      <c r="N31" s="43"/>
      <c r="O31" s="43"/>
      <c r="P31" s="43"/>
      <c r="Q31" s="43"/>
      <c r="R31" s="43"/>
      <c r="S31" s="71">
        <v>0</v>
      </c>
      <c r="T31" t="s" s="11">
        <v>634</v>
      </c>
      <c r="U31" t="s" s="72">
        <v>635</v>
      </c>
    </row>
    <row r="32">
      <c r="B32" t="s" s="55">
        <v>274</v>
      </c>
      <c r="C32" s="43">
        <f>-Monthly!C82</f>
        <v>-7.4696428571428575</v>
      </c>
      <c r="D32" s="43">
        <f>-Monthly!D82</f>
        <v>-8.252976190476192</v>
      </c>
      <c r="E32" s="43">
        <f>-Monthly!E82</f>
        <v>-9.036309523809525</v>
      </c>
      <c r="F32" s="43">
        <f>-Monthly!F82</f>
        <v>-2.3500000000000005</v>
      </c>
      <c r="G32" s="43">
        <f>-Monthly!G82</f>
        <v>-3.1333333333333337</v>
      </c>
      <c r="H32" s="43">
        <f>-Monthly!H82</f>
        <v>-3.916666666666667</v>
      </c>
      <c r="I32" s="43">
        <f>-Monthly!I82</f>
        <v>-4.7</v>
      </c>
      <c r="J32" s="43">
        <f>-Monthly!J82</f>
        <v>-5.483333333333333</v>
      </c>
      <c r="K32" s="43">
        <f>-Monthly!K82</f>
        <v>-6.266666666666667</v>
      </c>
      <c r="L32" s="43">
        <f>-Monthly!L82</f>
        <v>-7.05</v>
      </c>
      <c r="M32" s="43">
        <f>-Monthly!M82</f>
        <v>-7.833333333333333</v>
      </c>
      <c r="N32" s="43">
        <f>-Monthly!N82</f>
        <v>-8.616666666666667</v>
      </c>
      <c r="O32" s="43">
        <f>-Monthly!O82</f>
        <v>-9.4</v>
      </c>
      <c r="P32" s="43">
        <f>-Monthly!P82</f>
        <v>-10.263265306122449</v>
      </c>
      <c r="Q32" s="43">
        <f>-Monthly!Q82</f>
        <v>-11.126530612244897</v>
      </c>
      <c r="R32" s="43">
        <f>-Monthly!R82</f>
        <v>-2.5897959183673454</v>
      </c>
      <c r="S32" s="73"/>
      <c r="T32" s="11"/>
      <c r="U32" s="72"/>
    </row>
    <row r="33">
      <c r="B33" t="s" s="55">
        <v>275</v>
      </c>
      <c r="C33" s="43">
        <f>-C32*$S31</f>
        <v>0</v>
      </c>
      <c r="D33" s="43">
        <f>-D32*$S31</f>
        <v>0</v>
      </c>
      <c r="E33" s="43">
        <f>-E32*$S31</f>
        <v>0</v>
      </c>
      <c r="F33" s="43">
        <f>-F32*$S31</f>
        <v>0</v>
      </c>
      <c r="G33" s="43">
        <f>-G32*$S31</f>
        <v>0</v>
      </c>
      <c r="H33" s="43">
        <f>-H32*$S31</f>
        <v>0</v>
      </c>
      <c r="I33" s="43">
        <f>-I32*$S31</f>
        <v>0</v>
      </c>
      <c r="J33" s="43">
        <f>-J32*$S31</f>
        <v>0</v>
      </c>
      <c r="K33" s="43">
        <f>-K32*$S31</f>
        <v>0</v>
      </c>
      <c r="L33" s="43">
        <f>-L32*$S31</f>
        <v>0</v>
      </c>
      <c r="M33" s="43">
        <f>-M32*$S31</f>
        <v>0</v>
      </c>
      <c r="N33" s="43">
        <f>-N32*$S31</f>
        <v>0</v>
      </c>
      <c r="O33" s="43">
        <f>-O32*$S31</f>
        <v>0</v>
      </c>
      <c r="P33" s="43">
        <f>-P32*$S31</f>
        <v>0</v>
      </c>
      <c r="Q33" s="43">
        <f>-Q32*$S31</f>
        <v>0</v>
      </c>
      <c r="R33" s="43">
        <f>-R32*$S31</f>
        <v>0</v>
      </c>
      <c r="S33" s="73"/>
      <c r="T33" s="11"/>
      <c r="U33" s="72"/>
    </row>
    <row r="34">
      <c r="B34" t="s" s="41">
        <v>282</v>
      </c>
      <c r="C34" s="43"/>
      <c r="D34" s="43"/>
      <c r="E34" s="43"/>
      <c r="F34" s="43"/>
      <c r="G34" s="43"/>
      <c r="H34" s="43"/>
      <c r="I34" s="43"/>
      <c r="J34" s="43"/>
      <c r="K34" s="43"/>
      <c r="L34" s="43"/>
      <c r="M34" s="43"/>
      <c r="N34" s="43"/>
      <c r="O34" s="43"/>
      <c r="P34" s="43"/>
      <c r="Q34" s="43"/>
      <c r="R34" s="43"/>
      <c r="S34" s="71">
        <v>0</v>
      </c>
      <c r="T34" t="s" s="11">
        <v>301</v>
      </c>
      <c r="U34" t="s" s="72">
        <v>312</v>
      </c>
    </row>
    <row r="35">
      <c r="B35" t="s" s="55">
        <v>274</v>
      </c>
      <c r="C35" s="43">
        <f>Monthly!C66</f>
        <v>-9.3</v>
      </c>
      <c r="D35" s="43">
        <f>Monthly!D66</f>
        <v>-9.458333333333334</v>
      </c>
      <c r="E35" s="43">
        <f>Monthly!E66</f>
        <v>-9.616666666666667</v>
      </c>
      <c r="F35" s="43">
        <f>Monthly!F66</f>
        <v>-9.775</v>
      </c>
      <c r="G35" s="43">
        <f>Monthly!G66</f>
        <v>-9.933333333333334</v>
      </c>
      <c r="H35" s="43">
        <f>Monthly!H66</f>
        <v>-10.091666666666667</v>
      </c>
      <c r="I35" s="43">
        <f>Monthly!I66</f>
        <v>-10.25</v>
      </c>
      <c r="J35" s="43">
        <f>Monthly!J66</f>
        <v>-10.408333333333333</v>
      </c>
      <c r="K35" s="43">
        <f>Monthly!K66</f>
        <v>-10.566666666666666</v>
      </c>
      <c r="L35" s="43">
        <f>Monthly!L66</f>
        <v>-10.725</v>
      </c>
      <c r="M35" s="43">
        <f>Monthly!M66</f>
        <v>-10.883333333333333</v>
      </c>
      <c r="N35" s="43">
        <f>Monthly!N66</f>
        <v>-11.041666666666666</v>
      </c>
      <c r="O35" s="43">
        <f>Monthly!O66</f>
        <v>-11.2</v>
      </c>
      <c r="P35" s="43">
        <f>Monthly!P66</f>
        <v>-11.333333333333334</v>
      </c>
      <c r="Q35" s="43">
        <f>Monthly!Q66</f>
        <v>-11.466666666666669</v>
      </c>
      <c r="R35" s="43">
        <f>Monthly!R66</f>
        <v>-11.600000000000003</v>
      </c>
      <c r="S35" s="73"/>
      <c r="T35" s="11"/>
      <c r="U35" s="72"/>
    </row>
    <row r="36">
      <c r="B36" t="s" s="55">
        <v>275</v>
      </c>
      <c r="C36" s="43">
        <f>-C35*$S34</f>
        <v>0</v>
      </c>
      <c r="D36" s="43">
        <f>-D35*$S34</f>
        <v>0</v>
      </c>
      <c r="E36" s="43">
        <f>-E35*$S34</f>
        <v>0</v>
      </c>
      <c r="F36" s="43">
        <f>-F35*$S34</f>
        <v>0</v>
      </c>
      <c r="G36" s="43">
        <f>-G35*$S34</f>
        <v>0</v>
      </c>
      <c r="H36" s="43">
        <f>-H35*$S34</f>
        <v>0</v>
      </c>
      <c r="I36" s="43">
        <f>-I35*$S34</f>
        <v>0</v>
      </c>
      <c r="J36" s="43">
        <f>-J35*$S34</f>
        <v>0</v>
      </c>
      <c r="K36" s="43">
        <f>-K35*$S34</f>
        <v>0</v>
      </c>
      <c r="L36" s="43">
        <f>-L35*$S34</f>
        <v>0</v>
      </c>
      <c r="M36" s="43">
        <f>-M35*$S34</f>
        <v>0</v>
      </c>
      <c r="N36" s="43">
        <f>-N35*$S34</f>
        <v>0</v>
      </c>
      <c r="O36" s="43">
        <f>-O35*$S34</f>
        <v>0</v>
      </c>
      <c r="P36" s="43">
        <f>-P35*$S34</f>
        <v>0</v>
      </c>
      <c r="Q36" s="43">
        <f>-Q35*$S34</f>
        <v>0</v>
      </c>
      <c r="R36" s="43">
        <f>-R35*$S34</f>
        <v>0</v>
      </c>
      <c r="S36" s="73"/>
      <c r="T36" s="11"/>
      <c r="U36" s="72"/>
    </row>
    <row r="37">
      <c r="C37" s="1"/>
      <c r="D37" s="1"/>
      <c r="E37" s="1"/>
      <c r="F37" s="1"/>
      <c r="G37" s="1"/>
      <c r="H37" s="1"/>
      <c r="I37" s="1"/>
      <c r="J37" s="1"/>
      <c r="K37" s="1"/>
      <c r="L37" s="1"/>
      <c r="M37" s="1"/>
      <c r="N37" s="1"/>
      <c r="O37" s="1"/>
      <c r="P37" s="1"/>
      <c r="Q37" s="1"/>
      <c r="R37" s="1"/>
      <c r="U37" s="67"/>
    </row>
    <row r="38">
      <c r="B38" t="s" s="5">
        <v>283</v>
      </c>
      <c r="C38" s="13"/>
      <c r="D38" s="13"/>
      <c r="E38" s="13"/>
      <c r="F38" s="13"/>
      <c r="G38" s="13"/>
      <c r="H38" s="13"/>
      <c r="I38" s="13"/>
      <c r="J38" s="13"/>
      <c r="K38" s="13"/>
      <c r="L38" s="13"/>
      <c r="M38" s="13"/>
      <c r="N38" s="13"/>
      <c r="O38" s="13"/>
      <c r="P38" s="13"/>
      <c r="Q38" s="13"/>
      <c r="R38" s="13"/>
      <c r="S38" s="5"/>
      <c r="T38" s="5"/>
      <c r="U38" s="68"/>
    </row>
    <row r="39">
      <c r="B39" t="s">
        <v>284</v>
      </c>
      <c r="C39" s="1">
        <f>SUM(C14,C17,C20,C23,C26,C30,C33,C36)</f>
        <v>0</v>
      </c>
      <c r="D39" s="1">
        <f>SUM(D14,D17,D20,D23,D26,D30,D33,D36)</f>
        <v>1.21718</v>
      </c>
      <c r="E39" s="1">
        <f>SUM(E14,E17,E20,E23,E26,E30,E33,E36)</f>
        <v>2.621148</v>
      </c>
      <c r="F39" s="1">
        <f>SUM(F14,F17,F20,F23,F26,F30,F33,F36)</f>
        <v>3.6116719999999995</v>
      </c>
      <c r="G39" s="1">
        <f>SUM(G14,G17,G20,G23,G26,G30,G33,G36)</f>
        <v>4.0523679999999995</v>
      </c>
      <c r="H39" s="1">
        <f>SUM(H14,H17,H20,H23,H26,H30,H33,H36)</f>
        <v>3.843559999999999</v>
      </c>
      <c r="I39" s="1">
        <f>SUM(I14,I17,I20,I23,I26,I30,I33,I36)</f>
        <v>2.450201999999999</v>
      </c>
      <c r="J39" s="1">
        <f>SUM(J14,J17,J20,J23,J26,J30,J33,J36)</f>
        <v>-0.17467000000000077</v>
      </c>
      <c r="K39" s="1">
        <f>SUM(K14,K17,K20,K23,K26,K30,K33,K36)</f>
        <v>-2.4805589999999995</v>
      </c>
      <c r="L39" s="1">
        <f>SUM(L14,L17,L20,L23,L26,L30,L33,L36)</f>
        <v>-3.4144099999999993</v>
      </c>
      <c r="M39" s="1">
        <f>SUM(M14,M17,M20,M23,M26,M30,M33,M36)</f>
        <v>-3.0271139999999983</v>
      </c>
      <c r="N39" s="1">
        <f>SUM(N14,N17,N20,N23,N26,N30,N33,N36)</f>
        <v>-1.6033289999999987</v>
      </c>
      <c r="O39" s="1">
        <f>SUM(O14,O17,O20,O23,O26,O30,O33,O36)</f>
        <v>0.0000000000000017763568394002505</v>
      </c>
      <c r="P39" s="1">
        <f>SUM(P14,P17,P20,P23,P26,P30,P33,P36)</f>
        <v>0</v>
      </c>
      <c r="Q39" s="1">
        <f>SUM(Q14,Q17,Q20,Q23,Q26,Q30,Q33,Q36)</f>
        <v>0</v>
      </c>
      <c r="R39" s="1">
        <f>SUM(R14,R17,R20,R23,R26,R30,R33,R36)</f>
        <v>0</v>
      </c>
      <c r="U39" s="67"/>
    </row>
    <row r="40">
      <c r="B40" t="s" s="8">
        <v>285</v>
      </c>
      <c r="C40" s="9">
        <f>C9+C39</f>
        <v>-15.1</v>
      </c>
      <c r="D40" s="9">
        <f>D9+D39</f>
        <v>-14.96667831202296</v>
      </c>
      <c r="E40" s="9">
        <f>E9+E39</f>
        <v>-14.140226812868894</v>
      </c>
      <c r="F40" s="9">
        <f>F9+F39</f>
        <v>-13.857178524171736</v>
      </c>
      <c r="G40" s="9">
        <f>G9+G39</f>
        <v>-9.877781558319162</v>
      </c>
      <c r="H40" s="9">
        <f>H9+H39</f>
        <v>-22.519870323850878</v>
      </c>
      <c r="I40" s="9">
        <f>I9+I39</f>
        <v>-15.301970773295304</v>
      </c>
      <c r="J40" s="9">
        <f>J9+J39</f>
        <v>-20.31729486983862</v>
      </c>
      <c r="K40" s="9">
        <f>K9+K39</f>
        <v>-23.329368700014555</v>
      </c>
      <c r="L40" s="9">
        <f>L9+L39</f>
        <v>-15.311828302418004</v>
      </c>
      <c r="M40" s="9">
        <f>M9+M39</f>
        <v>-20.84126006722415</v>
      </c>
      <c r="N40" s="9">
        <f>N9+N39</f>
        <v>-19.197016627498346</v>
      </c>
      <c r="O40" s="9">
        <f>O9+O39</f>
        <v>-17.1</v>
      </c>
      <c r="P40" s="9">
        <f>P9+P39</f>
        <v>-23.338168232536155</v>
      </c>
      <c r="Q40" s="9">
        <f>Q9+Q39</f>
        <v>-16.75330311626808</v>
      </c>
      <c r="R40" s="9">
        <f>R9+R39</f>
        <v>-17.1</v>
      </c>
      <c r="S40" s="8"/>
      <c r="T40" s="8"/>
      <c r="U40" s="70"/>
    </row>
    <row r="42">
      <c r="B42" t="s" s="5">
        <v>636</v>
      </c>
      <c r="C42" s="5"/>
      <c r="D42" s="5"/>
      <c r="E42" s="5"/>
      <c r="F42" s="5"/>
      <c r="G42" s="5"/>
      <c r="H42" s="5"/>
      <c r="I42" s="5"/>
      <c r="J42" s="5"/>
      <c r="K42" s="5"/>
      <c r="L42" s="5"/>
      <c r="M42" s="5"/>
      <c r="N42" s="5"/>
      <c r="O42" s="5"/>
      <c r="P42" s="5"/>
      <c r="Q42" s="5"/>
      <c r="R42" s="5"/>
      <c r="S42" s="5"/>
      <c r="T42" s="5"/>
      <c r="U42" s="5"/>
    </row>
    <row r="43">
      <c r="B43" s="15"/>
      <c r="C43" t="s" s="14">
        <v>290</v>
      </c>
      <c r="D43" t="s" s="14">
        <v>653</v>
      </c>
      <c r="E43" s="14"/>
      <c r="F43" s="14"/>
      <c r="G43" s="14"/>
      <c r="H43" s="14"/>
      <c r="I43" s="14"/>
      <c r="J43" s="14"/>
      <c r="K43" s="14"/>
      <c r="L43" s="14"/>
      <c r="M43" s="14"/>
      <c r="N43" s="14"/>
      <c r="O43" s="14"/>
      <c r="P43" s="14"/>
      <c r="Q43" s="14"/>
      <c r="R43" s="14"/>
      <c r="S43" s="14"/>
      <c r="T43" s="14"/>
      <c r="U43" s="14"/>
    </row>
    <row r="44">
      <c r="B44" t="s">
        <v>26</v>
      </c>
      <c r="C44" s="23">
        <f>S12</f>
        <v>0</v>
      </c>
      <c r="D44" s="1">
        <f>Definition!E30</f>
        <v>1.2</v>
      </c>
    </row>
    <row r="45">
      <c r="B45" t="s">
        <v>24</v>
      </c>
      <c r="C45" s="23">
        <f>S21</f>
        <v>0</v>
      </c>
      <c r="D45" s="1">
        <f>Definition!E28</f>
        <v>0.3</v>
      </c>
    </row>
    <row r="46">
      <c r="B46" t="s">
        <v>287</v>
      </c>
      <c r="C46" s="23">
        <f>S24</f>
        <v>0</v>
      </c>
      <c r="D46" s="1">
        <f>Definition!E27</f>
        <v>1.2</v>
      </c>
    </row>
    <row r="47">
      <c r="B47" t="s">
        <v>288</v>
      </c>
      <c r="C47" s="23">
        <f>S31</f>
        <v>0</v>
      </c>
      <c r="D47" s="1">
        <f>Definition!E29</f>
        <v>9.4</v>
      </c>
    </row>
    <row r="48">
      <c r="B48" t="s" s="3">
        <v>639</v>
      </c>
      <c r="C48" s="27">
        <f>SUMPRODUCT(C44:C47,--(D44:D47&lt;&gt;0))</f>
        <v>0</v>
      </c>
      <c r="D48" s="3"/>
      <c r="E48" s="3"/>
      <c r="F48" s="3"/>
      <c r="G48" s="3"/>
      <c r="H48" s="3"/>
      <c r="I48" s="3"/>
      <c r="J48" s="3"/>
      <c r="K48" s="3"/>
      <c r="L48" s="3"/>
      <c r="M48" s="3"/>
      <c r="N48" s="3"/>
      <c r="O48" s="3"/>
      <c r="P48" s="3"/>
      <c r="Q48" s="3"/>
      <c r="R48" s="3"/>
      <c r="S48" s="3"/>
      <c r="T48" s="3"/>
      <c r="U48" s="3"/>
    </row>
  </sheetData>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7"/>
  <sheetViews>
    <sheetView showGridLines="0" workbookViewId="0">
      <selection activeCell="A1" sqref="A1"/>
    </sheetView>
  </sheetViews>
  <cols>
    <col min="1" max="1" width="2.359375" customWidth="1"/>
    <col min="2" max="2" width="76.64453125" customWidth="1"/>
    <col min="3" max="3" width="14.7890625" customWidth="1"/>
    <col min="4" max="10" width="17.21875" customWidth="1"/>
    <col min="11" max="11" width="86.64453125" customWidth="1"/>
  </cols>
  <sheetData>
    <row r="2">
      <c r="B2" t="s" s="2">
        <v>313</v>
      </c>
    </row>
    <row r="3">
      <c r="B3" t="str" s="4">
        <f>"$M. Purchase price adjustment = closing NWC less peg (positive = buyer pays more), shown before and after the Closing tab collar: nil while closing NWC is within +/- "&amp;TEXT(Closing!$C$45,"0.0")&amp;" of the peg, the whole difference from the first dollar outside it. Cost to buyer is after the collar. Each candidate is compared with a closing balance on its own basis (Closing tab, illustrative 12/31/26). Column J is before the collar, dollar for dollar; the cost after the collar is column G."</f>
        <v>$M. Purchase price adjustment = closing NWC less peg (positive = buyer pays more), shown before and after the Closing tab collar: nil while closing NWC is within +/- 2.0 of the peg, the whole difference from the first dollar outside it. Cost to buyer is after the collar. Each candidate is compared with a closing balance on its own basis (Closing tab, illustrative 12/31/26). Column J is before the collar, dollar for dollar; the cost after the collar is column G.</v>
      </c>
    </row>
    <row r="5">
      <c r="B5" t="s" s="5">
        <v>315</v>
      </c>
      <c r="C5" s="5"/>
      <c r="D5" s="5"/>
      <c r="E5" s="5"/>
      <c r="F5" s="5"/>
      <c r="G5" s="5"/>
      <c r="H5" s="5"/>
      <c r="I5" s="5"/>
      <c r="J5" s="5"/>
      <c r="K5" s="5"/>
    </row>
    <row r="6">
      <c r="B6" t="s" s="15">
        <v>316</v>
      </c>
      <c r="C6" t="s" s="14">
        <v>337</v>
      </c>
      <c r="D6" t="s" s="22">
        <v>339</v>
      </c>
      <c r="E6" t="s" s="22">
        <v>654</v>
      </c>
      <c r="F6" t="s" s="22">
        <v>655</v>
      </c>
      <c r="G6" t="s" s="22">
        <v>656</v>
      </c>
      <c r="H6" t="s" s="22">
        <v>551</v>
      </c>
      <c r="I6" t="s" s="22">
        <v>552</v>
      </c>
      <c r="J6" t="s" s="22">
        <v>657</v>
      </c>
      <c r="K6" t="s" s="14">
        <v>173</v>
      </c>
    </row>
    <row r="7">
      <c r="B7" t="s">
        <v>317</v>
      </c>
      <c r="C7" s="1">
        <f>Definition!E77</f>
        <v>-11.8</v>
      </c>
      <c r="D7" s="1">
        <f>Closing!D39</f>
        <v>-14.74292694911454</v>
      </c>
      <c r="E7" s="1">
        <f>D7-C7</f>
        <v>-2.94292694911454</v>
      </c>
      <c r="F7" s="1">
        <f>IF(ABS(E7)&lt;=Closing!$C$45,0,E7)</f>
        <v>-2.94292694911454</v>
      </c>
      <c r="G7" s="1">
        <f>F7-$F$14</f>
        <v>-0.5029880821476915</v>
      </c>
      <c r="H7" s="1">
        <f>C8</f>
        <v>-16.433333333333334</v>
      </c>
      <c r="I7" s="1">
        <f>Closing!$C$39-H7</f>
        <v>-2.4399388669668483</v>
      </c>
      <c r="J7" s="1">
        <f>I7-$I$7</f>
        <v>0</v>
      </c>
      <c r="K7" t="s" s="67">
        <v>554</v>
      </c>
    </row>
    <row r="8">
      <c r="B8" t="s">
        <v>544</v>
      </c>
      <c r="C8" s="1">
        <f>AVERAGE(Normalisation!C40,Normalisation!O40,Normalisation!R40)</f>
        <v>-16.433333333333334</v>
      </c>
      <c r="D8" s="1">
        <f>Closing!C39</f>
        <v>-18.873272200300182</v>
      </c>
      <c r="E8" s="1">
        <f>D8-C8</f>
        <v>-2.4399388669668483</v>
      </c>
      <c r="F8" s="1">
        <f>IF(ABS(E8)&lt;=Closing!$C$45,0,E8)</f>
        <v>-2.4399388669668483</v>
      </c>
      <c r="G8" s="1">
        <f>F8-$F$14</f>
        <v>0</v>
      </c>
      <c r="H8" s="1">
        <f>C8</f>
        <v>-16.433333333333334</v>
      </c>
      <c r="I8" s="1">
        <f>Closing!$C$39-H8</f>
        <v>-2.4399388669668483</v>
      </c>
      <c r="J8" s="1">
        <f>I8-$I$7</f>
        <v>0</v>
      </c>
      <c r="K8" t="s" s="67">
        <v>555</v>
      </c>
    </row>
    <row r="9">
      <c r="B9" t="s">
        <v>318</v>
      </c>
      <c r="C9" s="1">
        <f>AVERAGE(Normalisation!G40:R40)</f>
        <v>-18.41565521427194</v>
      </c>
      <c r="D9" s="1">
        <f>Closing!C39</f>
        <v>-18.873272200300182</v>
      </c>
      <c r="E9" s="1">
        <f>D9-C9</f>
        <v>-0.45761698602824197</v>
      </c>
      <c r="F9" s="1">
        <f>IF(ABS(E9)&lt;=Closing!$C$45,0,E9)</f>
        <v>0</v>
      </c>
      <c r="G9" s="1">
        <f>F9-$F$14</f>
        <v>2.4399388669668483</v>
      </c>
      <c r="H9" s="1">
        <f>C9</f>
        <v>-18.41565521427194</v>
      </c>
      <c r="I9" s="1">
        <f>Closing!$C$39-H9</f>
        <v>-0.45761698602824197</v>
      </c>
      <c r="J9" s="1">
        <f>I9-$I$7</f>
        <v>1.9823218809386063</v>
      </c>
      <c r="K9" t="s" s="67">
        <v>440</v>
      </c>
    </row>
    <row r="10">
      <c r="B10" t="s">
        <v>319</v>
      </c>
      <c r="C10" s="1">
        <f>AVERAGE(Normalisation!I40,Normalisation!L40,Normalisation!O40,Normalisation!R40)</f>
        <v>-16.20344976892833</v>
      </c>
      <c r="D10" s="1">
        <f>Closing!C39</f>
        <v>-18.873272200300182</v>
      </c>
      <c r="E10" s="1">
        <f>D10-C10</f>
        <v>-2.669822431371852</v>
      </c>
      <c r="F10" s="1">
        <f>IF(ABS(E10)&lt;=Closing!$C$45,0,E10)</f>
        <v>-2.669822431371852</v>
      </c>
      <c r="G10" s="1">
        <f>F10-$F$14</f>
        <v>-0.22988356440500368</v>
      </c>
      <c r="H10" s="1">
        <f>C10</f>
        <v>-16.20344976892833</v>
      </c>
      <c r="I10" s="1">
        <f>Closing!$C$39-H10</f>
        <v>-2.669822431371852</v>
      </c>
      <c r="J10" s="1">
        <f>I10-$I$7</f>
        <v>-0.22988356440500368</v>
      </c>
      <c r="K10" t="s" s="67">
        <v>556</v>
      </c>
    </row>
    <row r="11">
      <c r="B11" t="s">
        <v>320</v>
      </c>
      <c r="C11" s="1">
        <f>Normalisation!R40</f>
        <v>-17.1</v>
      </c>
      <c r="D11" s="1">
        <f>Closing!C39</f>
        <v>-18.873272200300182</v>
      </c>
      <c r="E11" s="1">
        <f>D11-C11</f>
        <v>-1.7732722003001804</v>
      </c>
      <c r="F11" s="1">
        <f>IF(ABS(E11)&lt;=Closing!$C$45,0,E11)</f>
        <v>0</v>
      </c>
      <c r="G11" s="1">
        <f>F11-$F$14</f>
        <v>2.4399388669668483</v>
      </c>
      <c r="H11" s="1">
        <f>C11</f>
        <v>-17.1</v>
      </c>
      <c r="I11" s="1">
        <f>Closing!$C$39-H11</f>
        <v>-1.7732722003001804</v>
      </c>
      <c r="J11" s="1">
        <f>I11-$I$7</f>
        <v>0.6666666666666679</v>
      </c>
      <c r="K11" t="s" s="67">
        <v>346</v>
      </c>
    </row>
    <row r="12">
      <c r="B12" t="s">
        <v>321</v>
      </c>
      <c r="C12" s="1">
        <f>C17/365*C19</f>
        <v>-22.3757583954308</v>
      </c>
      <c r="D12" s="1">
        <f>Closing!C39</f>
        <v>-18.873272200300182</v>
      </c>
      <c r="E12" s="1">
        <f>D12-C12</f>
        <v>3.5024861951306185</v>
      </c>
      <c r="F12" s="1">
        <f>IF(ABS(E12)&lt;=Closing!$C$45,0,E12)</f>
        <v>3.5024861951306185</v>
      </c>
      <c r="G12" s="1">
        <f>F12-$F$14</f>
        <v>5.942425062097467</v>
      </c>
      <c r="H12" s="1">
        <f>C12</f>
        <v>-22.3757583954308</v>
      </c>
      <c r="I12" s="1">
        <f>Closing!$C$39-H12</f>
        <v>3.5024861951306185</v>
      </c>
      <c r="J12" s="1">
        <f>I12-$I$7</f>
        <v>5.942425062097467</v>
      </c>
      <c r="K12" t="s" s="67">
        <v>347</v>
      </c>
    </row>
    <row r="13">
      <c r="C13" s="1"/>
      <c r="D13" s="1"/>
      <c r="E13" s="1"/>
      <c r="F13" s="1"/>
      <c r="G13" s="1"/>
      <c r="H13" s="1"/>
      <c r="I13" s="1"/>
      <c r="J13" s="1"/>
      <c r="K13" s="67"/>
    </row>
    <row r="14">
      <c r="B14" t="s" s="8">
        <v>545</v>
      </c>
      <c r="C14" s="9">
        <f>C8</f>
        <v>-16.433333333333334</v>
      </c>
      <c r="D14" s="9">
        <f>Closing!C39</f>
        <v>-18.873272200300182</v>
      </c>
      <c r="E14" s="9">
        <f>D14-C14</f>
        <v>-2.4399388669668483</v>
      </c>
      <c r="F14" s="9">
        <f>IF(ABS(E14)&lt;=Closing!$C$45,0,E14)</f>
        <v>-2.4399388669668483</v>
      </c>
      <c r="G14" s="9">
        <f>F14-$F$14</f>
        <v>0</v>
      </c>
      <c r="H14" s="9">
        <f>C14</f>
        <v>-16.433333333333334</v>
      </c>
      <c r="I14" s="9">
        <f>Closing!$C$39-H14</f>
        <v>-2.4399388669668483</v>
      </c>
      <c r="J14" s="9">
        <f>I14-$I$7</f>
        <v>0</v>
      </c>
      <c r="K14" t="s" s="70">
        <v>348</v>
      </c>
    </row>
    <row r="15">
      <c r="K15" s="67"/>
    </row>
    <row r="16">
      <c r="B16" t="s" s="6">
        <v>323</v>
      </c>
      <c r="C16" s="6"/>
      <c r="D16" s="6"/>
      <c r="E16" s="6"/>
      <c r="F16" s="6"/>
      <c r="G16" s="6"/>
      <c r="H16" s="6"/>
      <c r="I16" s="6"/>
      <c r="J16" s="6"/>
      <c r="K16" s="69"/>
    </row>
    <row r="17">
      <c r="B17" t="s" s="65">
        <v>324</v>
      </c>
      <c r="C17" s="84">
        <f>C9/C18*365</f>
        <v>-15.60105408659454</v>
      </c>
      <c r="K17" s="67"/>
    </row>
    <row r="18">
      <c r="B18" t="s" s="65">
        <v>325</v>
      </c>
      <c r="C18" s="1">
        <f>SUM(Monthly!G12:R12)</f>
        <v>430.85</v>
      </c>
      <c r="K18" t="s" s="67">
        <v>349</v>
      </c>
    </row>
    <row r="19">
      <c r="B19" t="s" s="65">
        <v>326</v>
      </c>
      <c r="C19" s="1">
        <f>Closing!C11</f>
        <v>523.5</v>
      </c>
      <c r="K19" t="s" s="67">
        <v>350</v>
      </c>
    </row>
    <row r="20">
      <c r="B20" t="s" s="65">
        <v>546</v>
      </c>
      <c r="C20" s="1">
        <f>C14-C9</f>
        <v>1.9823218809386063</v>
      </c>
      <c r="K20" t="str" s="67">
        <f>"TTM average is the seasonal cross-check, not the selection (10 of 12 points estimated). This is the gap between pegs; after the collar a TTM peg costs the buyer "&amp;TEXT(G9,"0.0;(0.0)")&amp;" (column G)"</f>
        <v>TTM average is the seasonal cross-check, not the selection (10 of 12 points estimated). This is the gap between pegs; after the collar a TTM peg costs the buyer 2.4 (column G)</v>
      </c>
    </row>
    <row r="21">
      <c r="B21" t="s" s="65">
        <v>547</v>
      </c>
      <c r="C21" s="1">
        <f>C39-C43</f>
        <v>1.3156552142719384</v>
      </c>
      <c r="K21" t="s" s="67">
        <v>558</v>
      </c>
    </row>
    <row r="22">
      <c r="B22" t="s" s="65">
        <v>548</v>
      </c>
      <c r="C22" s="1">
        <f>C42-C43</f>
        <v>1.3156552142719384</v>
      </c>
      <c r="K22" s="67"/>
    </row>
    <row r="23">
      <c r="K23" s="67"/>
    </row>
    <row r="24">
      <c r="B24" t="s">
        <v>549</v>
      </c>
      <c r="K24" s="67"/>
    </row>
    <row r="25" ht="27" customHeight="1">
      <c r="B25" t="s" s="11">
        <v>550</v>
      </c>
      <c r="C25" s="11"/>
      <c r="D25" s="11"/>
      <c r="E25" s="11"/>
      <c r="F25" s="11"/>
      <c r="G25" s="11"/>
      <c r="H25" s="11"/>
      <c r="I25" s="11"/>
      <c r="J25" s="11"/>
      <c r="K25" s="57"/>
    </row>
    <row r="26" ht="27" customHeight="1">
      <c r="B26" t="str" s="11">
        <f>"TTM cross-check: the selected peg sits "&amp;TEXT(C14-C9,"0.0;(0.0)")&amp;" from the TTM average of the normalised month-ends ("&amp;TEXT(C9,"0.0;(0.0)")&amp;"), and the December and March actuals sit "&amp;TEXT(C39-C43,"0.0;(0.0)")&amp;" and "&amp;TEXT(C42-C43,"0.0;(0.0)")&amp;" from it. After the "&amp;TEXT(Closing!$C$45,"0.0")&amp;" collar, a move to the TTM average costs the buyer "&amp;TEXT(G9,"0.0;(0.0)")&amp;" (closing falls inside the band, so no adjustment, against "&amp;TEXT(F14,"0.0;(0.0)")&amp;" at our peg); the 3/31/26 balance would cost "&amp;TEXT(G11,"0.0;(0.0)")&amp;" and the growth-adjusted peg "&amp;TEXT(G12,"0.0;(0.0)")&amp;"."</f>
        <v>TTM cross-check: the selected peg sits 2.0 from the TTM average of the normalised month-ends ((18.4)), and the December and March actuals sit 1.3 and 1.3 from it. After the 2.0 collar, a move to the TTM average costs the buyer 2.4 (closing falls inside the band, so no adjustment, against (2.4) at our peg); the 3/31/26 balance would cost 2.4 and the growth-adjusted peg 5.9.</v>
      </c>
      <c r="C26" s="11"/>
      <c r="D26" s="11"/>
      <c r="E26" s="11"/>
      <c r="F26" s="11"/>
      <c r="G26" s="11"/>
      <c r="H26" s="11"/>
      <c r="I26" s="11"/>
      <c r="J26" s="11"/>
      <c r="K26" s="57"/>
    </row>
    <row r="27" ht="27" customHeight="1">
      <c r="B27" t="s" s="11">
        <v>439</v>
      </c>
      <c r="C27" s="11"/>
      <c r="D27" s="11"/>
      <c r="E27" s="11"/>
      <c r="F27" s="11"/>
      <c r="G27" s="11"/>
      <c r="H27" s="11"/>
      <c r="I27" s="11"/>
      <c r="J27" s="11"/>
      <c r="K27" s="57"/>
    </row>
    <row r="28">
      <c r="K28" s="67"/>
    </row>
    <row r="29">
      <c r="B29" t="s" s="5">
        <v>331</v>
      </c>
      <c r="C29" s="5"/>
      <c r="D29" s="5"/>
      <c r="E29" s="5"/>
      <c r="F29" s="5"/>
      <c r="G29" s="5"/>
      <c r="H29" s="5"/>
      <c r="I29" s="5"/>
      <c r="J29" s="5"/>
      <c r="K29" s="68"/>
    </row>
    <row r="30">
      <c r="B30" t="s" s="15">
        <v>172</v>
      </c>
      <c r="C30" t="s" s="14">
        <v>338</v>
      </c>
      <c r="D30" t="s" s="14">
        <v>340</v>
      </c>
      <c r="E30" t="s" s="14">
        <v>173</v>
      </c>
      <c r="F30" s="14"/>
      <c r="G30" s="14"/>
      <c r="H30" s="14"/>
      <c r="I30" s="14"/>
      <c r="J30" s="14"/>
      <c r="K30" s="66"/>
    </row>
    <row r="31">
      <c r="B31" s="83">
        <f>Normalisation!G6</f>
        <v>45777</v>
      </c>
      <c r="C31" s="1">
        <f>Normalisation!G40</f>
        <v>-9.877781558319162</v>
      </c>
      <c r="D31" s="1">
        <f>C31-$C$43</f>
        <v>8.537873655952778</v>
      </c>
      <c r="E31" t="str">
        <f>Normalisation!G7</f>
        <v>Estimate</v>
      </c>
      <c r="F31"/>
      <c r="K31" s="67"/>
    </row>
    <row r="32">
      <c r="B32" s="83">
        <f>Normalisation!H6</f>
        <v>45808</v>
      </c>
      <c r="C32" s="1">
        <f>Normalisation!H40</f>
        <v>-22.519870323850878</v>
      </c>
      <c r="D32" s="1">
        <f>C32-$C$43</f>
        <v>-4.104215109578938</v>
      </c>
      <c r="E32" t="str">
        <f>Normalisation!H7</f>
        <v>Estimate</v>
      </c>
      <c r="F32"/>
      <c r="K32" s="67"/>
    </row>
    <row r="33">
      <c r="B33" s="83">
        <f>Normalisation!I6</f>
        <v>45838</v>
      </c>
      <c r="C33" s="1">
        <f>Normalisation!I40</f>
        <v>-15.301970773295304</v>
      </c>
      <c r="D33" s="1">
        <f>C33-$C$43</f>
        <v>3.1136844409766358</v>
      </c>
      <c r="E33" t="str">
        <f>Normalisation!I7</f>
        <v>Estimate</v>
      </c>
      <c r="F33"/>
      <c r="K33" s="67"/>
    </row>
    <row r="34">
      <c r="B34" s="83">
        <f>Normalisation!J6</f>
        <v>45869</v>
      </c>
      <c r="C34" s="1">
        <f>Normalisation!J40</f>
        <v>-20.31729486983862</v>
      </c>
      <c r="D34" s="1">
        <f>C34-$C$43</f>
        <v>-1.9016396555666795</v>
      </c>
      <c r="E34" t="str">
        <f>Normalisation!J7</f>
        <v>Estimate</v>
      </c>
      <c r="F34"/>
      <c r="K34" s="67"/>
    </row>
    <row r="35">
      <c r="B35" s="83">
        <f>Normalisation!K6</f>
        <v>45900</v>
      </c>
      <c r="C35" s="1">
        <f>Normalisation!K40</f>
        <v>-23.329368700014555</v>
      </c>
      <c r="D35" s="1">
        <f>C35-$C$43</f>
        <v>-4.9137134857426155</v>
      </c>
      <c r="E35" t="str">
        <f>Normalisation!K7</f>
        <v>Estimate</v>
      </c>
      <c r="F35"/>
      <c r="K35" s="67"/>
    </row>
    <row r="36">
      <c r="B36" s="83">
        <f>Normalisation!L6</f>
        <v>45930</v>
      </c>
      <c r="C36" s="1">
        <f>Normalisation!L40</f>
        <v>-15.311828302418004</v>
      </c>
      <c r="D36" s="1">
        <f>C36-$C$43</f>
        <v>3.103826911853936</v>
      </c>
      <c r="E36" t="str">
        <f>Normalisation!L7</f>
        <v>Estimate</v>
      </c>
      <c r="F36"/>
      <c r="K36" s="67"/>
    </row>
    <row r="37">
      <c r="B37" s="83">
        <f>Normalisation!M6</f>
        <v>45961</v>
      </c>
      <c r="C37" s="1">
        <f>Normalisation!M40</f>
        <v>-20.84126006722415</v>
      </c>
      <c r="D37" s="1">
        <f>C37-$C$43</f>
        <v>-2.425604852952212</v>
      </c>
      <c r="E37" t="str">
        <f>Normalisation!M7</f>
        <v>Estimate</v>
      </c>
      <c r="F37"/>
      <c r="K37" s="67"/>
    </row>
    <row r="38">
      <c r="B38" s="83">
        <f>Normalisation!N6</f>
        <v>45991</v>
      </c>
      <c r="C38" s="1">
        <f>Normalisation!N40</f>
        <v>-19.197016627498346</v>
      </c>
      <c r="D38" s="1">
        <f>C38-$C$43</f>
        <v>-0.7813614132264064</v>
      </c>
      <c r="E38" t="str">
        <f>Normalisation!N7</f>
        <v>Estimate</v>
      </c>
      <c r="F38"/>
      <c r="K38" s="67"/>
    </row>
    <row r="39">
      <c r="B39" s="83">
        <f>Normalisation!O6</f>
        <v>46022</v>
      </c>
      <c r="C39" s="1">
        <f>Normalisation!O40</f>
        <v>-17.1</v>
      </c>
      <c r="D39" s="1">
        <f>C39-$C$43</f>
        <v>1.3156552142719384</v>
      </c>
      <c r="E39" t="str">
        <f>Normalisation!O7</f>
        <v>Actual</v>
      </c>
      <c r="F39"/>
      <c r="K39" s="67"/>
    </row>
    <row r="40">
      <c r="B40" s="83">
        <f>Normalisation!P6</f>
        <v>46053</v>
      </c>
      <c r="C40" s="1">
        <f>Normalisation!P40</f>
        <v>-23.338168232536155</v>
      </c>
      <c r="D40" s="1">
        <f>C40-$C$43</f>
        <v>-4.922513018264215</v>
      </c>
      <c r="E40" t="str">
        <f>Normalisation!P7</f>
        <v>Estimate</v>
      </c>
      <c r="F40"/>
      <c r="K40" s="67"/>
    </row>
    <row r="41">
      <c r="B41" s="83">
        <f>Normalisation!Q6</f>
        <v>46081</v>
      </c>
      <c r="C41" s="1">
        <f>Normalisation!Q40</f>
        <v>-16.75330311626808</v>
      </c>
      <c r="D41" s="1">
        <f>C41-$C$43</f>
        <v>1.6623520980038613</v>
      </c>
      <c r="E41" t="str">
        <f>Normalisation!Q7</f>
        <v>Estimate</v>
      </c>
      <c r="F41"/>
      <c r="K41" s="67"/>
    </row>
    <row r="42">
      <c r="B42" s="83">
        <f>Normalisation!R6</f>
        <v>46112</v>
      </c>
      <c r="C42" s="1">
        <f>Normalisation!R40</f>
        <v>-17.1</v>
      </c>
      <c r="D42" s="1">
        <f>C42-$C$43</f>
        <v>1.3156552142719384</v>
      </c>
      <c r="E42" t="str">
        <f>Normalisation!R7</f>
        <v>Actual</v>
      </c>
      <c r="F42"/>
      <c r="K42" s="67"/>
    </row>
    <row r="43">
      <c r="B43" t="s">
        <v>332</v>
      </c>
      <c r="C43" s="1">
        <f>AVERAGE(C31:C42)</f>
        <v>-18.41565521427194</v>
      </c>
      <c r="D43" s="1"/>
      <c r="K43" s="67"/>
    </row>
    <row r="44">
      <c r="B44" t="s">
        <v>333</v>
      </c>
      <c r="C44" s="1">
        <f>MAX(C31:C42)</f>
        <v>-9.877781558319162</v>
      </c>
      <c r="D44" s="1"/>
      <c r="K44" s="67"/>
    </row>
    <row r="45">
      <c r="B45" t="s">
        <v>334</v>
      </c>
      <c r="C45" s="1">
        <f>MIN(C31:C42)</f>
        <v>-23.338168232536155</v>
      </c>
      <c r="D45" s="1"/>
      <c r="K45" s="67"/>
    </row>
    <row r="46">
      <c r="B46" t="s">
        <v>335</v>
      </c>
      <c r="C46" s="1">
        <f>C44-C45</f>
        <v>13.460386674216993</v>
      </c>
      <c r="D46" s="1"/>
      <c r="K46" t="s" s="67">
        <v>351</v>
      </c>
    </row>
    <row r="47">
      <c r="B47" t="s">
        <v>336</v>
      </c>
      <c r="C47" s="1">
        <f>C39</f>
        <v>-17.1</v>
      </c>
      <c r="D47" s="1">
        <f>C47-$C$43</f>
        <v>1.3156552142719384</v>
      </c>
    </row>
  </sheetData>
  <mergeCells count="3">
    <mergeCell ref="B25:K25"/>
    <mergeCell ref="B26:K26"/>
    <mergeCell ref="B27:K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3"/>
  <sheetViews>
    <sheetView showGridLines="0" workbookViewId="0">
      <selection activeCell="A1" sqref="A1"/>
    </sheetView>
  </sheetViews>
  <cols>
    <col min="1" max="1" width="2.359375" customWidth="1"/>
    <col min="2" max="2" width="71.7890625" customWidth="1"/>
    <col min="3" max="4" width="17.21875" customWidth="1"/>
    <col min="5" max="5" width="74.21875" customWidth="1"/>
  </cols>
  <sheetData>
    <row r="2">
      <c r="B2" t="s" s="2">
        <v>623</v>
      </c>
    </row>
    <row r="3">
      <c r="B3" t="s" s="4">
        <v>624</v>
      </c>
    </row>
    <row r="4">
      <c r="B4" t="s" s="4">
        <v>625</v>
      </c>
    </row>
    <row r="6">
      <c r="B6" t="s" s="5">
        <v>355</v>
      </c>
      <c r="C6" s="5"/>
      <c r="D6" t="s" s="5">
        <v>406</v>
      </c>
      <c r="E6" s="5"/>
    </row>
    <row r="7">
      <c r="B7" t="s">
        <v>356</v>
      </c>
      <c r="C7" s="35">
        <f>DATE(2026,12,31)</f>
        <v>46387</v>
      </c>
      <c r="D7" t="s" s="67">
        <v>407</v>
      </c>
    </row>
    <row r="8">
      <c r="B8" t="s">
        <v>357</v>
      </c>
      <c r="C8" s="28">
        <v>90</v>
      </c>
      <c r="D8" t="s" s="67">
        <v>408</v>
      </c>
    </row>
    <row r="9">
      <c r="B9" t="s">
        <v>358</v>
      </c>
      <c r="C9" s="29">
        <f>C7+C8</f>
        <v>46477</v>
      </c>
      <c r="D9" t="s" s="67">
        <v>145</v>
      </c>
    </row>
    <row r="10">
      <c r="B10" t="s">
        <v>359</v>
      </c>
      <c r="C10" s="12">
        <v>486</v>
      </c>
      <c r="D10" t="s" s="67">
        <v>409</v>
      </c>
    </row>
    <row r="11">
      <c r="B11" t="s">
        <v>360</v>
      </c>
      <c r="C11" s="17">
        <f>AVERAGE(C10,C12)</f>
        <v>523.5</v>
      </c>
      <c r="D11" t="s" s="67">
        <v>410</v>
      </c>
    </row>
    <row r="12">
      <c r="B12" t="s">
        <v>361</v>
      </c>
      <c r="C12" s="12">
        <v>561</v>
      </c>
      <c r="D12" t="s" s="67">
        <v>411</v>
      </c>
    </row>
    <row r="13">
      <c r="B13" t="s">
        <v>362</v>
      </c>
      <c r="C13" s="30">
        <f>C11/C10</f>
        <v>1.0771604938271604</v>
      </c>
      <c r="D13" t="s" s="67">
        <v>145</v>
      </c>
    </row>
    <row r="14">
      <c r="B14" t="s">
        <v>363</v>
      </c>
      <c r="C14" s="12">
        <v>169.4</v>
      </c>
      <c r="D14" t="s" s="67">
        <v>412</v>
      </c>
    </row>
    <row r="15">
      <c r="B15" t="s">
        <v>364</v>
      </c>
      <c r="C15" s="12">
        <v>23</v>
      </c>
      <c r="D15" t="s" s="67">
        <v>413</v>
      </c>
    </row>
    <row r="16">
      <c r="B16" t="s">
        <v>365</v>
      </c>
      <c r="C16" s="12">
        <v>38</v>
      </c>
      <c r="D16" t="s" s="67">
        <v>414</v>
      </c>
    </row>
    <row r="17">
      <c r="B17" t="s">
        <v>195</v>
      </c>
      <c r="C17" s="1">
        <f>Monthly!C32</f>
        <v>17.1</v>
      </c>
      <c r="D17" t="s" s="67">
        <v>415</v>
      </c>
    </row>
    <row r="18">
      <c r="C18" s="1"/>
      <c r="D18" s="67"/>
    </row>
    <row r="19">
      <c r="B19" t="s" s="5">
        <v>366</v>
      </c>
      <c r="C19" s="13"/>
      <c r="D19" s="68"/>
      <c r="E19" s="5"/>
    </row>
    <row r="20">
      <c r="B20" t="s" s="6">
        <v>367</v>
      </c>
      <c r="C20" s="7"/>
      <c r="D20" s="69"/>
      <c r="E20" s="6"/>
    </row>
    <row r="21">
      <c r="B21" t="s" s="65">
        <v>368</v>
      </c>
      <c r="C21" s="1">
        <f>C11/12</f>
        <v>43.625</v>
      </c>
      <c r="D21" t="s" s="67">
        <v>416</v>
      </c>
    </row>
    <row r="22">
      <c r="B22" t="s" s="65">
        <v>369</v>
      </c>
      <c r="C22" s="1">
        <f>(C14+C16)*C13/12</f>
        <v>18.616923868312757</v>
      </c>
      <c r="D22" t="s" s="67">
        <v>416</v>
      </c>
    </row>
    <row r="23">
      <c r="B23" t="s" s="65">
        <v>370</v>
      </c>
      <c r="C23" s="1">
        <f>SUM(C14:C16)*C13/12</f>
        <v>20.68148148148148</v>
      </c>
      <c r="D23" t="s" s="67">
        <v>416</v>
      </c>
    </row>
    <row r="24">
      <c r="B24" t="s" s="65">
        <v>371</v>
      </c>
      <c r="C24" s="1">
        <f>C17/12</f>
        <v>1.425</v>
      </c>
      <c r="D24" t="s" s="67">
        <v>417</v>
      </c>
    </row>
    <row r="25">
      <c r="B25" t="s" s="6">
        <v>372</v>
      </c>
      <c r="C25" s="6"/>
      <c r="D25" s="69"/>
      <c r="E25" s="6"/>
    </row>
    <row r="26">
      <c r="B26" t="s" s="65">
        <v>373</v>
      </c>
      <c r="C26" s="24">
        <f>AVERAGE(Monthly!O43/Monthly!O12,Monthly!R43/Monthly!R12)</f>
        <v>0.9585826175415517</v>
      </c>
      <c r="D26" t="s" s="67">
        <v>418</v>
      </c>
    </row>
    <row r="27">
      <c r="B27" t="s" s="65">
        <v>374</v>
      </c>
      <c r="C27" s="24">
        <f>AVERAGE(Monthly!O53,Monthly!R53)</f>
        <v>0.7360405838551562</v>
      </c>
      <c r="D27" t="s" s="67">
        <v>418</v>
      </c>
    </row>
    <row r="28">
      <c r="B28" t="s" s="65">
        <v>375</v>
      </c>
      <c r="C28" s="24">
        <f>AVERAGE(Monthly!O55,Monthly!R55)</f>
        <v>2.518806336161188</v>
      </c>
      <c r="D28" t="s" s="67">
        <v>418</v>
      </c>
    </row>
    <row r="29">
      <c r="B29" t="s" s="65">
        <v>376</v>
      </c>
      <c r="C29" s="24">
        <f>AVERAGE(Monthly!O57,Monthly!R57)</f>
        <v>0.38595811566379334</v>
      </c>
      <c r="D29" t="s" s="67">
        <v>418</v>
      </c>
    </row>
    <row r="30">
      <c r="B30" t="s" s="65">
        <v>224</v>
      </c>
      <c r="C30" s="24">
        <f>AVERAGE(Monthly!O79,Monthly!R79)</f>
        <v>8.550175438596492</v>
      </c>
      <c r="D30" t="s" s="67">
        <v>418</v>
      </c>
    </row>
    <row r="32">
      <c r="B32" s="15"/>
      <c r="C32" t="s" s="14">
        <v>404</v>
      </c>
      <c r="D32" t="s" s="14">
        <v>419</v>
      </c>
      <c r="E32" t="s" s="14">
        <v>422</v>
      </c>
    </row>
    <row r="33">
      <c r="B33" t="s">
        <v>377</v>
      </c>
      <c r="C33" s="1">
        <f>C26*C21</f>
        <v>41.818166690250195</v>
      </c>
      <c r="D33" s="1">
        <f>C33*AVERAGE(Definition!E9/Definition!E8,Definition!F9/Definition!F8)</f>
        <v>38.6201962281078</v>
      </c>
      <c r="E33" t="s" s="67">
        <v>423</v>
      </c>
    </row>
    <row r="34">
      <c r="B34" t="s">
        <v>378</v>
      </c>
      <c r="C34" s="1">
        <f>0</f>
        <v>0</v>
      </c>
      <c r="D34" s="1">
        <f>0</f>
        <v>0</v>
      </c>
      <c r="E34" t="s" s="67">
        <v>424</v>
      </c>
    </row>
    <row r="35">
      <c r="B35" t="s">
        <v>9</v>
      </c>
      <c r="C35" s="1">
        <f>C27*C23</f>
        <v>15.222409704619231</v>
      </c>
      <c r="D35" s="1">
        <f>C35*AVERAGE(Definition!E13/Definition!E12,Definition!F13/Definition!F12)</f>
        <v>10.366725417947267</v>
      </c>
      <c r="E35" t="s" s="67">
        <v>425</v>
      </c>
    </row>
    <row r="36">
      <c r="B36" t="s">
        <v>46</v>
      </c>
      <c r="C36" s="1">
        <f>-C28*C22</f>
        <v>-46.89242579933662</v>
      </c>
      <c r="D36" s="1">
        <f>C36</f>
        <v>-46.89242579933662</v>
      </c>
      <c r="E36" s="67"/>
    </row>
    <row r="37">
      <c r="B37" t="s">
        <v>29</v>
      </c>
      <c r="C37" s="1">
        <f>-C30*C24</f>
        <v>-12.184000000000001</v>
      </c>
      <c r="D37" s="1">
        <f>0</f>
        <v>0</v>
      </c>
      <c r="E37" t="s" s="67">
        <v>426</v>
      </c>
    </row>
    <row r="38">
      <c r="B38" t="s">
        <v>47</v>
      </c>
      <c r="C38" s="1">
        <f>-C29*C21</f>
        <v>-16.837422795832985</v>
      </c>
      <c r="D38" s="1">
        <f>C38</f>
        <v>-16.837422795832985</v>
      </c>
      <c r="E38" s="67"/>
    </row>
    <row r="39">
      <c r="B39" t="s" s="8">
        <v>379</v>
      </c>
      <c r="C39" s="9">
        <f>SUM(C33:C38)</f>
        <v>-18.873272200300182</v>
      </c>
      <c r="D39" s="9">
        <f>SUM(D33:D38)</f>
        <v>-14.74292694911454</v>
      </c>
      <c r="E39" s="70"/>
    </row>
    <row r="40">
      <c r="C40" s="1"/>
      <c r="D40" s="1"/>
      <c r="E40" s="67"/>
    </row>
    <row r="41">
      <c r="B41" t="s" s="34">
        <v>380</v>
      </c>
      <c r="C41" t="s" s="33">
        <v>404</v>
      </c>
      <c r="D41" t="s" s="33">
        <v>420</v>
      </c>
      <c r="E41" s="82"/>
    </row>
    <row r="42">
      <c r="B42" t="s">
        <v>337</v>
      </c>
      <c r="C42" s="1">
        <f>Peg!C14</f>
        <v>-16.433333333333334</v>
      </c>
      <c r="D42" s="1">
        <f>Peg!C7</f>
        <v>-11.8</v>
      </c>
      <c r="E42" t="s" s="67">
        <v>427</v>
      </c>
    </row>
    <row r="43">
      <c r="B43" t="s">
        <v>381</v>
      </c>
      <c r="C43" s="16">
        <v>2</v>
      </c>
      <c r="D43" s="1">
        <f>C43</f>
        <v>2</v>
      </c>
      <c r="E43" t="s" s="67">
        <v>428</v>
      </c>
    </row>
    <row r="44">
      <c r="B44" t="s">
        <v>382</v>
      </c>
      <c r="C44" s="1">
        <f>C39+C43</f>
        <v>-16.873272200300182</v>
      </c>
      <c r="D44" s="1">
        <f>D39+D43</f>
        <v>-12.74292694911454</v>
      </c>
      <c r="E44" s="67"/>
    </row>
    <row r="45">
      <c r="B45" t="s">
        <v>383</v>
      </c>
      <c r="C45" s="16">
        <v>2</v>
      </c>
      <c r="D45" s="1">
        <f>C45</f>
        <v>2</v>
      </c>
      <c r="E45" t="s" s="67">
        <v>429</v>
      </c>
    </row>
    <row r="46">
      <c r="B46" t="s">
        <v>384</v>
      </c>
      <c r="C46" s="1">
        <f>IF(ABS(C44-C42)&lt;=C45,0,C44-C42)</f>
        <v>0</v>
      </c>
      <c r="D46" s="1">
        <f>IF(ABS(D44-D42)&lt;=D45,0,D44-D42)</f>
        <v>0</v>
      </c>
      <c r="E46" s="67"/>
    </row>
    <row r="47">
      <c r="B47" t="s">
        <v>385</v>
      </c>
      <c r="C47" s="1">
        <f>C39</f>
        <v>-18.873272200300182</v>
      </c>
      <c r="D47" s="1">
        <f>D39</f>
        <v>-14.74292694911454</v>
      </c>
      <c r="E47" t="s" s="67">
        <v>430</v>
      </c>
    </row>
    <row r="48">
      <c r="B48" t="s">
        <v>386</v>
      </c>
      <c r="C48" s="1">
        <f>IF(ABS(C47-C42)&lt;=C45,0,C47-C42)</f>
        <v>-2.4399388669668483</v>
      </c>
      <c r="D48" s="1">
        <f>IF(ABS(D47-D42)&lt;=D45,0,D47-D42)</f>
        <v>-2.94292694911454</v>
      </c>
      <c r="E48" s="67"/>
    </row>
    <row r="49">
      <c r="B49" t="s">
        <v>387</v>
      </c>
      <c r="C49" s="1">
        <f>C48-C46</f>
        <v>-2.4399388669668483</v>
      </c>
      <c r="D49" s="1">
        <f>D48-D46</f>
        <v>-2.94292694911454</v>
      </c>
      <c r="E49" s="67"/>
    </row>
    <row r="50">
      <c r="B50" t="s">
        <v>388</v>
      </c>
      <c r="C50" s="16">
        <v>5</v>
      </c>
      <c r="D50" s="1">
        <f>C50</f>
        <v>5</v>
      </c>
      <c r="E50" t="s" s="67">
        <v>543</v>
      </c>
    </row>
    <row r="51">
      <c r="B51" t="s">
        <v>389</v>
      </c>
      <c r="C51" s="1">
        <f>IF(C49&lt;0,MIN(-C49,C50),0)</f>
        <v>2.4399388669668483</v>
      </c>
      <c r="D51" s="1">
        <f>IF(D49&lt;0,MIN(-D49,D50),0)</f>
        <v>2.94292694911454</v>
      </c>
      <c r="E51" s="67"/>
    </row>
    <row r="52">
      <c r="B52" t="s">
        <v>390</v>
      </c>
      <c r="C52" s="1">
        <f>C50-C51</f>
        <v>2.5600611330331517</v>
      </c>
      <c r="D52" s="1">
        <f>D50-D51</f>
        <v>2.05707305088546</v>
      </c>
      <c r="E52" s="67"/>
    </row>
    <row r="53">
      <c r="B53" t="s">
        <v>391</v>
      </c>
      <c r="C53" s="1">
        <f>IF(C49&lt;0,MAX(-C49-C50,0),0)</f>
        <v>0</v>
      </c>
      <c r="D53" s="1">
        <f>IF(D49&lt;0,MAX(-D49-D50,0),0)</f>
        <v>0</v>
      </c>
      <c r="E53" s="67"/>
    </row>
  </sheetData>
  <pageMargins left="0.7" right="0.7" top="0.75" bottom="0.75" header="0.3" footer="0.3"/>
  <legacyDrawing r:id="rId2"/>
</worksheet>
</file>

<file path=ccalc/calcState.xml><?xml version="1.0" encoding="utf-8"?>
<calcState xmlns="urn:twentyai:ccalc:calc-state" version="1" digest="c00f2192a9a8152680b7fe7001fbbd7d479b7f1829aaa137c4a837459b23ec17"/>
</file>

<file path=docProps/app.xml><?xml version="1.0" encoding="utf-8"?>
<Properties xmlns="http://schemas.openxmlformats.org/officeDocument/2006/extended-properties" xmlns:vt="http://schemas.openxmlformats.org/officeDocument/2006/docPropsVTypes">
  <Application>Microsoft Excel</Application>
  <AppVersion>16.0300</AppVers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 working capital peg template</dc:title>
  <dc:subject>Net working capital boundary, monthly rebuild, peg and closing true-up</dc:subject>
  <dc:creator/>
  <cp:keywords>net working capital; NWC peg; true-up</cp:keywords>
  <dc:description/>
  <cp:lastModifiedBy/>
  <cp:revision/>
  <dcterms:created xsi:type="dcterms:W3CDTF">2026-10-22T18:59:56Z</dcterms:created>
  <dcterms:modified xsi:type="dcterms:W3CDTF">2026-10-22T18:59:57Z</dcterms:modified>
  <cp:category/>
  <cp:contentStatus/>
</cp:coreProperties>
</file>