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colors7.xml" ContentType="application/vnd.ms-office.chartcolorstyle+xml"/>
  <Override PartName="/xl/charts/colors8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charts/style7.xml" ContentType="application/vnd.ms-office.chartstyle+xml"/>
  <Override PartName="/xl/charts/style8.xml" ContentType="application/vnd.ms-office.chartstyle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Cover" sheetId="1" r:id="rId1"/>
    <sheet name="Cases" sheetId="2" r:id="rId2"/>
    <sheet name="Model" sheetId="3" r:id="rId3"/>
    <sheet name="Valuation" sheetId="4" r:id="rId4"/>
    <sheet name="Comps" sheetId="5" r:id="rId5"/>
    <sheet name="Deck" sheetId="6" r:id="rId6"/>
  </sheets>
  <calcPr/>
  <extLst>
    <ext xmlns:xccaches="urn:twentyai:ccalc:caches" uri="{3C5F2E7A-9B41-4D6E-A8C2-19409CCA1C01}">
      <xccaches:writer/>
    </ext>
  </extLst>
</workbook>
</file>

<file path=xl/sharedStrings.xml><?xml version="1.0" encoding="utf-8"?>
<sst xmlns="http://schemas.openxmlformats.org/spreadsheetml/2006/main" count="569" uniqueCount="569">
  <si>
    <t>Cases &amp; Assumptions</t>
  </si>
  <si>
    <t>$ in millions, except per share; fiscal years end May 31</t>
  </si>
  <si>
    <t>Case selector</t>
  </si>
  <si>
    <t>Case names</t>
  </si>
  <si>
    <t>Base</t>
  </si>
  <si>
    <t>Upside</t>
  </si>
  <si>
    <t>Downside</t>
  </si>
  <si>
    <t>Year:</t>
  </si>
  <si>
    <t>Source</t>
  </si>
  <si>
    <t>Period Ended:</t>
  </si>
  <si>
    <t>Revenue growth (%)</t>
  </si>
  <si>
    <t>North America</t>
  </si>
  <si>
    <t>Q1 FY27 +2%; FY26 +5% (ER Q1 FY27; 10-K FY26)</t>
  </si>
  <si>
    <t>EMEA</t>
  </si>
  <si>
    <t>Q1 FY27 -5%; footwear -11%</t>
  </si>
  <si>
    <t>Greater China</t>
  </si>
  <si>
    <t>Q1 FY27 -22% (-26% currency-neutral)</t>
  </si>
  <si>
    <t>APLA</t>
  </si>
  <si>
    <t>Q1 FY27 -2% (flat currency-neutral)</t>
  </si>
  <si>
    <t>Converse</t>
  </si>
  <si>
    <t>Q1 FY27 -28%; FY26 -31%</t>
  </si>
  <si>
    <t>Segment EBIT margin (%)</t>
  </si>
  <si>
    <t>FY24 27.2%, FY26 26.2%; Q1 FY27 22.8% vs 22.6%</t>
  </si>
  <si>
    <t>FY24 24.9%, FY26 19.2%</t>
  </si>
  <si>
    <t>FY24 30.6%, FY26 21.9%; Q1 FY27 21.0%</t>
  </si>
  <si>
    <t>FY24 28.0%, FY26 22.2%</t>
  </si>
  <si>
    <t>FY24 22.8%, FY26 1.5%</t>
  </si>
  <si>
    <t>Other operating items</t>
  </si>
  <si>
    <t>GBD revenue</t>
  </si>
  <si>
    <t>FY26 $49</t>
  </si>
  <si>
    <t>GBD EBIT</t>
  </si>
  <si>
    <t>FY26 ($4,603); Q1 FY27 ($1,110) vs ($1,192)</t>
  </si>
  <si>
    <t>Corporate revenue</t>
  </si>
  <si>
    <t>FX hedge results; FY26 $2</t>
  </si>
  <si>
    <t>Corporate EBIT, excl. Pace</t>
  </si>
  <si>
    <t>FY26 ($2,023); Q1 FY27 ($478) vs ($539)</t>
  </si>
  <si>
    <t>Pace restructuring charges</t>
  </si>
  <si>
    <t>~$1.0bn through FY31, ~$0.3bn in FY27 (10-Q Q1 FY27)</t>
  </si>
  <si>
    <t>Gross margin (%)</t>
  </si>
  <si>
    <t>FY26 42.9%; Q1 FY27 42.8%</t>
  </si>
  <si>
    <t>Demand creation (% of revenue)</t>
  </si>
  <si>
    <t>FY26 10.2%; Q1 FY27 +5%</t>
  </si>
  <si>
    <t>Other (income) expense</t>
  </si>
  <si>
    <t>FY26 ($53)</t>
  </si>
  <si>
    <t>Tax rate (%)</t>
  </si>
  <si>
    <t>FY27 guide mid-20s; FY26 20.3%</t>
  </si>
  <si>
    <t>Cash flow and working capital</t>
  </si>
  <si>
    <t>D&amp;A</t>
  </si>
  <si>
    <t>FY26 $747</t>
  </si>
  <si>
    <t>Stock-based compensation</t>
  </si>
  <si>
    <t>FY26 $715</t>
  </si>
  <si>
    <t>Capex</t>
  </si>
  <si>
    <t>FY26 $684; Q1 FY27 $199</t>
  </si>
  <si>
    <t>Receivables (% of revenue)</t>
  </si>
  <si>
    <t>FY26 12.8%; FY25 10.2%</t>
  </si>
  <si>
    <t>Inventories (% of COGS)</t>
  </si>
  <si>
    <t>FY26 28.3%</t>
  </si>
  <si>
    <t>Prepaid &amp; other (% of revenue)</t>
  </si>
  <si>
    <t>FY26 4.6%</t>
  </si>
  <si>
    <t>Payables (% of COGS)</t>
  </si>
  <si>
    <t>FY26 13.6%</t>
  </si>
  <si>
    <t>Accrued (% of revenue)</t>
  </si>
  <si>
    <t>FY26 13.1%; severance paid in Q1 FY27</t>
  </si>
  <si>
    <t>Financing and capital returns</t>
  </si>
  <si>
    <t>Debt issuance</t>
  </si>
  <si>
    <t>Partial refinancing of FY27 maturities; Mar-30 refinanced</t>
  </si>
  <si>
    <t>Debt repayment</t>
  </si>
  <si>
    <t>Nov-26 $1.0bn, Mar-27 $1.0bn, Mar-30 $1.5bn (10-K FY26 Note 6)</t>
  </si>
  <si>
    <t>Interest rate on avg. debt (%)</t>
  </si>
  <si>
    <t>Coupons 2.38%-3.88%</t>
  </si>
  <si>
    <t>Yield on opening cash (%)</t>
  </si>
  <si>
    <t>FY26 net interest income $50</t>
  </si>
  <si>
    <t>Shares issued (m)</t>
  </si>
  <si>
    <t>FY26 9m</t>
  </si>
  <si>
    <t>Stock issuance proceeds</t>
  </si>
  <si>
    <t>FY26 $354</t>
  </si>
  <si>
    <t>Share repurchases</t>
  </si>
  <si>
    <t>FY26 $146; none in Q1 FY27</t>
  </si>
  <si>
    <t>Repurchase price ($)</t>
  </si>
  <si>
    <t>NKE $34.36 at 10/07/26</t>
  </si>
  <si>
    <t>Dividends per share ($)</t>
  </si>
  <si>
    <t>FY26 $1.63; Q1 FY27 $0.41 quarterly</t>
  </si>
  <si>
    <t>Other financing</t>
  </si>
  <si>
    <t>FY26 ($93)</t>
  </si>
  <si>
    <t>Dilutive securities (m)</t>
  </si>
  <si>
    <t>FY26 diluted less basic 1.2m</t>
  </si>
  <si>
    <t>Nike Operating Model</t>
  </si>
  <si>
    <t>Model checks</t>
  </si>
  <si>
    <t>$ in millions, except per share; fiscal years end May 31; LTM to 08/31/26</t>
  </si>
  <si>
    <t>LTM</t>
  </si>
  <si>
    <t>FY24-26</t>
  </si>
  <si>
    <t>FY26-31</t>
  </si>
  <si>
    <t>Q1 FY26</t>
  </si>
  <si>
    <t>Q1 FY27</t>
  </si>
  <si>
    <t>CAGR</t>
  </si>
  <si>
    <t>Revenue by segment</t>
  </si>
  <si>
    <t>10-K FY26 Note 15; ER Q1 FY27</t>
  </si>
  <si>
    <t>% growth</t>
  </si>
  <si>
    <t>n.d.</t>
  </si>
  <si>
    <t>n.m.</t>
  </si>
  <si>
    <t>Global Brand Divisions</t>
  </si>
  <si>
    <t>Licensing and other</t>
  </si>
  <si>
    <t>Total NIKE Brand</t>
  </si>
  <si>
    <t>Corporate</t>
  </si>
  <si>
    <t>FX hedge gains and losses</t>
  </si>
  <si>
    <t>Total revenue</t>
  </si>
  <si>
    <t>Ties to reported revenue</t>
  </si>
  <si>
    <t>FY27 guide: high-single-digit decline (ER Q1 FY27)</t>
  </si>
  <si>
    <t>Segment EBIT</t>
  </si>
  <si>
    <t>% margin</t>
  </si>
  <si>
    <t>Central product, digital and technology costs</t>
  </si>
  <si>
    <t>Total NIKE Brand EBIT</t>
  </si>
  <si>
    <t>Excl. Pace charges in forecast</t>
  </si>
  <si>
    <t>Pace restructuring</t>
  </si>
  <si>
    <t>Hist. charges sit within segments (memo row below)</t>
  </si>
  <si>
    <t>Total EBIT</t>
  </si>
  <si>
    <t>10-K FY26 MD&amp;A EBIT table</t>
  </si>
  <si>
    <t>Income statement</t>
  </si>
  <si>
    <t>Revenue</t>
  </si>
  <si>
    <t>Cost of sales</t>
  </si>
  <si>
    <t>10-K FY26; ER Q1 FY27</t>
  </si>
  <si>
    <t>Gross profit</t>
  </si>
  <si>
    <t>% gross margin</t>
  </si>
  <si>
    <t>Q1 FY27 +60 bp to 42.8% (ER Q1 FY27)</t>
  </si>
  <si>
    <t>Demand creation</t>
  </si>
  <si>
    <t>% of revenue</t>
  </si>
  <si>
    <t>Operating overhead</t>
  </si>
  <si>
    <t>Forecast: gross profit less demand creation, other and segment EBIT</t>
  </si>
  <si>
    <t>Other (income) expense, net</t>
  </si>
  <si>
    <t>EBIT</t>
  </si>
  <si>
    <t>Difference to segment EBIT</t>
  </si>
  <si>
    <t>Interest (income) expense, net</t>
  </si>
  <si>
    <t>Forecast from debt and cash schedule below</t>
  </si>
  <si>
    <t>Income before taxes</t>
  </si>
  <si>
    <t>Income tax expense</t>
  </si>
  <si>
    <t>% tax rate</t>
  </si>
  <si>
    <t>FY27 guide: mid-20s (ER Q1 FY27)</t>
  </si>
  <si>
    <t>Net income</t>
  </si>
  <si>
    <t>Diluted shares (m)</t>
  </si>
  <si>
    <t>Weighted average diluted; LTM = Q1 FY27</t>
  </si>
  <si>
    <t>Diluted EPS ($)</t>
  </si>
  <si>
    <t>Reported FY24 $3.73, FY25 $2.16, FY26 $2.10</t>
  </si>
  <si>
    <t>Restructuring charges</t>
  </si>
  <si>
    <t>10-K FY26 Note 18; none disclosed FY25 or Q1</t>
  </si>
  <si>
    <t>Adj. EBIT</t>
  </si>
  <si>
    <t>Adj. diluted EPS ($)</t>
  </si>
  <si>
    <t>FY27 guide: $1.15-$1.35 (ER Q1 FY27)</t>
  </si>
  <si>
    <t>Adj. EBITDA</t>
  </si>
  <si>
    <t>Cash flow statement</t>
  </si>
  <si>
    <t>10-K FY26 cash flow; 10-Q Q1 FY27</t>
  </si>
  <si>
    <t>Deferred income taxes</t>
  </si>
  <si>
    <t>Impairment &amp; other</t>
  </si>
  <si>
    <t>Net FX adjustments</t>
  </si>
  <si>
    <t>(Inc.) dec. in receivables</t>
  </si>
  <si>
    <t>(Inc.) dec. in inventories</t>
  </si>
  <si>
    <t>(Inc.) dec. in prepaid &amp; other</t>
  </si>
  <si>
    <t>Inc. (dec.) in payables &amp; accrued</t>
  </si>
  <si>
    <t>Cash from operations</t>
  </si>
  <si>
    <t>Reported FY24 $7,429, FY25 $3,698, FY26 $2,868</t>
  </si>
  <si>
    <t>Free cash flow</t>
  </si>
  <si>
    <t>Purchases of ST investments</t>
  </si>
  <si>
    <t>Maturities of ST investments</t>
  </si>
  <si>
    <t>Sales of ST investments</t>
  </si>
  <si>
    <t>Other investing</t>
  </si>
  <si>
    <t>Cash from investing</t>
  </si>
  <si>
    <t>No issuance FY24-FY26</t>
  </si>
  <si>
    <t>10-K FY26 cash flow</t>
  </si>
  <si>
    <t>Stock issuances</t>
  </si>
  <si>
    <t>Dividends</t>
  </si>
  <si>
    <t>Cash from financing</t>
  </si>
  <si>
    <t>FX effect on cash</t>
  </si>
  <si>
    <t>Net change in cash</t>
  </si>
  <si>
    <t>Reported FY24 $2,419, FY25 ($2,396), FY26 $99</t>
  </si>
  <si>
    <t>Balance sheet</t>
  </si>
  <si>
    <t>Cash &amp; equivalents</t>
  </si>
  <si>
    <t>10-K FY25/FY26 balance sheet; ER Q1 FY27</t>
  </si>
  <si>
    <t>Short-term investments</t>
  </si>
  <si>
    <t>Accounts receivable</t>
  </si>
  <si>
    <t>Inventories</t>
  </si>
  <si>
    <t>Prepaid &amp; other current</t>
  </si>
  <si>
    <t>PP&amp;E, net</t>
  </si>
  <si>
    <t>Operating lease ROU assets</t>
  </si>
  <si>
    <t>Intangibles &amp; goodwill</t>
  </si>
  <si>
    <t>Intangibles $259 + goodwill $240</t>
  </si>
  <si>
    <t>Deferred taxes &amp; other assets</t>
  </si>
  <si>
    <t>Total assets</t>
  </si>
  <si>
    <t>Current portion of LTD</t>
  </si>
  <si>
    <t>Forecast: next year maturities</t>
  </si>
  <si>
    <t>Notes payable</t>
  </si>
  <si>
    <t>Accounts payable</t>
  </si>
  <si>
    <t>Current operating lease liab.</t>
  </si>
  <si>
    <t>Accrued liabilities</t>
  </si>
  <si>
    <t>Income taxes payable</t>
  </si>
  <si>
    <t>Long-term debt</t>
  </si>
  <si>
    <t>Operating lease liabilities</t>
  </si>
  <si>
    <t>Deferred taxes &amp; other liabilities</t>
  </si>
  <si>
    <t>Shareholders' equity</t>
  </si>
  <si>
    <t>Total liabilities &amp; equity</t>
  </si>
  <si>
    <t>Balance check</t>
  </si>
  <si>
    <t>Cash flow check</t>
  </si>
  <si>
    <t>Change in BS cash less CF net change</t>
  </si>
  <si>
    <t>Debt, interest and net cash</t>
  </si>
  <si>
    <t>Debt, beginning</t>
  </si>
  <si>
    <t>(+) Issuance</t>
  </si>
  <si>
    <t>(-) Repayment</t>
  </si>
  <si>
    <t>(+/-) Discount amortization &amp; other</t>
  </si>
  <si>
    <t>Debt, ending</t>
  </si>
  <si>
    <t>Notes of $7.0bn at 2.38%-3.88% (10-K FY26 Note 6)</t>
  </si>
  <si>
    <t>Interest expense</t>
  </si>
  <si>
    <t>Net interest only disclosed historically</t>
  </si>
  <si>
    <t>Cash &amp; ST investments</t>
  </si>
  <si>
    <t>Interest income</t>
  </si>
  <si>
    <t>Net debt (net cash)</t>
  </si>
  <si>
    <t>Net debt / Adj. EBITDA (x)</t>
  </si>
  <si>
    <t>Shares and dividends</t>
  </si>
  <si>
    <t>Shares outstanding, beginning (m)</t>
  </si>
  <si>
    <t>Class A + Class B</t>
  </si>
  <si>
    <t>(+) Shares issued</t>
  </si>
  <si>
    <t>Options exercised + employee issuance (10-K equity statement)</t>
  </si>
  <si>
    <t>(-) Shares repurchased</t>
  </si>
  <si>
    <t>10-K equity statement; forecast at repurchase price</t>
  </si>
  <si>
    <t>Shares outstanding, ending (m)</t>
  </si>
  <si>
    <t>Ties to 1,503 / 1,476 / 1,483 on balance sheets</t>
  </si>
  <si>
    <t>Diluted less basic: FY26 1.2m</t>
  </si>
  <si>
    <t>Declared (10-K equity statement; ER Q1 FY27)</t>
  </si>
  <si>
    <t>Valuation &amp; Returns</t>
  </si>
  <si>
    <t>$ in millions, except per share; NKE close 10/07/26; entry 10/07/26, exit 05/31/29 on FY30E adj. EPS</t>
  </si>
  <si>
    <t>Share price ($)</t>
  </si>
  <si>
    <t>Base IRR to May-29 (%)</t>
  </si>
  <si>
    <t>Base MoM (x)</t>
  </si>
  <si>
    <t>Prob.-weighted IRR (%)</t>
  </si>
  <si>
    <t>DCF value per share ($)</t>
  </si>
  <si>
    <t>Market valuation</t>
  </si>
  <si>
    <t>Close 10/07/26</t>
  </si>
  <si>
    <t>Shares outstanding (m)</t>
  </si>
  <si>
    <t>10-Q Q1 FY27 cover, 09/28/26</t>
  </si>
  <si>
    <t>Cases</t>
  </si>
  <si>
    <t>Market capitalization</t>
  </si>
  <si>
    <t>(+) Total debt</t>
  </si>
  <si>
    <t>Balance sheet 08/31/26</t>
  </si>
  <si>
    <t>(-) Cash &amp; ST investments</t>
  </si>
  <si>
    <t>Enterprise value</t>
  </si>
  <si>
    <t>Trading multiples</t>
  </si>
  <si>
    <t>Adj. EPS ($)</t>
  </si>
  <si>
    <t>EV / Adj. EBITDA (x)</t>
  </si>
  <si>
    <t>P / E (x)</t>
  </si>
  <si>
    <t>FCF yield (%)</t>
  </si>
  <si>
    <t>Scenario returns</t>
  </si>
  <si>
    <t>Unit</t>
  </si>
  <si>
    <t>Weighted</t>
  </si>
  <si>
    <t>Probability</t>
  </si>
  <si>
    <t>%</t>
  </si>
  <si>
    <t>FY30E North America revenue</t>
  </si>
  <si>
    <t>$m</t>
  </si>
  <si>
    <t>FY30E EMEA revenue</t>
  </si>
  <si>
    <t>FY30E Greater China revenue</t>
  </si>
  <si>
    <t>FY30E APLA revenue</t>
  </si>
  <si>
    <t>FY30E Converse revenue</t>
  </si>
  <si>
    <t>FY30E segment EBIT, excl. GBD</t>
  </si>
  <si>
    <t>(+) GBD &amp; Corporate</t>
  </si>
  <si>
    <t>FY30E Adj. EBIT</t>
  </si>
  <si>
    <t>(-) Net interest</t>
  </si>
  <si>
    <t>Adj. pre-tax income</t>
  </si>
  <si>
    <t>(-) Taxes</t>
  </si>
  <si>
    <t>Adj. net income</t>
  </si>
  <si>
    <t>FY30E diluted shares</t>
  </si>
  <si>
    <t>m</t>
  </si>
  <si>
    <t>FY30E Adj. EPS</t>
  </si>
  <si>
    <t>$/sh</t>
  </si>
  <si>
    <t>Exit P/E</t>
  </si>
  <si>
    <t>x</t>
  </si>
  <si>
    <t>Exit share price, May-29</t>
  </si>
  <si>
    <t>Entry share price</t>
  </si>
  <si>
    <t>Dividends received</t>
  </si>
  <si>
    <t>MoM</t>
  </si>
  <si>
    <t>IRR</t>
  </si>
  <si>
    <t>Selected case FY30E Adj. EPS</t>
  </si>
  <si>
    <t>Case name</t>
  </si>
  <si>
    <t>text</t>
  </si>
  <si>
    <t>Difference to model</t>
  </si>
  <si>
    <t>Cash flow per share</t>
  </si>
  <si>
    <t>Date</t>
  </si>
  <si>
    <t>Entry</t>
  </si>
  <si>
    <t>FY27 dividends</t>
  </si>
  <si>
    <t>FY28 dividends</t>
  </si>
  <si>
    <t>FY29 dividends</t>
  </si>
  <si>
    <t>Exit</t>
  </si>
  <si>
    <t>Total</t>
  </si>
  <si>
    <t>FY27 dividends after entry (%)</t>
  </si>
  <si>
    <t>3 of 4 quarterly payments after 10/07/26</t>
  </si>
  <si>
    <t>IRR sensitivity, selected case: exit P/E vs. FY30E Adj. EPS</t>
  </si>
  <si>
    <t>FY30E EPS change (%)</t>
  </si>
  <si>
    <t>Exit P/E (x) / FY30E EPS ($)</t>
  </si>
  <si>
    <t>RATE on hold period and average dividend; approximates XIRR</t>
  </si>
  <si>
    <t>P/E step (x)</t>
  </si>
  <si>
    <t>EPS step (%)</t>
  </si>
  <si>
    <t>Hold period (yrs)</t>
  </si>
  <si>
    <t>Avg. dividend per year ($)</t>
  </si>
  <si>
    <t>DCF, selected case</t>
  </si>
  <si>
    <t>(-) Taxes on EBIT</t>
  </si>
  <si>
    <t>NOPAT</t>
  </si>
  <si>
    <t>(+) D&amp;A</t>
  </si>
  <si>
    <t>(-) Capex</t>
  </si>
  <si>
    <t>(+/-) Working capital</t>
  </si>
  <si>
    <t>(-) Pace charges, after tax</t>
  </si>
  <si>
    <t>Unlevered free cash flow</t>
  </si>
  <si>
    <t>Year fraction</t>
  </si>
  <si>
    <t>Discount period (yrs)</t>
  </si>
  <si>
    <t>Discount factor</t>
  </si>
  <si>
    <t>PV of free cash flow</t>
  </si>
  <si>
    <t>WACC and terminal value</t>
  </si>
  <si>
    <t>Risk-free rate (%)</t>
  </si>
  <si>
    <t>Assumption</t>
  </si>
  <si>
    <t>Equity risk premium (%)</t>
  </si>
  <si>
    <t>Levered beta (x)</t>
  </si>
  <si>
    <t>Cost of equity (%)</t>
  </si>
  <si>
    <t>Pre-tax cost of debt (%)</t>
  </si>
  <si>
    <t>Above 2.38%-3.88% coupons on refinancing</t>
  </si>
  <si>
    <t>After-tax cost of debt (%)</t>
  </si>
  <si>
    <t>Equity weight (%)</t>
  </si>
  <si>
    <t>Debt weight (%)</t>
  </si>
  <si>
    <t>WACC (%)</t>
  </si>
  <si>
    <t>Terminal method (1 growth / 2 multiple)</t>
  </si>
  <si>
    <t>Terminal growth (%)</t>
  </si>
  <si>
    <t>Exit EV / Adj. EBITDA (x)</t>
  </si>
  <si>
    <t>Assumption; LTM 10.1x (row 27)</t>
  </si>
  <si>
    <t>Terminal value</t>
  </si>
  <si>
    <t>PV of terminal value</t>
  </si>
  <si>
    <t>Sum of PV of free cash flow</t>
  </si>
  <si>
    <t>(-) Net debt (net cash)</t>
  </si>
  <si>
    <t>Equity value</t>
  </si>
  <si>
    <t>Value per share ($)</t>
  </si>
  <si>
    <t>Upside to share price (%)</t>
  </si>
  <si>
    <t>Implied terminal growth (%)</t>
  </si>
  <si>
    <t>IRR sensitivity, selected case: exit P/E vs. entry price</t>
  </si>
  <si>
    <t>Entry price ($)</t>
  </si>
  <si>
    <t>F: NKE close 28-Oct-26; E: model entry</t>
  </si>
  <si>
    <t>Premium to model entry (%)</t>
  </si>
  <si>
    <t>MoM sensitivity, selected case: exit P/E vs. entry price</t>
  </si>
  <si>
    <t>Exit P/E (x) / entry price ($)</t>
  </si>
  <si>
    <t>MoM sensitivity, selected case: exit P/E vs. FY30E Adj. EPS</t>
  </si>
  <si>
    <t>IRR sensitivity, selected case: entry price vs. FY30E Adj. EPS</t>
  </si>
  <si>
    <t>Selected exit P/E (x)</t>
  </si>
  <si>
    <t>Entry price ($) / FY30E EPS ($)</t>
  </si>
  <si>
    <t>MoM sensitivity, selected case: entry price vs. FY30E Adj. EPS</t>
  </si>
  <si>
    <t>Trading Comparables</t>
  </si>
  <si>
    <t>$ in millions; market caps at 10/07/26 close; LTM to latest reported quarter</t>
  </si>
  <si>
    <t>Company</t>
  </si>
  <si>
    <t>Ticker</t>
  </si>
  <si>
    <t>Market cap</t>
  </si>
  <si>
    <t>Short-term debt</t>
  </si>
  <si>
    <t>Current LTD</t>
  </si>
  <si>
    <t>Cash</t>
  </si>
  <si>
    <t>LTM revenue</t>
  </si>
  <si>
    <t>LTM EBITDA</t>
  </si>
  <si>
    <t>LTM net income</t>
  </si>
  <si>
    <t>EV / Revenue</t>
  </si>
  <si>
    <t>EV / EBITDA</t>
  </si>
  <si>
    <t>P / E</t>
  </si>
  <si>
    <t>Lululemon</t>
  </si>
  <si>
    <t>LULU</t>
  </si>
  <si>
    <t>Data provider; BS 2026-08-02</t>
  </si>
  <si>
    <t>Deckers</t>
  </si>
  <si>
    <t>DECK</t>
  </si>
  <si>
    <t>Data provider; BS 2026-06-30</t>
  </si>
  <si>
    <t>Amer Sports</t>
  </si>
  <si>
    <t>AS</t>
  </si>
  <si>
    <t>Crocs</t>
  </si>
  <si>
    <t>CROX</t>
  </si>
  <si>
    <t>VF Corp</t>
  </si>
  <si>
    <t>VFC</t>
  </si>
  <si>
    <t>Data provider; BS 2026-06-27</t>
  </si>
  <si>
    <t>Under Armour</t>
  </si>
  <si>
    <t>UAA</t>
  </si>
  <si>
    <t>Peer median</t>
  </si>
  <si>
    <t>Excl. Nike</t>
  </si>
  <si>
    <t>Peer mean</t>
  </si>
  <si>
    <t>Nike</t>
  </si>
  <si>
    <t>NKE</t>
  </si>
  <si>
    <t>Model, LTM 08/31/26; Adj. EBITDA; cash incl. ST investments</t>
  </si>
  <si>
    <t>Peer Benchmarking</t>
  </si>
  <si>
    <t>Total debt</t>
  </si>
  <si>
    <t>Cash &amp; ST inv.</t>
  </si>
  <si>
    <t>EBITDA margin (%)</t>
  </si>
  <si>
    <t>Net debt / EBITDA</t>
  </si>
  <si>
    <t>Build-up (local, m)</t>
  </si>
  <si>
    <t>Price ccy</t>
  </si>
  <si>
    <t>Price (local)</t>
  </si>
  <si>
    <t>FX price to USD</t>
  </si>
  <si>
    <t>Shares (m)</t>
  </si>
  <si>
    <t>FX reporting to USD</t>
  </si>
  <si>
    <t>FX, H.10 10/07/26</t>
  </si>
  <si>
    <t>Rate</t>
  </si>
  <si>
    <t>Global athletic</t>
  </si>
  <si>
    <t>USD per EUR</t>
  </si>
  <si>
    <t>adidas</t>
  </si>
  <si>
    <t>ADS GY</t>
  </si>
  <si>
    <t>Price 10/07/26; data provider LTM; FX H.10</t>
  </si>
  <si>
    <t>EUR</t>
  </si>
  <si>
    <t>CHF per USD</t>
  </si>
  <si>
    <t>PUMA</t>
  </si>
  <si>
    <t>PUM GY</t>
  </si>
  <si>
    <t>USD per CHF</t>
  </si>
  <si>
    <t>Table above; growth and GM data provider LTM</t>
  </si>
  <si>
    <t>Median</t>
  </si>
  <si>
    <t>Premium and growth athletic</t>
  </si>
  <si>
    <t>On Holding</t>
  </si>
  <si>
    <t>ONON</t>
  </si>
  <si>
    <t>USD</t>
  </si>
  <si>
    <t>Footwear and lifestyle</t>
  </si>
  <si>
    <t>Birkenstock</t>
  </si>
  <si>
    <t>BIRK</t>
  </si>
  <si>
    <t>Outdoor and diversified apparel</t>
  </si>
  <si>
    <t>Columbia Sportswear</t>
  </si>
  <si>
    <t>COLM</t>
  </si>
  <si>
    <t>Model, LTM 08/31/26; Adj. EBITDA</t>
  </si>
  <si>
    <t>Deck Exhibits</t>
  </si>
  <si>
    <t>$ in billions, except per share; Base Case; NKE close 10/07/26</t>
  </si>
  <si>
    <t>FY24A</t>
  </si>
  <si>
    <t>FY25A</t>
  </si>
  <si>
    <t>FY26A</t>
  </si>
  <si>
    <t>FY27E</t>
  </si>
  <si>
    <t>FY28E</t>
  </si>
  <si>
    <t>FY29E</t>
  </si>
  <si>
    <t>FY30E</t>
  </si>
  <si>
    <t>FY31E</t>
  </si>
  <si>
    <t>Revenue ($bn)</t>
  </si>
  <si>
    <t>Adj. EBIT margin (%)</t>
  </si>
  <si>
    <t>Free cash flow ($bn)</t>
  </si>
  <si>
    <t>Dividends ($bn)</t>
  </si>
  <si>
    <t>Share repurchases ($bn)</t>
  </si>
  <si>
    <t>Segment EBIT margin</t>
  </si>
  <si>
    <t>Returns by case</t>
  </si>
  <si>
    <t>IRR (%)</t>
  </si>
  <si>
    <t>MoM (x)</t>
  </si>
  <si>
    <t>LTM EV / EBITDA</t>
  </si>
  <si>
    <t>Multiple</t>
  </si>
  <si>
    <t>Demand creation (% rev.)</t>
  </si>
  <si>
    <t>Overhead (% rev.)</t>
  </si>
  <si>
    <t>Net debt (cash)</t>
  </si>
  <si>
    <t>Q1 scorecard ($bn)</t>
  </si>
  <si>
    <t>Change</t>
  </si>
  <si>
    <t>EBIT margin (%)</t>
  </si>
  <si>
    <t>NA EBIT margin (%)</t>
  </si>
  <si>
    <t>Probability (%)</t>
  </si>
  <si>
    <t>FY30E revenue, geographies</t>
  </si>
  <si>
    <t>FY30E segment EBIT</t>
  </si>
  <si>
    <t>FY30E Adj. EPS ($)</t>
  </si>
  <si>
    <t>Exit P/E (x)</t>
  </si>
  <si>
    <t>Exit price, May-29 ($)</t>
  </si>
  <si>
    <t>Dividends received ($)</t>
  </si>
  <si>
    <t>Segment snapshot</t>
  </si>
  <si>
    <t>FY26A rev. ($bn)</t>
  </si>
  <si>
    <t>% of total</t>
  </si>
  <si>
    <t>FY24A margin</t>
  </si>
  <si>
    <t>FY26A margin</t>
  </si>
  <si>
    <t>Total Nike, Inc.</t>
  </si>
  <si>
    <t>Margin vs. multiple</t>
  </si>
  <si>
    <t>EBITDA margin</t>
  </si>
  <si>
    <t>Label</t>
  </si>
  <si>
    <t>Growth vs. multiple</t>
  </si>
  <si>
    <t>Revenue growth</t>
  </si>
  <si>
    <t>Financial summary ($bn)</t>
  </si>
  <si>
    <t>Fiscal year</t>
  </si>
  <si>
    <t>Period end</t>
  </si>
  <si>
    <t/>
  </si>
  <si>
    <t/>
  </si>
  <si>
    <t>Deck figure</t>
  </si>
  <si>
    <t>Entry share price ($)</t>
  </si>
  <si>
    <t>Market capitalization ($m)</t>
  </si>
  <si>
    <t>Enterprise value ($m)</t>
  </si>
  <si>
    <t>Downside IRR</t>
  </si>
  <si>
    <t>Base IRR</t>
  </si>
  <si>
    <t>Upside IRR</t>
  </si>
  <si>
    <t>Prob.-weighted IRR</t>
  </si>
  <si>
    <t>Downside MoM (x)</t>
  </si>
  <si>
    <t>Upside MoM (x)</t>
  </si>
  <si>
    <t>Prob.-weighted MoM (x)</t>
  </si>
  <si>
    <t>Downside FY30E adj. EPS ($)</t>
  </si>
  <si>
    <t>Base FY30E adj. EPS ($)</t>
  </si>
  <si>
    <t>Upside FY30E adj. EPS ($)</t>
  </si>
  <si>
    <t>WACC</t>
  </si>
  <si>
    <t>DCF enterprise value ($m)</t>
  </si>
  <si>
    <t>LTM EV / adj. EBITDA (x)</t>
  </si>
  <si>
    <t>FY27E P / E (x)</t>
  </si>
  <si>
    <t>FY28E P / E (x)</t>
  </si>
  <si>
    <t>Sensitivity: 20.0x exit, base EPS IRR</t>
  </si>
  <si>
    <t>Sensitivity: $37.15 entry, 20.0x IRR</t>
  </si>
  <si>
    <t>Sensitivity: 16.0x exit at entry IRR</t>
  </si>
  <si>
    <t>Sensitivity: 20.0x exit, $34.36 MoM (x)</t>
  </si>
  <si>
    <t>Peer median EV / EBITDA, ten peers (x)</t>
  </si>
  <si>
    <t>Peer median EBITDA margin</t>
  </si>
  <si>
    <t>Peer median EV / EBITDA, US six (x)</t>
  </si>
  <si>
    <t>FY27E revenue ($m)</t>
  </si>
  <si>
    <t>FY31E adj. EBIT margin</t>
  </si>
  <si>
    <t>FY31E adj. EPS ($)</t>
  </si>
  <si>
    <t>FY27E adj. EPS ($)</t>
  </si>
  <si>
    <t>FY31E free cash flow ($m)</t>
  </si>
  <si>
    <t>Items tied</t>
  </si>
  <si>
    <t>Items checked</t>
  </si>
  <si>
    <t>Model balance and cash checks</t>
  </si>
  <si>
    <t>This model</t>
  </si>
  <si>
    <t/>
  </si>
  <si>
    <t>Difference</t>
  </si>
  <si>
    <t>Status</t>
  </si>
  <si>
    <t>Prior cell</t>
  </si>
  <si>
    <t>Valuation!C12</t>
  </si>
  <si>
    <t>Valuation!C15</t>
  </si>
  <si>
    <t>Valuation!C16</t>
  </si>
  <si>
    <t>Valuation!C19</t>
  </si>
  <si>
    <t>Valuation!D52</t>
  </si>
  <si>
    <t>Valuation!E52</t>
  </si>
  <si>
    <t>Valuation!F52</t>
  </si>
  <si>
    <t>Valuation!G52</t>
  </si>
  <si>
    <t>Valuation!D51</t>
  </si>
  <si>
    <t>Valuation!E51</t>
  </si>
  <si>
    <t>Valuation!F51</t>
  </si>
  <si>
    <t>Valuation!G51</t>
  </si>
  <si>
    <t>Valuation!D46</t>
  </si>
  <si>
    <t>Valuation!E46</t>
  </si>
  <si>
    <t>Valuation!F46</t>
  </si>
  <si>
    <t>Valuation!C114</t>
  </si>
  <si>
    <t>Valuation!C104</t>
  </si>
  <si>
    <t>Valuation!C111</t>
  </si>
  <si>
    <t>Valuation!C27</t>
  </si>
  <si>
    <t>Valuation!D28</t>
  </si>
  <si>
    <t>Valuation!E28</t>
  </si>
  <si>
    <t>Valuation!E71</t>
  </si>
  <si>
    <t>Valuation!F123</t>
  </si>
  <si>
    <t>Valuation!E121</t>
  </si>
  <si>
    <t>Valuation!E131</t>
  </si>
  <si>
    <t>Comps!O38</t>
  </si>
  <si>
    <t>Comps!L38</t>
  </si>
  <si>
    <t>Comps!N11</t>
  </si>
  <si>
    <t>Model!G21</t>
  </si>
  <si>
    <t>Model!K63</t>
  </si>
  <si>
    <t>Model!K64</t>
  </si>
  <si>
    <t>Model!G64</t>
  </si>
  <si>
    <t>Model!K81</t>
  </si>
  <si>
    <t>Tolerance</t>
  </si>
  <si>
    <t>Nike, Inc. (NYSE: NKE): IC Memo Model</t>
  </si>
  <si>
    <t>$ in millions unless stated; market data at 10/07/26 close; financials to Q1 FY27 (31-Aug-26); fiscal year ends 31 May</t>
  </si>
  <si>
    <t>Contents</t>
  </si>
  <si>
    <t>Tab</t>
  </si>
  <si>
    <t>Holds</t>
  </si>
  <si>
    <t>Operating drivers by case (Base, Upside, Downside) with case selector</t>
  </si>
  <si>
    <t>Model</t>
  </si>
  <si>
    <t>Segment build, income statement, cash flow, balance sheet, debt and shares, FY24A-FY31E and Q1</t>
  </si>
  <si>
    <t>Valuation</t>
  </si>
  <si>
    <t>Market valuation, scenario returns, DCF and IRR / MoM sensitivity grids</t>
  </si>
  <si>
    <t>Comps</t>
  </si>
  <si>
    <t>Trading comparables and grouped peer benchmarking with local-currency build-up</t>
  </si>
  <si>
    <t>Deck</t>
  </si>
  <si>
    <t>Linked tables and charts used in the IC deck</t>
  </si>
  <si>
    <t/>
  </si>
  <si>
    <t/>
  </si>
  <si>
    <t>Sources</t>
  </si>
  <si>
    <t>Company filings</t>
  </si>
  <si>
    <t>Nike 10-K FY24-FY26, 10-Q and earnings release Q1 FY27 (1 Oct 2026)</t>
  </si>
  <si>
    <t>Market data</t>
  </si>
  <si>
    <t>Share prices and shares outstanding at 10/07/26 close; peer LTM financials from company filings via data provider</t>
  </si>
  <si>
    <t>FX</t>
  </si>
  <si>
    <t>Federal Reserve H.10 rates of 10/07/26</t>
  </si>
  <si>
    <t>Case drivers</t>
  </si>
  <si>
    <t>Deal team assumptions, shaded yellow on the Cases and Valuation tabs</t>
  </si>
  <si>
    <t>Key outputs</t>
  </si>
  <si>
    <t>Base IRR / MoM</t>
  </si>
  <si>
    <t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</si>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</sst>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0&quot;E&quot;"/>
    <numFmt numFmtId="165" formatCode="mm/dd/yy;@"/>
    <numFmt numFmtId="166" formatCode="0.0%_);\(0.0%\);\-_)"/>
    <numFmt numFmtId="167" formatCode="&quot;$&quot;#,##0.0_);\(&quot;$&quot;#,##0.0\);\-_)"/>
    <numFmt numFmtId="168" formatCode="#,##0.0_);\(#,##0.0\);\-_)"/>
    <numFmt numFmtId="169" formatCode="&quot;$&quot;#,##0.00_);\(&quot;$&quot;#,##0.00\);\-_)"/>
    <numFmt numFmtId="170" formatCode="0&quot;A&quot;"/>
    <numFmt numFmtId="171" formatCode="$#,##0.00"/>
    <numFmt numFmtId="172" formatCode="0.0x_);\(0.0x\);\-_)"/>
    <numFmt numFmtId="173" formatCode="0.000"/>
    <numFmt numFmtId="174" formatCode="0.0000"/>
    <numFmt numFmtId="175" formatCode="#,##0.00_);\(#,##0.00\);\-_)"/>
    <numFmt numFmtId="176" formatCode="+0&quot; bp&quot;;(0&quot; bp&quot;)"/>
    <numFmt numFmtId="177" formatCode="&quot;FY&quot;yy&quot;A&quot;"/>
    <numFmt numFmtId="178" formatCode="&quot;FY&quot;yy&quot;E&quot;"/>
    <numFmt numFmtId="179" formatCode="0.000000"/>
    <numFmt numFmtId="180" formatCode="0.0%"/>
  </numFmts>
  <fonts count="20"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10"/>
      <color rgb="FFFFFFFF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i/>
      <sz val="10"/>
      <color rgb="FF008000"/>
      <name val="Arial"/>
      <family val="2"/>
    </font>
    <font>
      <b/>
      <sz val="12"/>
      <color rgb="FF000000"/>
      <name val="Arial"/>
      <family val="2"/>
    </font>
    <font>
      <b/>
      <i/>
      <sz val="10"/>
      <color rgb="FF000000"/>
      <name val="Arial"/>
      <family val="2"/>
    </font>
    <font>
      <b/>
      <u val="singleAccounting"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i/>
      <sz val="10"/>
      <color rgb="FF002060"/>
      <name val="Arial"/>
      <family val="2"/>
    </font>
    <font>
      <b/>
      <u val="singleAccounting"/>
      <sz val="10"/>
      <color rgb="FF008000"/>
      <name val="Arial"/>
      <family val="2"/>
    </font>
    <font>
      <i/>
      <sz val="10"/>
      <color rgb="FF646464"/>
      <name val="Arial"/>
      <family val="2"/>
    </font>
    <font>
      <sz val="10"/>
      <color rgb="FFFFFFFF"/>
      <name val="Arial"/>
      <family val="2"/>
    </font>
    <font>
      <sz val="14"/>
      <color rgb="FF000000"/>
      <name val="Arial"/>
      <family val="2"/>
    </font>
    <font>
      <b/>
      <sz val="10"/>
      <color rgb="FF00206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833C0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B4C6E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/>
      <right/>
      <top/>
      <bottom/>
      <diagonal/>
    </border>
    <border>
      <left/>
      <right/>
      <top style="thin"/>
      <bottom/>
      <diagonal/>
    </border>
    <border>
      <left/>
      <right/>
      <top/>
      <bottom style="thin"/>
      <diagonal/>
    </border>
  </borders>
  <cellStyleXfs count="1">
    <xf borderId="0" fillId="0" fontId="0" numFmtId="0" applyAlignment="1" applyFont="1" applyFill="1"/>
  </cellStyleXfs>
  <cellXfs count="214">
    <xf xfId="0" borderId="0" fillId="0" fontId="0" numFmtId="0"/>
    <xf xfId="0" borderId="1" fillId="0" fontId="1" numFmtId="0" applyFont="1"/>
    <xf xfId="0" borderId="1" fillId="0" fontId="0" numFmtId="0"/>
    <xf xfId="0" borderId="1" fillId="2" fontId="2" numFmtId="0" applyAlignment="1" applyFont="1" applyFill="1">
      <alignment horizontal="center"/>
    </xf>
    <xf xfId="0" borderId="0" fillId="0" fontId="3" numFmtId="0" applyFont="1"/>
    <xf xfId="0" borderId="0" fillId="0" fontId="4" numFmtId="0" applyFont="1"/>
    <xf xfId="0" borderId="2" fillId="3" fontId="5" numFmtId="0" applyAlignment="1" applyFont="1" applyFill="1">
      <alignment horizontal="center"/>
    </xf>
    <xf xfId="0" borderId="0" fillId="0" fontId="0" numFmtId="0" applyAlignment="1">
      <alignment horizontal="center"/>
    </xf>
    <xf xfId="0" borderId="0" fillId="4" fontId="2" numFmtId="0" applyAlignment="1" applyFont="1" applyFill="1">
      <alignment horizontal="left"/>
    </xf>
    <xf xfId="0" borderId="0" fillId="4" fontId="2" numFmtId="164" applyAlignment="1" applyFont="1" applyFill="1">
      <alignment horizontal="right"/>
    </xf>
    <xf xfId="0" borderId="0" fillId="4" fontId="2" numFmtId="165" applyAlignment="1" applyFont="1" applyFill="1">
      <alignment horizontal="right"/>
    </xf>
    <xf xfId="0" borderId="0" fillId="5" fontId="2" numFmtId="0" applyFont="1" applyFill="1"/>
    <xf xfId="0" borderId="0" fillId="0" fontId="4" numFmtId="0" applyAlignment="1" applyFont="1">
      <alignment indent="1"/>
    </xf>
    <xf xfId="0" borderId="0" fillId="0" fontId="4" numFmtId="166" applyAlignment="1" applyFont="1">
      <alignment horizontal="right"/>
    </xf>
    <xf xfId="0" borderId="0" fillId="0" fontId="0" numFmtId="0" applyAlignment="1">
      <alignment indent="2"/>
    </xf>
    <xf xfId="0" borderId="0" fillId="0" fontId="6" numFmtId="166" applyAlignment="1" applyFont="1">
      <alignment horizontal="right"/>
    </xf>
    <xf xfId="0" borderId="0" fillId="0" fontId="0" numFmtId="0" applyAlignment="1">
      <alignment indent="1"/>
    </xf>
    <xf xfId="0" borderId="0" fillId="0" fontId="6" numFmtId="167" applyAlignment="1" applyFont="1">
      <alignment horizontal="right"/>
    </xf>
    <xf xfId="0" borderId="0" fillId="0" fontId="6" numFmtId="168" applyAlignment="1" applyFont="1">
      <alignment horizontal="right"/>
    </xf>
    <xf xfId="0" borderId="0" fillId="0" fontId="6" numFmtId="169" applyAlignment="1" applyFont="1">
      <alignment horizontal="right"/>
    </xf>
    <xf xfId="0" borderId="1" fillId="0" fontId="4" numFmtId="0" applyAlignment="1" applyFont="1">
      <alignment horizontal="right"/>
    </xf>
    <xf xfId="0" borderId="1" fillId="0" fontId="4" numFmtId="0" applyAlignment="1" applyFont="1">
      <alignment horizontal="center"/>
    </xf>
    <xf xfId="0" borderId="0" fillId="4" fontId="2" numFmtId="170" applyAlignment="1" applyFont="1" applyFill="1">
      <alignment horizontal="right"/>
    </xf>
    <xf xfId="0" borderId="0" fillId="4" fontId="2" numFmtId="0" applyAlignment="1" applyFont="1" applyFill="1">
      <alignment horizontal="right"/>
    </xf>
    <xf xfId="0" borderId="0" fillId="5" fontId="4" numFmtId="0" applyFont="1" applyFill="1"/>
    <xf xfId="0" borderId="0" fillId="0" fontId="0" numFmtId="167"/>
    <xf xfId="0" borderId="0" fillId="0" fontId="0" numFmtId="167" applyAlignment="1">
      <alignment horizontal="right"/>
    </xf>
    <xf xfId="0" borderId="0" fillId="0" fontId="7" numFmtId="167" applyAlignment="1" applyFont="1">
      <alignment horizontal="right"/>
    </xf>
    <xf xfId="0" borderId="0" fillId="0" fontId="0" numFmtId="0" applyAlignment="1">
      <alignment horizontal="right"/>
    </xf>
    <xf xfId="0" borderId="0" fillId="0" fontId="0" numFmtId="166" applyAlignment="1">
      <alignment horizontal="right"/>
    </xf>
    <xf xfId="0" borderId="0" fillId="0" fontId="3" numFmtId="0" applyAlignment="1" applyFont="1">
      <alignment indent="2"/>
    </xf>
    <xf xfId="0" borderId="0" fillId="0" fontId="3" numFmtId="166" applyAlignment="1" applyFont="1">
      <alignment horizontal="right"/>
    </xf>
    <xf xfId="0" borderId="0" fillId="0" fontId="3" numFmtId="0" applyAlignment="1" applyFont="1">
      <alignment horizontal="right"/>
    </xf>
    <xf xfId="0" borderId="0" fillId="0" fontId="0" numFmtId="168"/>
    <xf xfId="0" borderId="0" fillId="0" fontId="0" numFmtId="168" applyAlignment="1">
      <alignment horizontal="right"/>
    </xf>
    <xf xfId="0" borderId="0" fillId="0" fontId="7" numFmtId="168" applyAlignment="1" applyFont="1">
      <alignment horizontal="right"/>
    </xf>
    <xf xfId="0" borderId="3" fillId="0" fontId="4" numFmtId="0" applyFont="1"/>
    <xf xfId="0" borderId="3" fillId="0" fontId="4" numFmtId="167" applyAlignment="1" applyFont="1">
      <alignment horizontal="right"/>
    </xf>
    <xf xfId="0" borderId="0" fillId="0" fontId="4" numFmtId="0" applyAlignment="1" applyFont="1">
      <alignment horizontal="right"/>
    </xf>
    <xf xfId="0" borderId="3" fillId="0" fontId="4" numFmtId="166" applyAlignment="1" applyFont="1">
      <alignment horizontal="right"/>
    </xf>
    <xf xfId="0" borderId="3" fillId="6" fontId="4" numFmtId="0" applyFont="1" applyFill="1"/>
    <xf xfId="0" borderId="3" fillId="6" fontId="4" numFmtId="167" applyAlignment="1" applyFont="1" applyFill="1">
      <alignment horizontal="right"/>
    </xf>
    <xf xfId="0" borderId="3" fillId="6" fontId="4" numFmtId="166" applyAlignment="1" applyFont="1" applyFill="1">
      <alignment horizontal="right"/>
    </xf>
    <xf xfId="0" borderId="3" fillId="6" fontId="8" numFmtId="167" applyAlignment="1" applyFont="1" applyFill="1">
      <alignment horizontal="right"/>
    </xf>
    <xf xfId="0" borderId="0" fillId="0" fontId="3" numFmtId="0" applyAlignment="1" applyFont="1">
      <alignment indent="1"/>
    </xf>
    <xf xfId="0" borderId="0" fillId="0" fontId="3" numFmtId="168" applyAlignment="1" applyFont="1">
      <alignment horizontal="right"/>
    </xf>
    <xf xfId="0" borderId="0" fillId="0" fontId="4" numFmtId="169" applyAlignment="1" applyFont="1">
      <alignment horizontal="right"/>
    </xf>
    <xf xfId="0" borderId="0" fillId="0" fontId="4" numFmtId="167" applyAlignment="1" applyFont="1">
      <alignment horizontal="right"/>
    </xf>
    <xf xfId="0" borderId="0" fillId="0" fontId="0" numFmtId="166"/>
    <xf xfId="0" borderId="0" fillId="0" fontId="9" numFmtId="166" applyAlignment="1" applyFont="1">
      <alignment horizontal="right"/>
    </xf>
    <xf xfId="0" borderId="0" fillId="0" fontId="3" numFmtId="172" applyAlignment="1" applyFont="1">
      <alignment horizontal="right"/>
    </xf>
    <xf xfId="0" borderId="3" fillId="0" fontId="4" numFmtId="168" applyAlignment="1" applyFont="1">
      <alignment horizontal="right"/>
    </xf>
    <xf xfId="0" borderId="0" fillId="0" fontId="0" numFmtId="169" applyAlignment="1">
      <alignment horizontal="right"/>
    </xf>
    <xf xfId="0" borderId="0" fillId="0" fontId="7" numFmtId="169" applyAlignment="1" applyFont="1">
      <alignment horizontal="right"/>
    </xf>
    <xf xfId="0" borderId="0" fillId="0" fontId="4" numFmtId="172" applyAlignment="1" applyFont="1">
      <alignment horizontal="right"/>
    </xf>
    <xf xfId="0" borderId="0" fillId="0" fontId="8" numFmtId="0" applyAlignment="1" applyFont="1">
      <alignment horizontal="right"/>
    </xf>
    <xf xfId="0" borderId="0" fillId="4" fontId="2" numFmtId="0" applyFont="1" applyFill="1"/>
    <xf xfId="0" borderId="3" fillId="0" fontId="4" numFmtId="0" applyAlignment="1" applyFont="1">
      <alignment horizontal="center"/>
    </xf>
    <xf xfId="0" borderId="3" fillId="0" fontId="8" numFmtId="167" applyAlignment="1" applyFont="1">
      <alignment horizontal="right"/>
    </xf>
    <xf xfId="0" borderId="3" fillId="6" fontId="4" numFmtId="0" applyAlignment="1" applyFont="1" applyFill="1">
      <alignment horizontal="center"/>
    </xf>
    <xf xfId="0" borderId="0" fillId="0" fontId="4" numFmtId="0" applyAlignment="1" applyFont="1">
      <alignment horizontal="center"/>
    </xf>
    <xf xfId="0" borderId="0" fillId="0" fontId="6" numFmtId="172" applyAlignment="1" applyFont="1">
      <alignment horizontal="right"/>
    </xf>
    <xf xfId="0" borderId="3" fillId="6" fontId="4" numFmtId="172" applyAlignment="1" applyFont="1" applyFill="1">
      <alignment horizontal="right"/>
    </xf>
    <xf xfId="0" borderId="4" fillId="6" fontId="4" numFmtId="172" applyAlignment="1" applyFont="1" applyFill="1">
      <alignment horizontal="right"/>
    </xf>
    <xf xfId="0" borderId="0" fillId="6" fontId="4" numFmtId="0" applyFont="1" applyFill="1"/>
    <xf xfId="0" borderId="0" fillId="6" fontId="4" numFmtId="0" applyAlignment="1" applyFont="1" applyFill="1">
      <alignment horizontal="center"/>
    </xf>
    <xf xfId="0" borderId="0" fillId="6" fontId="4" numFmtId="166" applyAlignment="1" applyFont="1" applyFill="1">
      <alignment horizontal="right"/>
    </xf>
    <xf xfId="0" borderId="5" fillId="6" fontId="4" numFmtId="166" applyAlignment="1" applyFont="1" applyFill="1">
      <alignment horizontal="right"/>
    </xf>
    <xf xfId="0" borderId="0" fillId="0" fontId="3" numFmtId="0" applyAlignment="1" applyFont="1">
      <alignment horizontal="center"/>
    </xf>
    <xf xfId="0" borderId="0" fillId="0" fontId="9" numFmtId="169" applyAlignment="1" applyFont="1">
      <alignment horizontal="right"/>
    </xf>
    <xf xfId="0" borderId="0" fillId="0" fontId="9" numFmtId="0" applyFont="1"/>
    <xf xfId="0" borderId="0" fillId="7" fontId="2" numFmtId="0" applyFont="1" applyFill="1"/>
    <xf xfId="0" borderId="0" fillId="7" fontId="2" numFmtId="0" applyAlignment="1" applyFont="1" applyFill="1">
      <alignment horizontal="right"/>
    </xf>
    <xf xfId="0" borderId="0" fillId="0" fontId="0" numFmtId="165" applyAlignment="1">
      <alignment horizontal="right"/>
    </xf>
    <xf xfId="0" borderId="0" fillId="0" fontId="7" numFmtId="165" applyAlignment="1" applyFont="1">
      <alignment horizontal="right"/>
    </xf>
    <xf xfId="0" borderId="3" fillId="0" fontId="4" numFmtId="169" applyAlignment="1" applyFont="1">
      <alignment horizontal="right"/>
    </xf>
    <xf xfId="0" borderId="0" fillId="4" fontId="2" numFmtId="0" applyAlignment="1" applyFont="1" applyFill="1">
      <alignment horizontal="centerContinuous"/>
    </xf>
    <xf xfId="0" borderId="0" fillId="0" fontId="5" numFmtId="166" applyAlignment="1" applyFont="1">
      <alignment horizontal="right"/>
    </xf>
    <xf xfId="0" borderId="1" fillId="0" fontId="8" numFmtId="169" applyAlignment="1" applyFont="1">
      <alignment horizontal="right"/>
    </xf>
    <xf xfId="0" borderId="0" fillId="0" fontId="5" numFmtId="172" applyAlignment="1" applyFont="1">
      <alignment horizontal="right"/>
    </xf>
    <xf xfId="0" borderId="0" fillId="0" fontId="0" numFmtId="172"/>
    <xf xfId="0" borderId="6" fillId="0" fontId="4" numFmtId="166" applyAlignment="1" applyFont="1">
      <alignment horizontal="right"/>
    </xf>
    <xf xfId="0" borderId="0" fillId="0" fontId="0" numFmtId="2" applyAlignment="1">
      <alignment horizontal="right"/>
    </xf>
    <xf xfId="0" borderId="0" fillId="0" fontId="0" numFmtId="173" applyAlignment="1">
      <alignment horizontal="right"/>
    </xf>
    <xf xfId="0" borderId="0" fillId="0" fontId="6" numFmtId="2" applyAlignment="1" applyFont="1">
      <alignment horizontal="right"/>
    </xf>
    <xf xfId="0" borderId="0" fillId="0" fontId="7" numFmtId="166" applyAlignment="1" applyFont="1">
      <alignment horizontal="right"/>
    </xf>
    <xf xfId="0" borderId="0" fillId="0" fontId="6" numFmtId="1" applyAlignment="1" applyFont="1">
      <alignment horizontal="right"/>
    </xf>
    <xf xfId="0" borderId="0" fillId="6" fontId="4" numFmtId="169" applyAlignment="1" applyFont="1" applyFill="1">
      <alignment horizontal="right"/>
    </xf>
    <xf xfId="0" borderId="0" fillId="0" fontId="5" numFmtId="169" applyAlignment="1" applyFont="1">
      <alignment horizontal="right"/>
    </xf>
    <xf xfId="0" borderId="0" fillId="0" fontId="0" numFmtId="0" applyAlignment="1">
      <alignment horizontal="left"/>
    </xf>
    <xf xfId="0" borderId="1" fillId="0" fontId="4" numFmtId="166" applyAlignment="1" applyFont="1">
      <alignment horizontal="right"/>
    </xf>
    <xf xfId="0" borderId="1" fillId="0" fontId="4" numFmtId="169" applyAlignment="1" applyFont="1">
      <alignment horizontal="right"/>
    </xf>
    <xf xfId="0" borderId="0" fillId="0" fontId="0" numFmtId="172" applyAlignment="1">
      <alignment horizontal="right"/>
    </xf>
    <xf xfId="0" borderId="6" fillId="0" fontId="4" numFmtId="172" applyAlignment="1" applyFont="1">
      <alignment horizontal="right"/>
    </xf>
    <xf xfId="0" borderId="7" fillId="0" fontId="0" numFmtId="172" applyAlignment="1">
      <alignment horizontal="right"/>
    </xf>
    <xf xfId="0" borderId="0" fillId="0" fontId="7" numFmtId="172" applyFont="1"/>
    <xf xfId="0" borderId="7" fillId="0" fontId="0" numFmtId="166" applyAlignment="1">
      <alignment horizontal="right"/>
    </xf>
    <xf xfId="0" borderId="0" fillId="4" fontId="2" numFmtId="0" applyAlignment="1" applyFont="1" applyFill="1">
      <alignment wrapText="1" horizontal="left"/>
    </xf>
    <xf xfId="0" borderId="0" fillId="4" fontId="2" numFmtId="0" applyAlignment="1" applyFont="1" applyFill="1">
      <alignment wrapText="1" horizontal="right"/>
    </xf>
    <xf xfId="0" borderId="3" fillId="0" fontId="4" numFmtId="0" applyAlignment="1" applyFont="1">
      <alignment horizontal="left"/>
    </xf>
    <xf xfId="0" borderId="3" fillId="0" fontId="4" numFmtId="172" applyAlignment="1" applyFont="1">
      <alignment horizontal="right"/>
    </xf>
    <xf xfId="0" borderId="0" fillId="0" fontId="4" numFmtId="0" applyAlignment="1" applyFont="1">
      <alignment horizontal="left"/>
    </xf>
    <xf xfId="0" borderId="0" fillId="0" fontId="4" numFmtId="168" applyAlignment="1" applyFont="1">
      <alignment horizontal="right"/>
    </xf>
    <xf xfId="0" borderId="3" fillId="6" fontId="4" numFmtId="0" applyAlignment="1" applyFont="1" applyFill="1">
      <alignment horizontal="left"/>
    </xf>
    <xf xfId="0" borderId="0" fillId="0" fontId="10" numFmtId="0" applyFont="1"/>
    <xf xfId="0" borderId="0" fillId="0" fontId="0" numFmtId="0" applyAlignment="1">
      <alignment wrapText="1"/>
    </xf>
    <xf xfId="0" borderId="0" fillId="8" fontId="11" numFmtId="0" applyFont="1" applyFill="1"/>
    <xf xfId="0" borderId="0" fillId="0" fontId="6" numFmtId="174" applyFont="1"/>
    <xf xfId="0" borderId="0" fillId="0" fontId="6" numFmtId="166" applyFont="1"/>
    <xf xfId="0" borderId="0" fillId="0" fontId="6" numFmtId="0" applyFont="1"/>
    <xf xfId="0" borderId="0" fillId="0" fontId="6" numFmtId="175" applyFont="1"/>
    <xf xfId="0" borderId="0" fillId="0" fontId="0" numFmtId="174"/>
    <xf xfId="0" borderId="0" fillId="0" fontId="6" numFmtId="168" applyFont="1"/>
    <xf xfId="0" borderId="8" fillId="0" fontId="4" numFmtId="0" applyFont="1"/>
    <xf xfId="0" borderId="8" fillId="0" fontId="4" numFmtId="166" applyFont="1"/>
    <xf xfId="0" borderId="8" fillId="0" fontId="4" numFmtId="172" applyFont="1"/>
    <xf xfId="0" borderId="3" fillId="6" fontId="5" numFmtId="166" applyAlignment="1" applyFont="1" applyFill="1">
      <alignment horizontal="right"/>
    </xf>
    <xf xfId="0" borderId="3" fillId="6" fontId="8" numFmtId="166" applyAlignment="1" applyFont="1" applyFill="1">
      <alignment horizontal="right"/>
    </xf>
    <xf xfId="0" borderId="3" fillId="6" fontId="8" numFmtId="168" applyAlignment="1" applyFont="1" applyFill="1">
      <alignment horizontal="right"/>
    </xf>
    <xf xfId="0" borderId="0" fillId="6" fontId="4" numFmtId="172" applyFont="1" applyFill="1"/>
    <xf xfId="0" borderId="0" fillId="0" fontId="7" numFmtId="168" applyFont="1"/>
    <xf xfId="0" borderId="0" fillId="0" fontId="7" numFmtId="166" applyFont="1"/>
    <xf xfId="0" borderId="0" fillId="0" fontId="7" numFmtId="169" applyFont="1"/>
    <xf xfId="0" borderId="0" fillId="0" fontId="7" numFmtId="172" applyAlignment="1" applyFont="1">
      <alignment horizontal="right"/>
    </xf>
    <xf xfId="0" borderId="0" fillId="0" fontId="7" numFmtId="0" applyFont="1"/>
    <xf xfId="0" borderId="0" fillId="4" fontId="8" numFmtId="0" applyFont="1" applyFill="1"/>
    <xf xfId="0" borderId="0" fillId="4" fontId="8" numFmtId="172" applyAlignment="1" applyFont="1" applyFill="1">
      <alignment horizontal="right"/>
    </xf>
    <xf xfId="0" borderId="0" fillId="0" fontId="8" numFmtId="168" applyAlignment="1" applyFont="1">
      <alignment horizontal="right"/>
    </xf>
    <xf xfId="0" borderId="0" fillId="0" fontId="8" numFmtId="166" applyAlignment="1" applyFont="1">
      <alignment horizontal="right"/>
    </xf>
    <xf xfId="0" borderId="0" fillId="0" fontId="8" numFmtId="169" applyAlignment="1" applyFont="1">
      <alignment horizontal="right"/>
    </xf>
    <xf xfId="0" borderId="0" fillId="0" fontId="7" numFmtId="175" applyAlignment="1" applyFont="1">
      <alignment horizontal="right"/>
    </xf>
    <xf xfId="0" borderId="0" fillId="0" fontId="8" numFmtId="175" applyAlignment="1" applyFont="1">
      <alignment horizontal="right"/>
    </xf>
    <xf xfId="0" borderId="0" fillId="0" fontId="0" numFmtId="176" applyAlignment="1">
      <alignment horizontal="right"/>
    </xf>
    <xf xfId="0" borderId="0" fillId="0" fontId="7" numFmtId="0" applyAlignment="1" applyFont="1">
      <alignment horizontal="right"/>
    </xf>
    <xf xfId="0" borderId="0" fillId="0" fontId="0" numFmtId="172"/>
    <xf xfId="0" borderId="0" fillId="0" fontId="2" numFmtId="0" applyFont="1"/>
    <xf xfId="0" borderId="0" fillId="0" fontId="2" numFmtId="0" applyAlignment="1" applyFont="1">
      <alignment horizontal="right"/>
    </xf>
    <xf xfId="0" borderId="0" fillId="0" fontId="7" numFmtId="168" applyAlignment="1" applyFont="1">
      <alignment horizontal="right"/>
    </xf>
    <xf xfId="0" borderId="2" fillId="9" fontId="5" numFmtId="0" applyAlignment="1" applyFont="1" applyFill="1">
      <alignment horizontal="center"/>
    </xf>
    <xf xfId="0" borderId="0" fillId="9" fontId="6" numFmtId="166" applyAlignment="1" applyFont="1" applyFill="1">
      <alignment horizontal="right"/>
    </xf>
    <xf xfId="0" borderId="0" fillId="9" fontId="6" numFmtId="167" applyAlignment="1" applyFont="1" applyFill="1">
      <alignment horizontal="right"/>
    </xf>
    <xf xfId="0" borderId="0" fillId="9" fontId="6" numFmtId="168" applyAlignment="1" applyFont="1" applyFill="1">
      <alignment horizontal="right"/>
    </xf>
    <xf xfId="0" borderId="0" fillId="9" fontId="6" numFmtId="169" applyAlignment="1" applyFont="1" applyFill="1">
      <alignment horizontal="right"/>
    </xf>
    <xf xfId="0" borderId="0" fillId="0" fontId="12" numFmtId="178" applyAlignment="1" applyFont="1">
      <alignment horizontal="center"/>
    </xf>
    <xf xfId="0" borderId="0" fillId="0" fontId="12" numFmtId="0" applyAlignment="1" applyFont="1">
      <alignment horizontal="center"/>
    </xf>
    <xf xfId="0" borderId="0" fillId="0" fontId="4" numFmtId="165" applyAlignment="1" applyFont="1">
      <alignment horizontal="center"/>
    </xf>
    <xf xfId="0" borderId="1" fillId="0" fontId="13" numFmtId="0" applyFont="1"/>
    <xf xfId="0" borderId="0" fillId="0" fontId="0" numFmtId="167" applyAlignment="1">
      <alignment horizontal="right"/>
    </xf>
    <xf xfId="0" borderId="0" fillId="0" fontId="0" numFmtId="168" applyAlignment="1">
      <alignment horizontal="right"/>
    </xf>
    <xf xfId="0" borderId="3" fillId="0" fontId="4" numFmtId="0" applyFont="1"/>
    <xf xfId="0" borderId="3" fillId="0" fontId="4" numFmtId="167" applyAlignment="1" applyFont="1">
      <alignment horizontal="right"/>
    </xf>
    <xf xfId="0" borderId="3" fillId="0" fontId="4" numFmtId="166" applyAlignment="1" applyFont="1">
      <alignment horizontal="right"/>
    </xf>
    <xf xfId="0" borderId="3" fillId="0" fontId="8" numFmtId="167" applyAlignment="1" applyFont="1">
      <alignment horizontal="right"/>
    </xf>
    <xf xfId="0" borderId="0" fillId="0" fontId="12" numFmtId="177" applyAlignment="1" applyFont="1">
      <alignment horizontal="center"/>
    </xf>
    <xf xfId="0" borderId="3" fillId="0" fontId="4" numFmtId="0" applyAlignment="1" applyFont="1">
      <alignment horizontal="center"/>
    </xf>
    <xf xfId="0" borderId="0" fillId="9" fontId="6" numFmtId="172" applyAlignment="1" applyFont="1" applyFill="1">
      <alignment horizontal="right"/>
    </xf>
    <xf xfId="0" borderId="3" fillId="0" fontId="4" numFmtId="172" applyAlignment="1" applyFont="1">
      <alignment horizontal="right"/>
    </xf>
    <xf xfId="0" borderId="4" fillId="0" fontId="4" numFmtId="172" applyAlignment="1" applyFont="1">
      <alignment horizontal="right"/>
    </xf>
    <xf xfId="0" borderId="0" fillId="0" fontId="4" numFmtId="166" applyAlignment="1" applyFont="1">
      <alignment horizontal="right"/>
    </xf>
    <xf xfId="0" borderId="5" fillId="0" fontId="4" numFmtId="166" applyAlignment="1" applyFont="1">
      <alignment horizontal="right"/>
    </xf>
    <xf xfId="0" borderId="0" fillId="0" fontId="3" numFmtId="169" applyAlignment="1" applyFont="1">
      <alignment horizontal="right"/>
    </xf>
    <xf xfId="0" borderId="0" fillId="0" fontId="0" numFmtId="169" applyAlignment="1">
      <alignment horizontal="right"/>
    </xf>
    <xf xfId="0" borderId="0" fillId="9" fontId="5" numFmtId="166" applyAlignment="1" applyFont="1" applyFill="1">
      <alignment horizontal="right"/>
    </xf>
    <xf xfId="0" borderId="1" fillId="0" fontId="4" numFmtId="169" applyAlignment="1" applyFont="1">
      <alignment horizontal="right"/>
    </xf>
    <xf xfId="0" borderId="0" fillId="9" fontId="5" numFmtId="172" applyAlignment="1" applyFont="1" applyFill="1">
      <alignment horizontal="right"/>
    </xf>
    <xf xfId="0" borderId="0" fillId="9" fontId="6" numFmtId="2" applyAlignment="1" applyFont="1" applyFill="1">
      <alignment horizontal="right"/>
    </xf>
    <xf xfId="0" borderId="0" fillId="0" fontId="0" numFmtId="166" applyAlignment="1">
      <alignment horizontal="right"/>
    </xf>
    <xf xfId="0" borderId="0" fillId="9" fontId="6" numFmtId="1" applyAlignment="1" applyFont="1" applyFill="1">
      <alignment horizontal="right"/>
    </xf>
    <xf xfId="0" borderId="0" fillId="0" fontId="4" numFmtId="169" applyAlignment="1" applyFont="1">
      <alignment horizontal="right"/>
    </xf>
    <xf xfId="0" borderId="0" fillId="9" fontId="5" numFmtId="169" applyAlignment="1" applyFont="1" applyFill="1">
      <alignment horizontal="right"/>
    </xf>
    <xf xfId="0" borderId="3" fillId="0" fontId="4" numFmtId="0" applyAlignment="1" applyFont="1">
      <alignment horizontal="left"/>
    </xf>
    <xf xfId="0" borderId="0" fillId="10" fontId="14" numFmtId="0" applyFont="1" applyFill="1"/>
    <xf xfId="0" borderId="0" fillId="9" fontId="6" numFmtId="174" applyFont="1" applyFill="1"/>
    <xf xfId="0" borderId="0" fillId="9" fontId="6" numFmtId="168" applyFont="1" applyFill="1"/>
    <xf xfId="0" borderId="3" fillId="0" fontId="5" numFmtId="166" applyAlignment="1" applyFont="1">
      <alignment horizontal="right"/>
    </xf>
    <xf xfId="0" borderId="3" fillId="0" fontId="8" numFmtId="166" applyAlignment="1" applyFont="1">
      <alignment horizontal="right"/>
    </xf>
    <xf xfId="0" borderId="3" fillId="0" fontId="8" numFmtId="168" applyAlignment="1" applyFont="1">
      <alignment horizontal="right"/>
    </xf>
    <xf xfId="0" borderId="0" fillId="0" fontId="7" numFmtId="172" applyFont="1"/>
    <xf xfId="0" borderId="0" fillId="0" fontId="13" numFmtId="0" applyFont="1"/>
    <xf xfId="0" borderId="0" fillId="0" fontId="15" numFmtId="178" applyAlignment="1" applyFont="1">
      <alignment horizontal="center"/>
    </xf>
    <xf xfId="0" borderId="0" fillId="0" fontId="8" numFmtId="165" applyAlignment="1" applyFont="1">
      <alignment horizontal="center"/>
    </xf>
    <xf xfId="0" borderId="0" fillId="0" fontId="15" numFmtId="0" applyAlignment="1" applyFont="1">
      <alignment horizontal="center"/>
    </xf>
    <xf xfId="0" borderId="0" fillId="0" fontId="7" numFmtId="167" applyAlignment="1" applyFont="1">
      <alignment horizontal="right"/>
    </xf>
    <xf xfId="0" borderId="0" fillId="0" fontId="7" numFmtId="168" applyFont="1"/>
    <xf xfId="0" borderId="0" fillId="0" fontId="8" numFmtId="168" applyAlignment="1" applyFont="1">
      <alignment horizontal="right"/>
    </xf>
    <xf xfId="0" borderId="0" fillId="0" fontId="7" numFmtId="175" applyAlignment="1" applyFont="1">
      <alignment horizontal="right"/>
    </xf>
    <xf xfId="0" borderId="0" fillId="0" fontId="8" numFmtId="175" applyAlignment="1" applyFont="1">
      <alignment horizontal="right"/>
    </xf>
    <xf xfId="0" borderId="0" fillId="0" fontId="7" numFmtId="166" applyAlignment="1" applyFont="1">
      <alignment horizontal="right"/>
    </xf>
    <xf xfId="0" borderId="0" fillId="9" fontId="6" numFmtId="179" applyFont="1" applyFill="1"/>
    <xf xfId="0" borderId="0" fillId="0" fontId="7" numFmtId="169" applyAlignment="1" applyFont="1">
      <alignment horizontal="right"/>
    </xf>
    <xf xfId="0" borderId="0" fillId="0" fontId="6" numFmtId="169" applyAlignment="1" applyFont="1">
      <alignment horizontal="right"/>
    </xf>
    <xf xfId="0" borderId="0" fillId="0" fontId="6" numFmtId="168" applyAlignment="1" applyFont="1">
      <alignment horizontal="right"/>
    </xf>
    <xf xfId="0" borderId="0" fillId="0" fontId="6" numFmtId="167" applyAlignment="1" applyFont="1">
      <alignment horizontal="right"/>
    </xf>
    <xf xfId="0" borderId="0" fillId="0" fontId="6" numFmtId="166" applyAlignment="1" applyFont="1">
      <alignment horizontal="right"/>
    </xf>
    <xf xfId="0" borderId="0" fillId="0" fontId="7" numFmtId="172" applyAlignment="1" applyFont="1">
      <alignment horizontal="right"/>
    </xf>
    <xf xfId="0" borderId="0" fillId="0" fontId="6" numFmtId="172" applyAlignment="1" applyFont="1">
      <alignment horizontal="right"/>
    </xf>
    <xf xfId="0" borderId="0" fillId="0" fontId="0" numFmtId="172" applyAlignment="1">
      <alignment horizontal="right"/>
    </xf>
    <xf xfId="0" borderId="0" fillId="0" fontId="16" numFmtId="0" applyFont="1"/>
    <xf xfId="0" borderId="0" fillId="0" fontId="8" numFmtId="0" applyFont="1"/>
    <xf xfId="0" borderId="8" fillId="0" fontId="4" numFmtId="0" applyFont="1"/>
    <xf xfId="0" borderId="9" fillId="0" fontId="4" numFmtId="0" applyFont="1"/>
    <xf xfId="0" borderId="0" fillId="0" fontId="7" numFmtId="171" applyAlignment="1" applyFont="1">
      <alignment horizontal="right"/>
    </xf>
    <xf xfId="0" borderId="0" fillId="0" fontId="7" numFmtId="180" applyAlignment="1" applyFont="1">
      <alignment horizontal="right"/>
    </xf>
    <xf xfId="0" borderId="1" fillId="0" fontId="19" numFmtId="0" applyAlignment="1" applyFont="1">
      <alignment horizontal="center"/>
    </xf>
    <xf xfId="0" borderId="0" fillId="4" fontId="2" numFmtId="0" applyAlignment="1" applyFont="1" applyFill="1">
      <alignment wrapText="1" horizontal="left" vertical="bottom"/>
    </xf>
    <xf xfId="0" borderId="0" fillId="4" fontId="2" numFmtId="0" applyAlignment="1" applyFont="1" applyFill="1">
      <alignment wrapText="1" horizontal="right" vertical="bottom"/>
    </xf>
    <xf xfId="0" borderId="0" fillId="10" fontId="14" numFmtId="0" applyAlignment="1" applyFont="1" applyFill="1">
      <alignment horizontal="right"/>
    </xf>
    <xf xfId="0" borderId="8" fillId="0" fontId="4" numFmtId="0" applyAlignment="1" applyFont="1">
      <alignment horizontal="right"/>
    </xf>
    <xf xfId="0" borderId="8" fillId="0" fontId="4" numFmtId="166" applyAlignment="1" applyFont="1">
      <alignment horizontal="right"/>
    </xf>
    <xf xfId="0" borderId="8" fillId="0" fontId="4" numFmtId="172" applyAlignment="1" applyFont="1">
      <alignment horizontal="right"/>
    </xf>
    <xf xfId="0" borderId="0" fillId="0" fontId="4" numFmtId="172" applyAlignment="1" applyFont="1">
      <alignment horizontal="right"/>
    </xf>
    <xf xfId="0" borderId="0" fillId="10" fontId="14" numFmtId="0" applyAlignment="1" applyFont="1" applyFill="1">
      <alignment horizontal="left"/>
    </xf>
    <xf xfId="0" borderId="8" fillId="0" fontId="4" numFmtId="0" applyAlignment="1" applyFont="1">
      <alignment horizontal="left"/>
    </xf>
    <xf xfId="0" borderId="0" fillId="4" fontId="2" numFmtId="172" applyAlignment="1" applyFont="1" applyFill="1">
      <alignment horizontal="right"/>
    </xf>
  </cellXfs>
  <cellStyles count="1">
    <cellStyle xfId="0" name="normal" builtinId="0"/>
  </cellStyles>
  <dxfs count="1">
    <dxf>
      <font>
        <color rgb="FFFFFFFF"/>
      </font>
      <fill>
        <patternFill>
          <bgColor rgb="FFFF0000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charts/_rels/chart1.xml.rels><?xml version="1.0" encoding="UTF-8" standalone="yes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2.xml.rels><?xml version="1.0" encoding="UTF-8" standalone="yes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_rels/chart3.xml.rels><?xml version="1.0" encoding="UTF-8" standalone="yes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</Relationships>
</file>

<file path=xl/charts/_rels/chart4.xml.rels><?xml version="1.0" encoding="UTF-8" standalone="yes"?>
<Relationships xmlns="http://schemas.openxmlformats.org/package/2006/relationships"><Relationship Id="rId1" Type="http://schemas.microsoft.com/office/2011/relationships/chartStyle" Target="style4.xml"/><Relationship Id="rId2" Type="http://schemas.microsoft.com/office/2011/relationships/chartColorStyle" Target="colors4.xml"/></Relationships>
</file>

<file path=xl/charts/_rels/chart5.xml.rels><?xml version="1.0" encoding="UTF-8" standalone="yes"?>
<Relationships xmlns="http://schemas.openxmlformats.org/package/2006/relationships"><Relationship Id="rId1" Type="http://schemas.microsoft.com/office/2011/relationships/chartStyle" Target="style5.xml"/><Relationship Id="rId2" Type="http://schemas.microsoft.com/office/2011/relationships/chartColorStyle" Target="colors5.xml"/></Relationships>
</file>

<file path=xl/charts/_rels/chart6.xml.rels><?xml version="1.0" encoding="UTF-8" standalone="yes"?>
<Relationships xmlns="http://schemas.openxmlformats.org/package/2006/relationships"><Relationship Id="rId1" Type="http://schemas.microsoft.com/office/2011/relationships/chartStyle" Target="style6.xml"/><Relationship Id="rId2" Type="http://schemas.microsoft.com/office/2011/relationships/chartColorStyle" Target="colors6.xml"/></Relationships>
</file>

<file path=xl/charts/_rels/chart7.xml.rels><?xml version="1.0" encoding="UTF-8" standalone="yes"?>
<Relationships xmlns="http://schemas.openxmlformats.org/package/2006/relationships"><Relationship Id="rId1" Type="http://schemas.microsoft.com/office/2011/relationships/chartStyle" Target="style7.xml"/><Relationship Id="rId2" Type="http://schemas.microsoft.com/office/2011/relationships/chartColorStyle" Target="colors7.xml"/></Relationships>
</file>

<file path=xl/charts/_rels/chart8.xml.rels><?xml version="1.0" encoding="UTF-8" standalone="yes"?>
<Relationships xmlns="http://schemas.openxmlformats.org/package/2006/relationships"><Relationship Id="rId1" Type="http://schemas.microsoft.com/office/2011/relationships/chartStyle" Target="style8.xml"/><Relationship Id="rId2" Type="http://schemas.microsoft.com/office/2011/relationships/chartColorStyle" Target="colors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200" b="1"/>
            </a:pPr>
            <a:r>
              <a:rPr lang="en-US"/>
              <a:t>Revenue ($bn) and Adj. EBIT margin (%)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Revenue ($bn)</c:v>
          </c:tx>
          <c:spPr>
            <a:solidFill>
              <a:srgbClr val="4472C4"/>
            </a:solidFill>
            <a:ln>
              <a:noFill/>
            </a:ln>
          </c:spPr>
          <c:invertIfNegative val="0"/>
          <c:dLbls>
            <c:numFmt formatCode="0.0"/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Deck!$C$5:$J$5</c:f>
              <c:strCache>
                <c:ptCount val="8"/>
                <c:pt idx="0">
                  <c:v>FY24A</c:v>
                </c:pt>
                <c:pt idx="1">
                  <c:v>FY25A</c:v>
                </c:pt>
                <c:pt idx="2">
                  <c:v>FY26A</c:v>
                </c:pt>
                <c:pt idx="3">
                  <c:v>FY27E</c:v>
                </c:pt>
                <c:pt idx="4">
                  <c:v>FY28E</c:v>
                </c:pt>
                <c:pt idx="5">
                  <c:v>FY29E</c:v>
                </c:pt>
                <c:pt idx="6">
                  <c:v>FY30E</c:v>
                </c:pt>
                <c:pt idx="7">
                  <c:v>FY31E</c:v>
                </c:pt>
              </c:strCache>
            </c:strRef>
          </c:cat>
          <c:val>
            <c:numRef>
              <c:f>Deck!$C$6:$J$6</c:f>
              <c:numCache>
                <c:formatCode>#,##0.0_);\(#,##0.0\);\-_)</c:formatCode>
                <c:ptCount val="8"/>
                <c:pt idx="0">
                  <c:v>51.362</c:v>
                </c:pt>
                <c:pt idx="1">
                  <c:v>46.309</c:v>
                </c:pt>
                <c:pt idx="2">
                  <c:v>46.398</c:v>
                </c:pt>
                <c:pt idx="3">
                  <c:v>42.78749</c:v>
                </c:pt>
                <c:pt idx="4">
                  <c:v>43.8542085</c:v>
                </c:pt>
                <c:pt idx="5">
                  <c:v>45.922313675000005</c:v>
                </c:pt>
                <c:pt idx="6">
                  <c:v>48.25622502105</c:v>
                </c:pt>
                <c:pt idx="7">
                  <c:v>50.7181347681405</c:v>
                </c:pt>
              </c:numCache>
            </c:numRef>
          </c:val>
        </c:ser>
        <c:gapWidth val="50"/>
        <c:axId val="111111111"/>
        <c:axId val="222222222"/>
      </c:barChart>
      <c:lineChart>
        <c:grouping val="standard"/>
        <c:varyColors val="0"/>
        <c:ser>
          <c:idx val="1"/>
          <c:order val="1"/>
          <c:tx>
            <c:v>Adj. EBIT margin (%)</c:v>
          </c:tx>
          <c:spPr>
            <a:ln>
              <a:solidFill>
                <a:srgbClr val="ED7D31"/>
              </a:solidFill>
            </a:ln>
          </c:spPr>
          <c:marker>
            <c:symbol val="circle"/>
            <c:size val="5"/>
            <c:spPr>
              <a:solidFill>
                <a:srgbClr val="ED7D31"/>
              </a:solidFill>
              <a:ln>
                <a:solidFill>
                  <a:srgbClr val="ED7D31"/>
                </a:solidFill>
              </a:ln>
            </c:spPr>
          </c:marker>
          <c:dLbls>
            <c:numFmt formatCode="0.0%"/>
            <c:txPr>
              <a:bodyPr/>
              <a:lstStyle/>
              <a:p>
                <a:pPr>
                  <a:defRPr sz="900"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Deck!$C$5:$J$5</c:f>
              <c:strCache>
                <c:ptCount val="8"/>
                <c:pt idx="0">
                  <c:v>FY24A</c:v>
                </c:pt>
                <c:pt idx="1">
                  <c:v>FY25A</c:v>
                </c:pt>
                <c:pt idx="2">
                  <c:v>FY26A</c:v>
                </c:pt>
                <c:pt idx="3">
                  <c:v>FY27E</c:v>
                </c:pt>
                <c:pt idx="4">
                  <c:v>FY28E</c:v>
                </c:pt>
                <c:pt idx="5">
                  <c:v>FY29E</c:v>
                </c:pt>
                <c:pt idx="6">
                  <c:v>FY30E</c:v>
                </c:pt>
                <c:pt idx="7">
                  <c:v>FY31E</c:v>
                </c:pt>
              </c:strCache>
            </c:strRef>
          </c:cat>
          <c:val>
            <c:numRef>
              <c:f>Deck!$C$7:$J$7</c:f>
              <c:numCache>
                <c:formatCode>0.0%_);\(0.0%\);\-_)</c:formatCode>
                <c:ptCount val="8"/>
                <c:pt idx="0">
                  <c:v>0.1359370741014758</c:v>
                </c:pt>
                <c:pt idx="1">
                  <c:v>0.08158241378565721</c:v>
                </c:pt>
                <c:pt idx="2">
                  <c:v>0.09127548601232811</c:v>
                </c:pt>
                <c:pt idx="3">
                  <c:v>0.058065488300435494</c:v>
                </c:pt>
                <c:pt idx="4">
                  <c:v>0.07502925907327687</c:v>
                </c:pt>
                <c:pt idx="5">
                  <c:v>0.08913576553805903</c:v>
                </c:pt>
                <c:pt idx="6">
                  <c:v>0.10033300674118192</c:v>
                </c:pt>
                <c:pt idx="7">
                  <c:v>0.11014917877782396</c:v>
                </c:pt>
              </c:numCache>
            </c:numRef>
          </c:val>
          <c:smooth val="0"/>
        </c:ser>
        <c:axId val="555555555"/>
        <c:axId val="333333333"/>
      </c:lineChart>
      <c:catAx>
        <c:axId val="111111111"/>
        <c:scaling>
          <c:orientation val="minMax"/>
        </c:scaling>
        <c:delete val="0"/>
        <c:axPos val="b"/>
        <c:majorTickMark val="none"/>
        <c:minorTickMark val="none"/>
        <c:crossAx val="222222222"/>
        <c:crosses val="autoZero"/>
      </c:catAx>
      <c:valAx>
        <c:axId val="222222222"/>
        <c:scaling>
          <c:orientation val="minMax"/>
          <c:max val="120"/>
          <c:min val="0"/>
        </c:scaling>
        <c:delete val="1"/>
        <c:axPos val="l"/>
        <c:crossAx val="111111111"/>
        <c:crosses val="autoZero"/>
      </c:valAx>
      <c:valAx>
        <c:axId val="333333333"/>
        <c:scaling>
          <c:orientation val="minMax"/>
          <c:max val="0.16"/>
          <c:min val="0"/>
        </c:scaling>
        <c:delete val="0"/>
        <c:axPos val="r"/>
        <c:numFmt formatCode="0%" sourceLinked="0"/>
        <c:majorTickMark val="none"/>
        <c:minorTickMark val="none"/>
        <c:crossAx val="555555555"/>
        <c:crosses val="max"/>
      </c:valAx>
      <c:catAx>
        <c:axId val="555555555"/>
        <c:scaling>
          <c:orientation val="minMax"/>
        </c:scaling>
        <c:delete val="1"/>
        <c:axPos val="b"/>
        <c:crossAx val="333333333"/>
        <c:crosses val="autoZero"/>
      </c:catAx>
    </c:plotArea>
    <c:legend>
      <c:legendPos val="b"/>
      <c:overlay val="0"/>
    </c:legend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200" b="1"/>
            </a:pPr>
            <a:r>
              <a:rPr lang="en-US"/>
              <a:t>Adj. diluted EPS ($)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Adj. EPS ($)</c:v>
          </c:tx>
          <c:spPr>
            <a:solidFill>
              <a:srgbClr val="4472C4"/>
            </a:solidFill>
            <a:ln>
              <a:noFill/>
            </a:ln>
          </c:spPr>
          <c:invertIfNegative val="0"/>
          <c:dLbls>
            <c:numFmt formatCode="&quot;$&quot;0.00"/>
            <c:txPr>
              <a:bodyPr/>
              <a:lstStyle/>
              <a:p>
                <a:pPr>
                  <a:defRPr sz="900">
                    <a:solidFill>
                      <a:srgbClr val="1A1A1A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Deck!$C$5:$J$5</c:f>
              <c:strCache>
                <c:ptCount val="8"/>
                <c:pt idx="0">
                  <c:v>FY24A</c:v>
                </c:pt>
                <c:pt idx="1">
                  <c:v>FY25A</c:v>
                </c:pt>
                <c:pt idx="2">
                  <c:v>FY26A</c:v>
                </c:pt>
                <c:pt idx="3">
                  <c:v>FY27E</c:v>
                </c:pt>
                <c:pt idx="4">
                  <c:v>FY28E</c:v>
                </c:pt>
                <c:pt idx="5">
                  <c:v>FY29E</c:v>
                </c:pt>
                <c:pt idx="6">
                  <c:v>FY30E</c:v>
                </c:pt>
                <c:pt idx="7">
                  <c:v>FY31E</c:v>
                </c:pt>
              </c:strCache>
            </c:strRef>
          </c:cat>
          <c:val>
            <c:numRef>
              <c:f>Deck!$C$8:$J$8</c:f>
              <c:numCache>
                <c:formatCode>"$"#,##0.00_);\("$"#,##0.00\);\-_)</c:formatCode>
                <c:ptCount val="8"/>
                <c:pt idx="0">
                  <c:v>3.9725963241255964</c:v>
                </c:pt>
                <c:pt idx="1">
                  <c:v>2.163888141973649</c:v>
                </c:pt>
                <c:pt idx="2">
                  <c:v>2.3057497532852023</c:v>
                </c:pt>
                <c:pt idx="3">
                  <c:v>1.278680144586416</c:v>
                </c:pt>
                <c:pt idx="4">
                  <c:v>1.7185706114869015</c:v>
                </c:pt>
                <c:pt idx="5">
                  <c:v>2.1887753579266653</c:v>
                </c:pt>
                <c:pt idx="6">
                  <c:v>2.635845985709776</c:v>
                </c:pt>
                <c:pt idx="7">
                  <c:v>3.109575537529723</c:v>
                </c:pt>
              </c:numCache>
            </c:numRef>
          </c:val>
        </c:ser>
        <c:gapWidth val="50"/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majorTickMark val="none"/>
        <c:minorTickMark val="none"/>
        <c:crossAx val="222222222"/>
        <c:crosses val="autoZero"/>
      </c:catAx>
      <c:valAx>
        <c:axId val="222222222"/>
        <c:scaling>
          <c:orientation val="minMax"/>
        </c:scaling>
        <c:delete val="1"/>
        <c:axPos val="l"/>
        <c:crossAx val="111111111"/>
        <c:crosses val="autoZero"/>
      </c:valAx>
    </c:plotArea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200" b="1"/>
            </a:pPr>
            <a:r>
              <a:rPr lang="en-US"/>
              <a:t>Free cash flow vs. shareholder returns ($bn)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Free cash flow</c:v>
          </c:tx>
          <c:spPr>
            <a:solidFill>
              <a:srgbClr val="4472C4"/>
            </a:solidFill>
            <a:ln>
              <a:noFill/>
            </a:ln>
          </c:spPr>
          <c:invertIfNegative val="0"/>
          <c:dLbls>
            <c:numFmt formatCode="0.0"/>
            <c:txPr>
              <a:bodyPr/>
              <a:lstStyle/>
              <a:p>
                <a:pPr>
                  <a:defRPr sz="900">
                    <a:solidFill>
                      <a:srgbClr val="1A1A1A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Deck!$F$5:$J$5</c:f>
              <c:strCache>
                <c:ptCount val="5"/>
                <c:pt idx="0">
                  <c:v>FY27E</c:v>
                </c:pt>
                <c:pt idx="1">
                  <c:v>FY28E</c:v>
                </c:pt>
                <c:pt idx="2">
                  <c:v>FY29E</c:v>
                </c:pt>
                <c:pt idx="3">
                  <c:v>FY30E</c:v>
                </c:pt>
                <c:pt idx="4">
                  <c:v>FY31E</c:v>
                </c:pt>
              </c:strCache>
            </c:strRef>
          </c:cat>
          <c:val>
            <c:numRef>
              <c:f>Deck!$F$9:$J$9</c:f>
              <c:numCache>
                <c:formatCode>#,##0.0_);\(#,##0.0\);\-_)</c:formatCode>
                <c:ptCount val="5"/>
                <c:pt idx="0">
                  <c:v>3.1436616865</c:v>
                </c:pt>
                <c:pt idx="1">
                  <c:v>3.27097218927815</c:v>
                </c:pt>
                <c:pt idx="2">
                  <c:v>3.873776266729212</c:v>
                </c:pt>
                <c:pt idx="3">
                  <c:v>4.121869240231183</c:v>
                </c:pt>
                <c:pt idx="4">
                  <c:v>4.7187577320053355</c:v>
                </c:pt>
              </c:numCache>
            </c:numRef>
          </c:val>
        </c:ser>
        <c:ser>
          <c:idx val="1"/>
          <c:order val="1"/>
          <c:tx>
            <c:v>Dividends</c:v>
          </c:tx>
          <c:spPr>
            <a:solidFill>
              <a:srgbClr val="7F7F7F"/>
            </a:solidFill>
            <a:ln>
              <a:noFill/>
            </a:ln>
          </c:spPr>
          <c:invertIfNegative val="0"/>
          <c:dLbls>
            <c:numFmt formatCode="0.0"/>
            <c:txPr>
              <a:bodyPr/>
              <a:lstStyle/>
              <a:p>
                <a:pPr>
                  <a:defRPr sz="900">
                    <a:solidFill>
                      <a:srgbClr val="1A1A1A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Deck!$F$5:$J$5</c:f>
              <c:strCache>
                <c:ptCount val="5"/>
                <c:pt idx="0">
                  <c:v>FY27E</c:v>
                </c:pt>
                <c:pt idx="1">
                  <c:v>FY28E</c:v>
                </c:pt>
                <c:pt idx="2">
                  <c:v>FY29E</c:v>
                </c:pt>
                <c:pt idx="3">
                  <c:v>FY30E</c:v>
                </c:pt>
                <c:pt idx="4">
                  <c:v>FY31E</c:v>
                </c:pt>
              </c:strCache>
            </c:strRef>
          </c:cat>
          <c:val>
            <c:numRef>
              <c:f>Deck!$F$10:$J$10</c:f>
              <c:numCache>
                <c:formatCode>#,##0.0_);\(#,##0.0\);\-_)</c:formatCode>
                <c:ptCount val="5"/>
                <c:pt idx="0">
                  <c:v>2.48162</c:v>
                </c:pt>
                <c:pt idx="1">
                  <c:v>2.5406325</c:v>
                </c:pt>
                <c:pt idx="2">
                  <c:v>2.5704583333333333</c:v>
                </c:pt>
                <c:pt idx="3">
                  <c:v>2.5743183333333337</c:v>
                </c:pt>
                <c:pt idx="4">
                  <c:v>2.564634090909091</c:v>
                </c:pt>
              </c:numCache>
            </c:numRef>
          </c:val>
        </c:ser>
        <c:ser>
          <c:idx val="2"/>
          <c:order val="2"/>
          <c:tx>
            <c:v>Share repurchases</c:v>
          </c:tx>
          <c:spPr>
            <a:solidFill>
              <a:srgbClr val="ED7D31"/>
            </a:solidFill>
            <a:ln>
              <a:noFill/>
            </a:ln>
          </c:spPr>
          <c:invertIfNegative val="0"/>
          <c:dLbls>
            <c:numFmt formatCode="0.0"/>
            <c:txPr>
              <a:bodyPr/>
              <a:lstStyle/>
              <a:p>
                <a:pPr>
                  <a:defRPr sz="900">
                    <a:solidFill>
                      <a:srgbClr val="1A1A1A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Deck!$F$5:$J$5</c:f>
              <c:strCache>
                <c:ptCount val="5"/>
                <c:pt idx="0">
                  <c:v>FY27E</c:v>
                </c:pt>
                <c:pt idx="1">
                  <c:v>FY28E</c:v>
                </c:pt>
                <c:pt idx="2">
                  <c:v>FY29E</c:v>
                </c:pt>
                <c:pt idx="3">
                  <c:v>FY30E</c:v>
                </c:pt>
                <c:pt idx="4">
                  <c:v>FY31E</c:v>
                </c:pt>
              </c:strCache>
            </c:strRef>
          </c:cat>
          <c:val>
            <c:numRef>
              <c:f>Deck!$F$11:$J$11</c:f>
              <c:numCache>
                <c:formatCode>#,##0.0_);\(#,##0.0\);\-_)</c:formatCode>
                <c:ptCount val="5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</c:numCache>
            </c:numRef>
          </c:val>
        </c:ser>
        <c:gapWidth val="50"/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majorTickMark val="none"/>
        <c:minorTickMark val="none"/>
        <c:crossAx val="222222222"/>
        <c:crosses val="autoZero"/>
      </c:catAx>
      <c:valAx>
        <c:axId val="222222222"/>
        <c:scaling>
          <c:orientation val="minMax"/>
        </c:scaling>
        <c:delete val="1"/>
        <c:axPos val="l"/>
        <c:crossAx val="111111111"/>
        <c:crosses val="autoZero"/>
      </c:valAx>
    </c:plotArea>
    <c:legend>
      <c:legendPos val="b"/>
      <c:overlay val="0"/>
    </c:legend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200" b="1"/>
            </a:pPr>
            <a:r>
              <a:rPr lang="en-US"/>
              <a:t>Segment EBIT margin (%)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FY24A</c:v>
          </c:tx>
          <c:spPr>
            <a:solidFill>
              <a:srgbClr val="7F7F7F"/>
            </a:solidFill>
            <a:ln>
              <a:noFill/>
            </a:ln>
          </c:spPr>
          <c:invertIfNegative val="0"/>
          <c:dLbls>
            <c:numFmt formatCode="0%"/>
            <c:txPr>
              <a:bodyPr/>
              <a:lstStyle/>
              <a:p>
                <a:pPr>
                  <a:defRPr sz="900">
                    <a:solidFill>
                      <a:srgbClr val="1A1A1A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Deck!$B$14:$B$17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Greater China</c:v>
                </c:pt>
                <c:pt idx="3">
                  <c:v>APLA</c:v>
                </c:pt>
              </c:strCache>
            </c:strRef>
          </c:cat>
          <c:val>
            <c:numRef>
              <c:f>Deck!$C$14:$C$17</c:f>
              <c:numCache>
                <c:formatCode>0.0%_);\(0.0%\);\-_)</c:formatCode>
                <c:ptCount val="4"/>
                <c:pt idx="0">
                  <c:v>0.27210693587586465</c:v>
                </c:pt>
                <c:pt idx="1">
                  <c:v>0.24898949070331447</c:v>
                </c:pt>
                <c:pt idx="2">
                  <c:v>0.30603048376408215</c:v>
                </c:pt>
                <c:pt idx="3">
                  <c:v>0.28013077723287266</c:v>
                </c:pt>
              </c:numCache>
            </c:numRef>
          </c:val>
        </c:ser>
        <c:ser>
          <c:idx val="1"/>
          <c:order val="1"/>
          <c:tx>
            <c:v>FY26A</c:v>
          </c:tx>
          <c:spPr>
            <a:solidFill>
              <a:srgbClr val="264478"/>
            </a:solidFill>
            <a:ln>
              <a:noFill/>
            </a:ln>
          </c:spPr>
          <c:invertIfNegative val="0"/>
          <c:dLbls>
            <c:numFmt formatCode="0%"/>
            <c:txPr>
              <a:bodyPr/>
              <a:lstStyle/>
              <a:p>
                <a:pPr>
                  <a:defRPr sz="900">
                    <a:solidFill>
                      <a:srgbClr val="1A1A1A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Deck!$B$14:$B$17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Greater China</c:v>
                </c:pt>
                <c:pt idx="3">
                  <c:v>APLA</c:v>
                </c:pt>
              </c:strCache>
            </c:strRef>
          </c:cat>
          <c:val>
            <c:numRef>
              <c:f>Deck!$D$14:$D$17</c:f>
              <c:numCache>
                <c:formatCode>0.0%_);\(0.0%\);\-_)</c:formatCode>
                <c:ptCount val="4"/>
                <c:pt idx="0">
                  <c:v>0.26210326166447273</c:v>
                </c:pt>
                <c:pt idx="1">
                  <c:v>0.19225262488068723</c:v>
                </c:pt>
                <c:pt idx="2">
                  <c:v>0.2185736275012827</c:v>
                </c:pt>
                <c:pt idx="3">
                  <c:v>0.2221688290885792</c:v>
                </c:pt>
              </c:numCache>
            </c:numRef>
          </c:val>
        </c:ser>
        <c:ser>
          <c:idx val="2"/>
          <c:order val="2"/>
          <c:tx>
            <c:v>FY31E</c:v>
          </c:tx>
          <c:spPr>
            <a:solidFill>
              <a:srgbClr val="4472C4"/>
            </a:solidFill>
            <a:ln>
              <a:noFill/>
            </a:ln>
          </c:spPr>
          <c:invertIfNegative val="0"/>
          <c:dLbls>
            <c:numFmt formatCode="0%"/>
            <c:txPr>
              <a:bodyPr/>
              <a:lstStyle/>
              <a:p>
                <a:pPr>
                  <a:defRPr sz="900">
                    <a:solidFill>
                      <a:srgbClr val="1A1A1A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Deck!$B$14:$B$17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Greater China</c:v>
                </c:pt>
                <c:pt idx="3">
                  <c:v>APLA</c:v>
                </c:pt>
              </c:strCache>
            </c:strRef>
          </c:cat>
          <c:val>
            <c:numRef>
              <c:f>Deck!$E$14:$E$17</c:f>
              <c:numCache>
                <c:formatCode>0.0%_);\(0.0%\);\-_)</c:formatCode>
                <c:ptCount val="4"/>
                <c:pt idx="0">
                  <c:v>0.27</c:v>
                </c:pt>
                <c:pt idx="1">
                  <c:v>0.2</c:v>
                </c:pt>
                <c:pt idx="2">
                  <c:v>0.19</c:v>
                </c:pt>
                <c:pt idx="3">
                  <c:v>0.225</c:v>
                </c:pt>
              </c:numCache>
            </c:numRef>
          </c:val>
        </c:ser>
        <c:gapWidth val="50"/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majorTickMark val="none"/>
        <c:minorTickMark val="none"/>
        <c:crossAx val="222222222"/>
        <c:crosses val="autoZero"/>
      </c:catAx>
      <c:valAx>
        <c:axId val="222222222"/>
        <c:scaling>
          <c:orientation val="minMax"/>
        </c:scaling>
        <c:delete val="1"/>
        <c:axPos val="l"/>
        <c:crossAx val="111111111"/>
        <c:crosses val="autoZero"/>
      </c:valAx>
    </c:plotArea>
    <c:legend>
      <c:legendPos val="b"/>
      <c:overlay val="0"/>
    </c:legend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200" b="1"/>
            </a:pPr>
            <a:r>
              <a:rPr lang="en-US"/>
              <a:t>IRR by case, entry $34.36 to May-29 (%)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IRR (%)</c:v>
          </c:tx>
          <c:spPr>
            <a:solidFill>
              <a:srgbClr val="4472C4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7F7F7F"/>
              </a:solidFill>
            </c:spPr>
          </c:dPt>
          <c:dLbls>
            <c:numFmt formatCode="0.0%;(0.0%)"/>
            <c:txPr>
              <a:bodyPr/>
              <a:lstStyle/>
              <a:p>
                <a:pPr>
                  <a:defRPr sz="900">
                    <a:solidFill>
                      <a:srgbClr val="1A1A1A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Deck!$C$19:$F$19</c:f>
              <c:strCache>
                <c:ptCount val="4"/>
                <c:pt idx="0">
                  <c:v>Downside</c:v>
                </c:pt>
                <c:pt idx="1">
                  <c:v>Base</c:v>
                </c:pt>
                <c:pt idx="2">
                  <c:v>Upside</c:v>
                </c:pt>
                <c:pt idx="3">
                  <c:v>Weighted</c:v>
                </c:pt>
              </c:strCache>
            </c:strRef>
          </c:cat>
          <c:val>
            <c:numRef>
              <c:f>Deck!$C$20:$F$20</c:f>
              <c:numCache>
                <c:formatCode>0.0%_);\(0.0%\);\-_)</c:formatCode>
                <c:ptCount val="4"/>
                <c:pt idx="0">
                  <c:v>-0.10150469578802584</c:v>
                </c:pt>
                <c:pt idx="1">
                  <c:v>0.22187650799751282</c:v>
                </c:pt>
                <c:pt idx="2">
                  <c:v>0.47372604012489306</c:v>
                </c:pt>
                <c:pt idx="3">
                  <c:v>0.23235265612602235</c:v>
                </c:pt>
              </c:numCache>
            </c:numRef>
          </c:val>
        </c:ser>
        <c:gapWidth val="50"/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majorTickMark val="none"/>
        <c:minorTickMark val="none"/>
        <c:tickLblPos val="low"/>
        <c:crossAx val="222222222"/>
        <c:crosses val="autoZero"/>
      </c:catAx>
      <c:valAx>
        <c:axId val="222222222"/>
        <c:scaling>
          <c:orientation val="minMax"/>
        </c:scaling>
        <c:delete val="1"/>
        <c:axPos val="l"/>
        <c:crossAx val="111111111"/>
        <c:crosses val="autoZero"/>
      </c:valAx>
    </c:plotArea>
    <c:dispBlanksAs val="gap"/>
  </c:chart>
  <c:spPr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200" b="1"/>
            </a:pPr>
            <a:r>
              <a:rPr lang="en-US"/>
              <a:t>LTM EV / EBITDA (x)</a:t>
            </a:r>
          </a:p>
        </c:rich>
      </c:tx>
      <c:overlay val="0"/>
    </c:title>
    <c:plotArea>
      <c:barChart>
        <c:barDir val="bar"/>
        <c:grouping val="clustered"/>
        <c:varyColors val="0"/>
        <c:ser>
          <c:idx val="0"/>
          <c:order val="0"/>
          <c:tx>
            <c:v>LTM EV / EBITDA</c:v>
          </c:tx>
          <c:spPr>
            <a:solidFill>
              <a:srgbClr val="7F7F7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7F7F7F"/>
              </a:solidFill>
            </c:spPr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</c:dPt>
          <c:dPt>
            <c:idx val="2"/>
            <c:invertIfNegative val="0"/>
            <c:bubble3D val="0"/>
            <c:spPr>
              <a:solidFill>
                <a:srgbClr val="4472C4"/>
              </a:solidFill>
            </c:spPr>
          </c:dPt>
          <c:dPt>
            <c:idx val="3"/>
            <c:invertIfNegative val="0"/>
            <c:bubble3D val="0"/>
            <c:spPr>
              <a:solidFill>
                <a:srgbClr val="7F7F7F"/>
              </a:solidFill>
            </c:spPr>
          </c:dPt>
          <c:dPt>
            <c:idx val="4"/>
            <c:invertIfNegative val="0"/>
            <c:bubble3D val="0"/>
            <c:spPr>
              <a:solidFill>
                <a:srgbClr val="7F7F7F"/>
              </a:solidFill>
            </c:spPr>
          </c:dPt>
          <c:dPt>
            <c:idx val="5"/>
            <c:invertIfNegative val="0"/>
            <c:bubble3D val="0"/>
            <c:spPr>
              <a:solidFill>
                <a:srgbClr val="7F7F7F"/>
              </a:solidFill>
            </c:spPr>
          </c:dPt>
          <c:dPt>
            <c:idx val="6"/>
            <c:invertIfNegative val="0"/>
            <c:bubble3D val="0"/>
            <c:spPr>
              <a:solidFill>
                <a:srgbClr val="7F7F7F"/>
              </a:solidFill>
            </c:spPr>
          </c:dPt>
          <c:dPt>
            <c:idx val="7"/>
            <c:invertIfNegative val="0"/>
            <c:bubble3D val="0"/>
            <c:spPr>
              <a:solidFill>
                <a:srgbClr val="7F7F7F"/>
              </a:solidFill>
            </c:spPr>
          </c:dPt>
          <c:dPt>
            <c:idx val="8"/>
            <c:invertIfNegative val="0"/>
            <c:bubble3D val="0"/>
            <c:spPr>
              <a:solidFill>
                <a:srgbClr val="7F7F7F"/>
              </a:solidFill>
            </c:spPr>
          </c:dPt>
          <c:dPt>
            <c:idx val="9"/>
            <c:invertIfNegative val="0"/>
            <c:bubble3D val="0"/>
            <c:spPr>
              <a:solidFill>
                <a:srgbClr val="7F7F7F"/>
              </a:solidFill>
            </c:spPr>
          </c:dPt>
          <c:dLbls>
            <c:numFmt formatCode="0.0&quot;x&quot;"/>
            <c:txPr>
              <a:bodyPr/>
              <a:lstStyle/>
              <a:p>
                <a:pPr>
                  <a:defRPr sz="900">
                    <a:solidFill>
                      <a:srgbClr val="1A1A1A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Deck!$B$99:$B$108</c:f>
              <c:strCache>
                <c:ptCount val="10"/>
                <c:pt idx="0">
                  <c:v>On Holding</c:v>
                </c:pt>
                <c:pt idx="1">
                  <c:v>Amer Sports</c:v>
                </c:pt>
                <c:pt idx="2">
                  <c:v>Nike</c:v>
                </c:pt>
                <c:pt idx="3">
                  <c:v>Birkenstock</c:v>
                </c:pt>
                <c:pt idx="4">
                  <c:v>adidas</c:v>
                </c:pt>
                <c:pt idx="5">
                  <c:v>Crocs</c:v>
                </c:pt>
                <c:pt idx="6">
                  <c:v>Columbia Sportswear</c:v>
                </c:pt>
                <c:pt idx="7">
                  <c:v>Deckers</c:v>
                </c:pt>
                <c:pt idx="8">
                  <c:v>VF Corp</c:v>
                </c:pt>
                <c:pt idx="9">
                  <c:v>Lululemon</c:v>
                </c:pt>
              </c:strCache>
            </c:strRef>
          </c:cat>
          <c:val>
            <c:numRef>
              <c:f>Deck!$C$99:$C$108</c:f>
              <c:numCache>
                <c:formatCode>0.0x_);\(0.0x\);\-_)</c:formatCode>
                <c:ptCount val="10"/>
                <c:pt idx="0">
                  <c:v>13.68165146489362</c:v>
                </c:pt>
                <c:pt idx="1">
                  <c:v>10.420574128427232</c:v>
                </c:pt>
                <c:pt idx="2">
                  <c:v>10.143258092309543</c:v>
                </c:pt>
                <c:pt idx="3">
                  <c:v>9.516840426505421</c:v>
                </c:pt>
                <c:pt idx="4">
                  <c:v>8.43610106542617</c:v>
                </c:pt>
                <c:pt idx="5">
                  <c:v>7.223403101615877</c:v>
                </c:pt>
                <c:pt idx="6">
                  <c:v>7.24088171591025</c:v>
                </c:pt>
                <c:pt idx="7">
                  <c:v>7.0436352693349376</c:v>
                </c:pt>
                <c:pt idx="8">
                  <c:v>6.629496683573936</c:v>
                </c:pt>
                <c:pt idx="9">
                  <c:v>3.300627382465057</c:v>
                </c:pt>
              </c:numCache>
            </c:numRef>
          </c:val>
        </c:ser>
        <c:gapWidth val="50"/>
        <c:axId val="111111111"/>
        <c:axId val="222222222"/>
      </c:barChart>
      <c:catAx>
        <c:axId val="111111111"/>
        <c:scaling>
          <c:orientation val="maxMin"/>
        </c:scaling>
        <c:delete val="0"/>
        <c:axPos val="b"/>
        <c:majorTickMark val="none"/>
        <c:minorTickMark val="none"/>
        <c:crossAx val="222222222"/>
        <c:crosses val="autoZero"/>
      </c:catAx>
      <c:valAx>
        <c:axId val="222222222"/>
        <c:scaling>
          <c:orientation val="minMax"/>
        </c:scaling>
        <c:delete val="1"/>
        <c:axPos val="l"/>
        <c:crossAx val="111111111"/>
        <c:crosses val="autoZero"/>
      </c:valAx>
    </c:plotArea>
    <c:dispBlanksAs val="gap"/>
  </c:chart>
  <c:spPr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200" b="1"/>
            </a:pPr>
            <a:r>
              <a:rPr lang="en-US"/>
              <a:t>LTM EV / EBITDA (x) vs. LTM EBITDA margin (%)</a:t>
            </a:r>
          </a:p>
        </c:rich>
      </c:tx>
      <c:overlay val="0"/>
    </c:title>
    <c:plotArea>
      <c:scatterChart>
        <c:scatterStyle val="lineMarker"/>
        <c:varyColors val="0"/>
        <c:ser>
          <c:idx val="0"/>
          <c:order val="0"/>
          <c:tx>
            <c:v>Peer fit</c:v>
          </c:tx>
          <c:spPr>
            <a:solidFill>
              <a:schemeClr val="accent1"/>
            </a:solidFill>
            <a:ln>
              <a:noFill/>
            </a:ln>
          </c:spPr>
          <c:marker>
            <c:symbol val="non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dLbls>
            <c:delete val="1"/>
          </c:dLbls>
          <c:xVal>
            <c:numRef>
              <c:f>Deck!$C$85:$C$94</c:f>
              <c:numCache>
                <c:formatCode>0.0%_);\(0.0%\);\-_)</c:formatCode>
                <c:ptCount val="10"/>
                <c:pt idx="0">
                  <c:v>0.1809713079120606</c:v>
                </c:pt>
                <c:pt idx="1">
                  <c:v>0.18786900679174232</c:v>
                </c:pt>
                <c:pt idx="2">
                  <c:v>0.2989264811466754</c:v>
                </c:pt>
                <c:pt idx="3">
                  <c:v>0.12795207557313468</c:v>
                </c:pt>
                <c:pt idx="4">
                  <c:v>0.22740388172334705</c:v>
                </c:pt>
                <c:pt idx="5">
                  <c:v>0.09198867752187538</c:v>
                </c:pt>
                <c:pt idx="6">
                  <c:v>0.2404790765835037</c:v>
                </c:pt>
                <c:pt idx="7">
                  <c:v>0.13469765290785063</c:v>
                </c:pt>
                <c:pt idx="8">
                  <c:v>0.22700558860645395</c:v>
                </c:pt>
                <c:pt idx="9">
                  <c:v>0.10869233618792355</c:v>
                </c:pt>
              </c:numCache>
            </c:numRef>
          </c:xVal>
          <c:yVal>
            <c:numRef>
              <c:f>Deck!$D$85:$D$94</c:f>
              <c:numCache>
                <c:formatCode>0.0x_);\(0.0x\);\-_)</c:formatCode>
                <c:ptCount val="10"/>
                <c:pt idx="0">
                  <c:v>13.68165146489362</c:v>
                </c:pt>
                <c:pt idx="1">
                  <c:v>10.420574128427232</c:v>
                </c:pt>
                <c:pt idx="2">
                  <c:v>9.516840426505421</c:v>
                </c:pt>
                <c:pt idx="3">
                  <c:v>8.43610106542617</c:v>
                </c:pt>
                <c:pt idx="4">
                  <c:v>7.223403101615877</c:v>
                </c:pt>
                <c:pt idx="5">
                  <c:v>7.24088171591025</c:v>
                </c:pt>
                <c:pt idx="6">
                  <c:v>7.0436352693349376</c:v>
                </c:pt>
                <c:pt idx="7">
                  <c:v>6.629496683573936</c:v>
                </c:pt>
                <c:pt idx="8">
                  <c:v>3.300627382465057</c:v>
                </c:pt>
                <c:pt idx="9">
                  <c:v>10.143258092309543</c:v>
                </c:pt>
              </c:numCache>
            </c:numRef>
          </c:yVal>
        </c:ser>
        <c:ser>
          <c:idx val="1"/>
          <c:order val="1"/>
          <c:tx>
            <c:v>ONON</c:v>
          </c:tx>
          <c:spPr>
            <a:solidFill>
              <a:schemeClr val="accent2"/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Deck!$C$85:$C$85</c:f>
              <c:numCache>
                <c:formatCode>0.0%_);\(0.0%\);\-_)</c:formatCode>
                <c:ptCount val="1"/>
                <c:pt idx="0">
                  <c:v>0.1809713079120606</c:v>
                </c:pt>
              </c:numCache>
            </c:numRef>
          </c:xVal>
          <c:yVal>
            <c:numRef>
              <c:f>Deck!$D$85:$D$85</c:f>
              <c:numCache>
                <c:formatCode>0.0x_);\(0.0x\);\-_)</c:formatCode>
                <c:ptCount val="1"/>
                <c:pt idx="0">
                  <c:v>13.68165146489362</c:v>
                </c:pt>
              </c:numCache>
            </c:numRef>
          </c:yVal>
        </c:ser>
        <c:ser>
          <c:idx val="2"/>
          <c:order val="2"/>
          <c:tx>
            <c:v>AS</c:v>
          </c:tx>
          <c:spPr>
            <a:solidFill>
              <a:schemeClr val="accent3"/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Deck!$C$86:$C$86</c:f>
              <c:numCache>
                <c:formatCode>0.0%_);\(0.0%\);\-_)</c:formatCode>
                <c:ptCount val="1"/>
                <c:pt idx="0">
                  <c:v>0.18786900679174232</c:v>
                </c:pt>
              </c:numCache>
            </c:numRef>
          </c:xVal>
          <c:yVal>
            <c:numRef>
              <c:f>Deck!$D$86:$D$86</c:f>
              <c:numCache>
                <c:formatCode>0.0x_);\(0.0x\);\-_)</c:formatCode>
                <c:ptCount val="1"/>
                <c:pt idx="0">
                  <c:v>10.420574128427232</c:v>
                </c:pt>
              </c:numCache>
            </c:numRef>
          </c:yVal>
        </c:ser>
        <c:ser>
          <c:idx val="3"/>
          <c:order val="3"/>
          <c:tx>
            <c:v>BIRK</c:v>
          </c:tx>
          <c:spPr>
            <a:solidFill>
              <a:schemeClr val="accent4"/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Deck!$C$87:$C$87</c:f>
              <c:numCache>
                <c:formatCode>0.0%_);\(0.0%\);\-_)</c:formatCode>
                <c:ptCount val="1"/>
                <c:pt idx="0">
                  <c:v>0.2989264811466754</c:v>
                </c:pt>
              </c:numCache>
            </c:numRef>
          </c:xVal>
          <c:yVal>
            <c:numRef>
              <c:f>Deck!$D$87:$D$87</c:f>
              <c:numCache>
                <c:formatCode>0.0x_);\(0.0x\);\-_)</c:formatCode>
                <c:ptCount val="1"/>
                <c:pt idx="0">
                  <c:v>9.516840426505421</c:v>
                </c:pt>
              </c:numCache>
            </c:numRef>
          </c:yVal>
        </c:ser>
        <c:ser>
          <c:idx val="4"/>
          <c:order val="4"/>
          <c:tx>
            <c:v>ADS</c:v>
          </c:tx>
          <c:spPr>
            <a:solidFill>
              <a:schemeClr val="accent5"/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Deck!$C$88:$C$88</c:f>
              <c:numCache>
                <c:formatCode>0.0%_);\(0.0%\);\-_)</c:formatCode>
                <c:ptCount val="1"/>
                <c:pt idx="0">
                  <c:v>0.12795207557313468</c:v>
                </c:pt>
              </c:numCache>
            </c:numRef>
          </c:xVal>
          <c:yVal>
            <c:numRef>
              <c:f>Deck!$D$88:$D$88</c:f>
              <c:numCache>
                <c:formatCode>0.0x_);\(0.0x\);\-_)</c:formatCode>
                <c:ptCount val="1"/>
                <c:pt idx="0">
                  <c:v>8.43610106542617</c:v>
                </c:pt>
              </c:numCache>
            </c:numRef>
          </c:yVal>
        </c:ser>
        <c:ser>
          <c:idx val="5"/>
          <c:order val="5"/>
          <c:tx>
            <c:v>CROX</c:v>
          </c:tx>
          <c:spPr>
            <a:solidFill>
              <a:schemeClr val="accent6"/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l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Deck!$C$89:$C$89</c:f>
              <c:numCache>
                <c:formatCode>0.0%_);\(0.0%\);\-_)</c:formatCode>
                <c:ptCount val="1"/>
                <c:pt idx="0">
                  <c:v>0.22740388172334705</c:v>
                </c:pt>
              </c:numCache>
            </c:numRef>
          </c:xVal>
          <c:yVal>
            <c:numRef>
              <c:f>Deck!$D$89:$D$89</c:f>
              <c:numCache>
                <c:formatCode>0.0x_);\(0.0x\);\-_)</c:formatCode>
                <c:ptCount val="1"/>
                <c:pt idx="0">
                  <c:v>7.223403101615877</c:v>
                </c:pt>
              </c:numCache>
            </c:numRef>
          </c:yVal>
        </c:ser>
        <c:ser>
          <c:idx val="6"/>
          <c:order val="6"/>
          <c:tx>
            <c:v>COLM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Deck!$C$90:$C$90</c:f>
              <c:numCache>
                <c:formatCode>0.0%_);\(0.0%\);\-_)</c:formatCode>
                <c:ptCount val="1"/>
                <c:pt idx="0">
                  <c:v>0.09198867752187538</c:v>
                </c:pt>
              </c:numCache>
            </c:numRef>
          </c:xVal>
          <c:yVal>
            <c:numRef>
              <c:f>Deck!$D$90:$D$90</c:f>
              <c:numCache>
                <c:formatCode>0.0x_);\(0.0x\);\-_)</c:formatCode>
                <c:ptCount val="1"/>
                <c:pt idx="0">
                  <c:v>7.24088171591025</c:v>
                </c:pt>
              </c:numCache>
            </c:numRef>
          </c:yVal>
        </c:ser>
        <c:ser>
          <c:idx val="7"/>
          <c:order val="7"/>
          <c:tx>
            <c:v>DECK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Deck!$C$91:$C$91</c:f>
              <c:numCache>
                <c:formatCode>0.0%_);\(0.0%\);\-_)</c:formatCode>
                <c:ptCount val="1"/>
                <c:pt idx="0">
                  <c:v>0.2404790765835037</c:v>
                </c:pt>
              </c:numCache>
            </c:numRef>
          </c:xVal>
          <c:yVal>
            <c:numRef>
              <c:f>Deck!$D$91:$D$91</c:f>
              <c:numCache>
                <c:formatCode>0.0x_);\(0.0x\);\-_)</c:formatCode>
                <c:ptCount val="1"/>
                <c:pt idx="0">
                  <c:v>7.0436352693349376</c:v>
                </c:pt>
              </c:numCache>
            </c:numRef>
          </c:yVal>
        </c:ser>
        <c:ser>
          <c:idx val="8"/>
          <c:order val="8"/>
          <c:tx>
            <c:v>VFC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Deck!$C$92:$C$92</c:f>
              <c:numCache>
                <c:formatCode>0.0%_);\(0.0%\);\-_)</c:formatCode>
                <c:ptCount val="1"/>
                <c:pt idx="0">
                  <c:v>0.13469765290785063</c:v>
                </c:pt>
              </c:numCache>
            </c:numRef>
          </c:xVal>
          <c:yVal>
            <c:numRef>
              <c:f>Deck!$D$92:$D$92</c:f>
              <c:numCache>
                <c:formatCode>0.0x_);\(0.0x\);\-_)</c:formatCode>
                <c:ptCount val="1"/>
                <c:pt idx="0">
                  <c:v>6.629496683573936</c:v>
                </c:pt>
              </c:numCache>
            </c:numRef>
          </c:yVal>
        </c:ser>
        <c:ser>
          <c:idx val="9"/>
          <c:order val="9"/>
          <c:tx>
            <c:v>LULU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Deck!$C$93:$C$93</c:f>
              <c:numCache>
                <c:formatCode>0.0%_);\(0.0%\);\-_)</c:formatCode>
                <c:ptCount val="1"/>
                <c:pt idx="0">
                  <c:v>0.22700558860645395</c:v>
                </c:pt>
              </c:numCache>
            </c:numRef>
          </c:xVal>
          <c:yVal>
            <c:numRef>
              <c:f>Deck!$D$93:$D$93</c:f>
              <c:numCache>
                <c:formatCode>0.0x_);\(0.0x\);\-_)</c:formatCode>
                <c:ptCount val="1"/>
                <c:pt idx="0">
                  <c:v>3.300627382465057</c:v>
                </c:pt>
              </c:numCache>
            </c:numRef>
          </c:yVal>
        </c:ser>
        <c:ser>
          <c:idx val="10"/>
          <c:order val="10"/>
          <c:tx>
            <c:v>NKE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</c:spPr>
          <c:marker>
            <c:symbol val="circle"/>
            <c:size val="11"/>
            <c:spPr>
              <a:solidFill>
                <a:srgbClr val="4472C4"/>
              </a:solidFill>
              <a:ln>
                <a:solidFill>
                  <a:srgbClr val="4472C4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1">
                    <a:solidFill>
                      <a:srgbClr val="4472C4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Deck!$C$94:$C$94</c:f>
              <c:numCache>
                <c:formatCode>0.0%_);\(0.0%\);\-_)</c:formatCode>
                <c:ptCount val="1"/>
                <c:pt idx="0">
                  <c:v>0.10869233618792355</c:v>
                </c:pt>
              </c:numCache>
            </c:numRef>
          </c:xVal>
          <c:yVal>
            <c:numRef>
              <c:f>Deck!$D$94:$D$94</c:f>
              <c:numCache>
                <c:formatCode>0.0x_);\(0.0x\);\-_)</c:formatCode>
                <c:ptCount val="1"/>
                <c:pt idx="0">
                  <c:v>10.143258092309543</c:v>
                </c:pt>
              </c:numCache>
            </c:numRef>
          </c:yVal>
        </c:ser>
        <c:axId val="111111111"/>
        <c:axId val="222222222"/>
      </c:scatterChart>
      <c:valAx>
        <c:axId val="111111111"/>
        <c:scaling>
          <c:orientation val="minMax"/>
          <c:max val="0.35"/>
          <c:min val="0.05"/>
        </c:scaling>
        <c:delete val="0"/>
        <c:axPos val="b"/>
        <c:numFmt formatCode="0%" sourceLinked="0"/>
        <c:majorTickMark val="none"/>
        <c:minorTickMark val="none"/>
        <c:crossAx val="222222222"/>
        <c:crosses val="autoZero"/>
      </c:valAx>
      <c:valAx>
        <c:axId val="222222222"/>
        <c:scaling>
          <c:orientation val="minMax"/>
          <c:min val="0"/>
        </c:scaling>
        <c:delete val="0"/>
        <c:axPos val="l"/>
        <c:numFmt formatCode="0.0x" sourceLinked="0"/>
        <c:majorTickMark val="none"/>
        <c:minorTickMark val="none"/>
        <c:crossAx val="111111111"/>
        <c:crosses val="autoZero"/>
      </c:valAx>
    </c:plotArea>
    <c:dispBlanksAs val="gap"/>
  </c:chart>
  <c:spPr>
    <a:ln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200" b="1"/>
            </a:pPr>
            <a:r>
              <a:rPr lang="en-US"/>
              <a:t>LTM EV / Revenue (x) vs. LTM revenue growth (%)</a:t>
            </a:r>
          </a:p>
        </c:rich>
      </c:tx>
      <c:overlay val="0"/>
    </c:title>
    <c:plotArea>
      <c:scatterChart>
        <c:scatterStyle val="lineMarker"/>
        <c:varyColors val="0"/>
        <c:ser>
          <c:idx val="0"/>
          <c:order val="0"/>
          <c:tx>
            <c:v>Peer fit</c:v>
          </c:tx>
          <c:spPr>
            <a:solidFill>
              <a:schemeClr val="accent1"/>
            </a:solidFill>
            <a:ln>
              <a:noFill/>
            </a:ln>
          </c:spPr>
          <c:marker>
            <c:symbol val="non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dLbls>
            <c:delete val="1"/>
          </c:dLbls>
          <c:trendline>
            <c:spPr>
              <a:ln>
                <a:solidFill>
                  <a:srgbClr val="ED7D31"/>
                </a:solidFill>
                <a:prstDash val="dash"/>
              </a:ln>
            </c:spPr>
            <c:trendlineType val="linear"/>
            <c:dispRSqr val="0"/>
            <c:dispEq val="0"/>
          </c:trendline>
          <c:xVal>
            <c:numRef>
              <c:f>Deck!$H$85:$H$96</c:f>
              <c:numCache>
                <c:formatCode>0.0%_);\(0.0%\);\-_)</c:formatCode>
                <c:ptCount val="12"/>
                <c:pt idx="0">
                  <c:v>0.184754617025973</c:v>
                </c:pt>
                <c:pt idx="1">
                  <c:v>0.30490865376178</c:v>
                </c:pt>
                <c:pt idx="2">
                  <c:v>0.118037057411605</c:v>
                </c:pt>
                <c:pt idx="3">
                  <c:v>0.0625510037538763</c:v>
                </c:pt>
                <c:pt idx="4">
                  <c:v>-0.0202511477696144</c:v>
                </c:pt>
                <c:pt idx="5">
                  <c:v>-0.00147301302968827</c:v>
                </c:pt>
                <c:pt idx="6">
                  <c:v>0.0634362147411591</c:v>
                </c:pt>
                <c:pt idx="7">
                  <c:v>-0.0141188788870832</c:v>
                </c:pt>
                <c:pt idx="8">
                  <c:v>0.0174173122685947</c:v>
                </c:pt>
                <c:pt idx="9">
                  <c:v>-0.178778336017692</c:v>
                </c:pt>
                <c:pt idx="10">
                  <c:v>-0.0360692770053764</c:v>
                </c:pt>
                <c:pt idx="11">
                  <c:v>-0.0118217054263566</c:v>
                </c:pt>
              </c:numCache>
            </c:numRef>
          </c:xVal>
          <c:yVal>
            <c:numRef>
              <c:f>Deck!$I$85:$I$96</c:f>
              <c:numCache>
                <c:formatCode>0.0x_);\(0.0x\);\-_)</c:formatCode>
                <c:ptCount val="12"/>
                <c:pt idx="0">
                  <c:v>2.475986359998758</c:v>
                </c:pt>
                <c:pt idx="1">
                  <c:v>1.95770291170735</c:v>
                </c:pt>
                <c:pt idx="2">
                  <c:v>2.844835620329691</c:v>
                </c:pt>
                <c:pt idx="3">
                  <c:v>1.0794166410660113</c:v>
                </c:pt>
                <c:pt idx="4">
                  <c:v>1.642629904559915</c:v>
                </c:pt>
                <c:pt idx="5">
                  <c:v>0.6660791331389116</c:v>
                </c:pt>
                <c:pt idx="6">
                  <c:v>1.6938469053606642</c:v>
                </c:pt>
                <c:pt idx="7">
                  <c:v>0.8929776432377888</c:v>
                </c:pt>
                <c:pt idx="8">
                  <c:v>0.7492608617270596</c:v>
                </c:pt>
                <c:pt idx="9">
                  <c:v>0.6571200456647739</c:v>
                </c:pt>
                <c:pt idx="10">
                  <c:v>0.4490892864386841</c:v>
                </c:pt>
                <c:pt idx="11">
                  <c:v>1.102494418610185</c:v>
                </c:pt>
              </c:numCache>
            </c:numRef>
          </c:yVal>
        </c:ser>
        <c:ser>
          <c:idx val="1"/>
          <c:order val="1"/>
          <c:tx>
            <c:v>ONON</c:v>
          </c:tx>
          <c:spPr>
            <a:solidFill>
              <a:schemeClr val="accent2"/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Deck!$H$85:$H$85</c:f>
              <c:numCache>
                <c:formatCode>0.0%_);\(0.0%\);\-_)</c:formatCode>
                <c:ptCount val="1"/>
                <c:pt idx="0">
                  <c:v>0.184754617025973</c:v>
                </c:pt>
              </c:numCache>
            </c:numRef>
          </c:xVal>
          <c:yVal>
            <c:numRef>
              <c:f>Deck!$I$85:$I$85</c:f>
              <c:numCache>
                <c:formatCode>0.0x_);\(0.0x\);\-_)</c:formatCode>
                <c:ptCount val="1"/>
                <c:pt idx="0">
                  <c:v>2.475986359998758</c:v>
                </c:pt>
              </c:numCache>
            </c:numRef>
          </c:yVal>
        </c:ser>
        <c:ser>
          <c:idx val="2"/>
          <c:order val="2"/>
          <c:tx>
            <c:v>AS</c:v>
          </c:tx>
          <c:spPr>
            <a:solidFill>
              <a:schemeClr val="accent3"/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Deck!$H$86:$H$86</c:f>
              <c:numCache>
                <c:formatCode>0.0%_);\(0.0%\);\-_)</c:formatCode>
                <c:ptCount val="1"/>
                <c:pt idx="0">
                  <c:v>0.30490865376178</c:v>
                </c:pt>
              </c:numCache>
            </c:numRef>
          </c:xVal>
          <c:yVal>
            <c:numRef>
              <c:f>Deck!$I$86:$I$86</c:f>
              <c:numCache>
                <c:formatCode>0.0x_);\(0.0x\);\-_)</c:formatCode>
                <c:ptCount val="1"/>
                <c:pt idx="0">
                  <c:v>1.95770291170735</c:v>
                </c:pt>
              </c:numCache>
            </c:numRef>
          </c:yVal>
        </c:ser>
        <c:ser>
          <c:idx val="3"/>
          <c:order val="3"/>
          <c:tx>
            <c:v>BIRK</c:v>
          </c:tx>
          <c:spPr>
            <a:solidFill>
              <a:schemeClr val="accent4"/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Deck!$H$87:$H$87</c:f>
              <c:numCache>
                <c:formatCode>0.0%_);\(0.0%\);\-_)</c:formatCode>
                <c:ptCount val="1"/>
                <c:pt idx="0">
                  <c:v>0.118037057411605</c:v>
                </c:pt>
              </c:numCache>
            </c:numRef>
          </c:xVal>
          <c:yVal>
            <c:numRef>
              <c:f>Deck!$I$87:$I$87</c:f>
              <c:numCache>
                <c:formatCode>0.0x_);\(0.0x\);\-_)</c:formatCode>
                <c:ptCount val="1"/>
                <c:pt idx="0">
                  <c:v>2.844835620329691</c:v>
                </c:pt>
              </c:numCache>
            </c:numRef>
          </c:yVal>
        </c:ser>
        <c:ser>
          <c:idx val="4"/>
          <c:order val="4"/>
          <c:tx>
            <c:v>ADS</c:v>
          </c:tx>
          <c:spPr>
            <a:solidFill>
              <a:schemeClr val="accent5"/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Deck!$H$88:$H$88</c:f>
              <c:numCache>
                <c:formatCode>0.0%_);\(0.0%\);\-_)</c:formatCode>
                <c:ptCount val="1"/>
                <c:pt idx="0">
                  <c:v>0.0625510037538763</c:v>
                </c:pt>
              </c:numCache>
            </c:numRef>
          </c:xVal>
          <c:yVal>
            <c:numRef>
              <c:f>Deck!$I$88:$I$88</c:f>
              <c:numCache>
                <c:formatCode>0.0x_);\(0.0x\);\-_)</c:formatCode>
                <c:ptCount val="1"/>
                <c:pt idx="0">
                  <c:v>1.0794166410660113</c:v>
                </c:pt>
              </c:numCache>
            </c:numRef>
          </c:yVal>
        </c:ser>
        <c:ser>
          <c:idx val="5"/>
          <c:order val="5"/>
          <c:tx>
            <c:v>CROX</c:v>
          </c:tx>
          <c:spPr>
            <a:solidFill>
              <a:schemeClr val="accent6"/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Deck!$H$89:$H$89</c:f>
              <c:numCache>
                <c:formatCode>0.0%_);\(0.0%\);\-_)</c:formatCode>
                <c:ptCount val="1"/>
                <c:pt idx="0">
                  <c:v>-0.0202511477696144</c:v>
                </c:pt>
              </c:numCache>
            </c:numRef>
          </c:xVal>
          <c:yVal>
            <c:numRef>
              <c:f>Deck!$I$89:$I$89</c:f>
              <c:numCache>
                <c:formatCode>0.0x_);\(0.0x\);\-_)</c:formatCode>
                <c:ptCount val="1"/>
                <c:pt idx="0">
                  <c:v>1.642629904559915</c:v>
                </c:pt>
              </c:numCache>
            </c:numRef>
          </c:yVal>
        </c:ser>
        <c:ser>
          <c:idx val="6"/>
          <c:order val="6"/>
          <c:tx>
            <c:v>COLM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Deck!$H$90:$H$90</c:f>
              <c:numCache>
                <c:formatCode>0.0%_);\(0.0%\);\-_)</c:formatCode>
                <c:ptCount val="1"/>
                <c:pt idx="0">
                  <c:v>-0.00147301302968827</c:v>
                </c:pt>
              </c:numCache>
            </c:numRef>
          </c:xVal>
          <c:yVal>
            <c:numRef>
              <c:f>Deck!$I$90:$I$90</c:f>
              <c:numCache>
                <c:formatCode>0.0x_);\(0.0x\);\-_)</c:formatCode>
                <c:ptCount val="1"/>
                <c:pt idx="0">
                  <c:v>0.6660791331389116</c:v>
                </c:pt>
              </c:numCache>
            </c:numRef>
          </c:yVal>
        </c:ser>
        <c:ser>
          <c:idx val="7"/>
          <c:order val="7"/>
          <c:tx>
            <c:v>DECK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Deck!$H$91:$H$91</c:f>
              <c:numCache>
                <c:formatCode>0.0%_);\(0.0%\);\-_)</c:formatCode>
                <c:ptCount val="1"/>
                <c:pt idx="0">
                  <c:v>0.0634362147411591</c:v>
                </c:pt>
              </c:numCache>
            </c:numRef>
          </c:xVal>
          <c:yVal>
            <c:numRef>
              <c:f>Deck!$I$91:$I$91</c:f>
              <c:numCache>
                <c:formatCode>0.0x_);\(0.0x\);\-_)</c:formatCode>
                <c:ptCount val="1"/>
                <c:pt idx="0">
                  <c:v>1.6938469053606642</c:v>
                </c:pt>
              </c:numCache>
            </c:numRef>
          </c:yVal>
        </c:ser>
        <c:ser>
          <c:idx val="8"/>
          <c:order val="8"/>
          <c:tx>
            <c:v>VFC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Deck!$H$92:$H$92</c:f>
              <c:numCache>
                <c:formatCode>0.0%_);\(0.0%\);\-_)</c:formatCode>
                <c:ptCount val="1"/>
                <c:pt idx="0">
                  <c:v>-0.0141188788870832</c:v>
                </c:pt>
              </c:numCache>
            </c:numRef>
          </c:xVal>
          <c:yVal>
            <c:numRef>
              <c:f>Deck!$I$92:$I$92</c:f>
              <c:numCache>
                <c:formatCode>0.0x_);\(0.0x\);\-_)</c:formatCode>
                <c:ptCount val="1"/>
                <c:pt idx="0">
                  <c:v>0.8929776432377888</c:v>
                </c:pt>
              </c:numCache>
            </c:numRef>
          </c:yVal>
        </c:ser>
        <c:ser>
          <c:idx val="9"/>
          <c:order val="9"/>
          <c:tx>
            <c:v>LULU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Deck!$H$93:$H$93</c:f>
              <c:numCache>
                <c:formatCode>0.0%_);\(0.0%\);\-_)</c:formatCode>
                <c:ptCount val="1"/>
                <c:pt idx="0">
                  <c:v>0.0174173122685947</c:v>
                </c:pt>
              </c:numCache>
            </c:numRef>
          </c:xVal>
          <c:yVal>
            <c:numRef>
              <c:f>Deck!$I$93:$I$93</c:f>
              <c:numCache>
                <c:formatCode>0.0x_);\(0.0x\);\-_)</c:formatCode>
                <c:ptCount val="1"/>
                <c:pt idx="0">
                  <c:v>0.7492608617270596</c:v>
                </c:pt>
              </c:numCache>
            </c:numRef>
          </c:yVal>
        </c:ser>
        <c:ser>
          <c:idx val="10"/>
          <c:order val="10"/>
          <c:tx>
            <c:v>PUM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Deck!$H$94:$H$94</c:f>
              <c:numCache>
                <c:formatCode>0.0%_);\(0.0%\);\-_)</c:formatCode>
                <c:ptCount val="1"/>
                <c:pt idx="0">
                  <c:v>-0.178778336017692</c:v>
                </c:pt>
              </c:numCache>
            </c:numRef>
          </c:xVal>
          <c:yVal>
            <c:numRef>
              <c:f>Deck!$I$94:$I$94</c:f>
              <c:numCache>
                <c:formatCode>0.0x_);\(0.0x\);\-_)</c:formatCode>
                <c:ptCount val="1"/>
                <c:pt idx="0">
                  <c:v>0.6571200456647739</c:v>
                </c:pt>
              </c:numCache>
            </c:numRef>
          </c:yVal>
        </c:ser>
        <c:ser>
          <c:idx val="11"/>
          <c:order val="11"/>
          <c:tx>
            <c:v>UAA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</c:spPr>
          <c:marker>
            <c:symbol val="circle"/>
            <c:size val="8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0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Deck!$H$95:$H$95</c:f>
              <c:numCache>
                <c:formatCode>0.0%_);\(0.0%\);\-_)</c:formatCode>
                <c:ptCount val="1"/>
                <c:pt idx="0">
                  <c:v>-0.0360692770053764</c:v>
                </c:pt>
              </c:numCache>
            </c:numRef>
          </c:xVal>
          <c:yVal>
            <c:numRef>
              <c:f>Deck!$I$95:$I$95</c:f>
              <c:numCache>
                <c:formatCode>0.0x_);\(0.0x\);\-_)</c:formatCode>
                <c:ptCount val="1"/>
                <c:pt idx="0">
                  <c:v>0.4490892864386841</c:v>
                </c:pt>
              </c:numCache>
            </c:numRef>
          </c:yVal>
        </c:ser>
        <c:ser>
          <c:idx val="12"/>
          <c:order val="12"/>
          <c:tx>
            <c:v>NKE</c:v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</c:spPr>
          <c:marker>
            <c:symbol val="circle"/>
            <c:size val="11"/>
            <c:spPr>
              <a:solidFill>
                <a:srgbClr val="4472C4"/>
              </a:solidFill>
              <a:ln>
                <a:solidFill>
                  <a:srgbClr val="4472C4"/>
                </a:solidFill>
              </a:ln>
            </c:spPr>
          </c:marker>
          <c:dLbls>
            <c:txPr>
              <a:bodyPr/>
              <a:lstStyle/>
              <a:p>
                <a:pPr>
                  <a:defRPr sz="900" b="1">
                    <a:solidFill>
                      <a:srgbClr val="4472C4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numRef>
              <c:f>Deck!$H$96:$H$96</c:f>
              <c:numCache>
                <c:formatCode>0.0%_);\(0.0%\);\-_)</c:formatCode>
                <c:ptCount val="1"/>
                <c:pt idx="0">
                  <c:v>-0.0118217054263566</c:v>
                </c:pt>
              </c:numCache>
            </c:numRef>
          </c:xVal>
          <c:yVal>
            <c:numRef>
              <c:f>Deck!$I$96:$I$96</c:f>
              <c:numCache>
                <c:formatCode>0.0x_);\(0.0x\);\-_)</c:formatCode>
                <c:ptCount val="1"/>
                <c:pt idx="0">
                  <c:v>1.102494418610185</c:v>
                </c:pt>
              </c:numCache>
            </c:numRef>
          </c:yVal>
        </c:ser>
        <c:axId val="111111111"/>
        <c:axId val="222222222"/>
      </c:scatterChart>
      <c:valAx>
        <c:axId val="111111111"/>
        <c:scaling>
          <c:orientation val="minMax"/>
          <c:max val="0.35"/>
          <c:min val="-0.2"/>
        </c:scaling>
        <c:delete val="0"/>
        <c:axPos val="b"/>
        <c:numFmt formatCode="0%" sourceLinked="0"/>
        <c:majorTickMark val="none"/>
        <c:minorTickMark val="none"/>
        <c:crossAx val="222222222"/>
        <c:crosses val="autoZero"/>
      </c:valAx>
      <c:valAx>
        <c:axId val="222222222"/>
        <c:scaling>
          <c:orientation val="minMax"/>
          <c:min val="0"/>
        </c:scaling>
        <c:delete val="0"/>
        <c:axPos val="l"/>
        <c:numFmt formatCode="0.0x" sourceLinked="0"/>
        <c:majorTickMark val="none"/>
        <c:minorTickMark val="none"/>
        <c:crossAx val="111111111"/>
        <c:crosses val="min"/>
      </c:valAx>
    </c:plotArea>
    <c:dispBlanksAs val="gap"/>
  </c:chart>
  <c:spPr>
    <a:ln>
      <a:noFill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/Relationships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2</xdr:row>
      <xdr:rowOff>0</xdr:rowOff>
    </xdr:from>
    <xdr:to>
      <xdr:col>20</xdr:col>
      <xdr:colOff>0</xdr:colOff>
      <xdr:row>19</xdr:row>
      <xdr:rowOff>0</xdr:rowOff>
    </xdr:to>
    <xdr:graphicFrame macro="">
      <xdr:nvGraphicFramePr>
        <xdr:cNvPr id="1" name="Revenue and margin">
          <a:extLst>
            <a:ext uri="{FF2B5EF4-FFF2-40B4-BE49-F238E27FC236}">
              <a16:creationId xmlns:a16="http://schemas.microsoft.com/office/drawing/2014/main" id="{00000007-B5BB-4C1D-8CA1-000000000001}"/>
            </a:ext>
          </a:extLst>
        </xdr:cNvPr>
        <xdr:cNvGraphicFramePr/>
      </xdr:nvGraphicFramePr>
      <xdr:xfrm>
        <a:off x="0" y="0"/>
        <a:ext cx="5486400" cy="3238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21</xdr:col>
      <xdr:colOff>0</xdr:colOff>
      <xdr:row>2</xdr:row>
      <xdr:rowOff>0</xdr:rowOff>
    </xdr:from>
    <xdr:to>
      <xdr:col>28</xdr:col>
      <xdr:colOff>0</xdr:colOff>
      <xdr:row>19</xdr:row>
      <xdr:rowOff>0</xdr:rowOff>
    </xdr:to>
    <xdr:graphicFrame macro="">
      <xdr:nvGraphicFramePr>
        <xdr:cNvPr id="2" name="Adj EPS">
          <a:extLst>
            <a:ext uri="{FF2B5EF4-FFF2-40B4-BE49-F238E27FC236}">
              <a16:creationId xmlns:a16="http://schemas.microsoft.com/office/drawing/2014/main" id="{00000006-4471-4C1D-8CA1-000000000002}"/>
            </a:ext>
          </a:extLst>
        </xdr:cNvPr>
        <xdr:cNvGraphicFramePr/>
      </xdr:nvGraphicFramePr>
      <xdr:xfrm>
        <a:off x="0" y="0"/>
        <a:ext cx="4267200" cy="323850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11</xdr:col>
      <xdr:colOff>0</xdr:colOff>
      <xdr:row>20</xdr:row>
      <xdr:rowOff>0</xdr:rowOff>
    </xdr:from>
    <xdr:to>
      <xdr:col>20</xdr:col>
      <xdr:colOff>0</xdr:colOff>
      <xdr:row>37</xdr:row>
      <xdr:rowOff>0</xdr:rowOff>
    </xdr:to>
    <xdr:graphicFrame macro="">
      <xdr:nvGraphicFramePr>
        <xdr:cNvPr id="3" name="FCF and returns">
          <a:extLst>
            <a:ext uri="{FF2B5EF4-FFF2-40B4-BE49-F238E27FC236}">
              <a16:creationId xmlns:a16="http://schemas.microsoft.com/office/drawing/2014/main" id="{00000005-9781-4C1D-8CA1-000000000003}"/>
            </a:ext>
          </a:extLst>
        </xdr:cNvPr>
        <xdr:cNvGraphicFramePr/>
      </xdr:nvGraphicFramePr>
      <xdr:xfrm>
        <a:off x="0" y="0"/>
        <a:ext cx="5486400" cy="323850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21</xdr:col>
      <xdr:colOff>0</xdr:colOff>
      <xdr:row>20</xdr:row>
      <xdr:rowOff>0</xdr:rowOff>
    </xdr:from>
    <xdr:to>
      <xdr:col>28</xdr:col>
      <xdr:colOff>0</xdr:colOff>
      <xdr:row>37</xdr:row>
      <xdr:rowOff>0</xdr:rowOff>
    </xdr:to>
    <xdr:graphicFrame macro="">
      <xdr:nvGraphicFramePr>
        <xdr:cNvPr id="4" name="Segment margins">
          <a:extLst>
            <a:ext uri="{FF2B5EF4-FFF2-40B4-BE49-F238E27FC236}">
              <a16:creationId xmlns:a16="http://schemas.microsoft.com/office/drawing/2014/main" id="{00000004-17E5-4C1D-8CA1-000000000004}"/>
            </a:ext>
          </a:extLst>
        </xdr:cNvPr>
        <xdr:cNvGraphicFramePr/>
      </xdr:nvGraphicFramePr>
      <xdr:xfrm>
        <a:off x="0" y="0"/>
        <a:ext cx="4267200" cy="323850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11</xdr:col>
      <xdr:colOff>0</xdr:colOff>
      <xdr:row>38</xdr:row>
      <xdr:rowOff>0</xdr:rowOff>
    </xdr:from>
    <xdr:to>
      <xdr:col>20</xdr:col>
      <xdr:colOff>0</xdr:colOff>
      <xdr:row>55</xdr:row>
      <xdr:rowOff>0</xdr:rowOff>
    </xdr:to>
    <xdr:graphicFrame macro="">
      <xdr:nvGraphicFramePr>
        <xdr:cNvPr id="5" name="IRR by case">
          <a:extLst>
            <a:ext uri="{FF2B5EF4-FFF2-40B4-BE49-F238E27FC236}">
              <a16:creationId xmlns:a16="http://schemas.microsoft.com/office/drawing/2014/main" id="{00000003-2827-4C1D-8CA1-000000000005}"/>
            </a:ext>
          </a:extLst>
        </xdr:cNvPr>
        <xdr:cNvGraphicFramePr/>
      </xdr:nvGraphicFramePr>
      <xdr:xfrm>
        <a:off x="0" y="0"/>
        <a:ext cx="5486400" cy="323850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  <xdr:twoCellAnchor editAs="oneCell">
    <xdr:from>
      <xdr:col>21</xdr:col>
      <xdr:colOff>0</xdr:colOff>
      <xdr:row>38</xdr:row>
      <xdr:rowOff>0</xdr:rowOff>
    </xdr:from>
    <xdr:to>
      <xdr:col>28</xdr:col>
      <xdr:colOff>0</xdr:colOff>
      <xdr:row>55</xdr:row>
      <xdr:rowOff>0</xdr:rowOff>
    </xdr:to>
    <xdr:graphicFrame macro="">
      <xdr:nvGraphicFramePr>
        <xdr:cNvPr id="6" name="Peer EV EBITDA">
          <a:extLst>
            <a:ext uri="{FF2B5EF4-FFF2-40B4-BE49-F238E27FC236}">
              <a16:creationId xmlns:a16="http://schemas.microsoft.com/office/drawing/2014/main" id="{00000002-515C-4C1D-8CA1-000000000006}"/>
            </a:ext>
          </a:extLst>
        </xdr:cNvPr>
        <xdr:cNvGraphicFramePr/>
      </xdr:nvGraphicFramePr>
      <xdr:xfrm>
        <a:off x="0" y="0"/>
        <a:ext cx="4267200" cy="3238500"/>
      </xdr:xfrm>
      <a:graphic>
        <a:graphicData uri="http://schemas.openxmlformats.org/drawingml/2006/chart">
          <c:chart xmlns:c="http://schemas.openxmlformats.org/drawingml/2006/chart" r:id="rId6"/>
        </a:graphicData>
      </a:graphic>
    </xdr:graphicFrame>
    <xdr:clientData/>
  </xdr:twoCellAnchor>
  <xdr:twoCellAnchor editAs="oneCell">
    <xdr:from>
      <xdr:col>11</xdr:col>
      <xdr:colOff>0</xdr:colOff>
      <xdr:row>83</xdr:row>
      <xdr:rowOff>0</xdr:rowOff>
    </xdr:from>
    <xdr:to>
      <xdr:col>20</xdr:col>
      <xdr:colOff>0</xdr:colOff>
      <xdr:row>101</xdr:row>
      <xdr:rowOff>0</xdr:rowOff>
    </xdr:to>
    <xdr:graphicFrame macro="">
      <xdr:nvGraphicFramePr>
        <xdr:cNvPr id="7" name="Margin vs multiple">
          <a:extLst>
            <a:ext uri="{FF2B5EF4-FFF2-40B4-BE49-F238E27FC236}">
              <a16:creationId xmlns:a16="http://schemas.microsoft.com/office/drawing/2014/main" id="{00000001-222D-4C1D-8CA1-000000000007}"/>
            </a:ext>
          </a:extLst>
        </xdr:cNvPr>
        <xdr:cNvGraphicFramePr/>
      </xdr:nvGraphicFramePr>
      <xdr:xfrm>
        <a:off x="0" y="0"/>
        <a:ext cx="5486400" cy="3429000"/>
      </xdr:xfrm>
      <a:graphic>
        <a:graphicData uri="http://schemas.openxmlformats.org/drawingml/2006/chart">
          <c:chart xmlns:c="http://schemas.openxmlformats.org/drawingml/2006/chart" r:id="rId7"/>
        </a:graphicData>
      </a:graphic>
    </xdr:graphicFrame>
    <xdr:clientData/>
  </xdr:twoCellAnchor>
  <xdr:twoCellAnchor editAs="oneCell">
    <xdr:from>
      <xdr:col>21</xdr:col>
      <xdr:colOff>0</xdr:colOff>
      <xdr:row>83</xdr:row>
      <xdr:rowOff>0</xdr:rowOff>
    </xdr:from>
    <xdr:to>
      <xdr:col>30</xdr:col>
      <xdr:colOff>0</xdr:colOff>
      <xdr:row>101</xdr:row>
      <xdr:rowOff>0</xdr:rowOff>
    </xdr:to>
    <xdr:graphicFrame macro="">
      <xdr:nvGraphicFramePr>
        <xdr:cNvPr id="8" name="Growth vs multiple">
          <a:extLst>
            <a:ext uri="{FF2B5EF4-FFF2-40B4-BE49-F238E27FC236}">
              <a16:creationId xmlns:a16="http://schemas.microsoft.com/office/drawing/2014/main" id="{00000000-96FA-4C1D-8CA1-000000000008}"/>
            </a:ext>
          </a:extLst>
        </xdr:cNvPr>
        <xdr:cNvGraphicFramePr/>
      </xdr:nvGraphicFramePr>
      <xdr:xfrm>
        <a:off x="0" y="0"/>
        <a:ext cx="5486400" cy="3429000"/>
      </xdr:xfrm>
      <a:graphic>
        <a:graphicData uri="http://schemas.openxmlformats.org/drawingml/2006/chart">
          <c:chart xmlns:c="http://schemas.openxmlformats.org/drawingml/2006/chart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showGridLines="0" tabSelected="1" workbookViewId="0">
      <selection activeCell="A1" sqref="A1"/>
    </sheetView>
  </sheetViews>
  <cols>
    <col min="1" max="1" width="2.21875" customWidth="1"/>
    <col min="2" max="2" width="30.359375" customWidth="1"/>
    <col min="3" max="3" width="98.9296875" customWidth="1"/>
  </cols>
  <sheetData>
    <row r="1" ht="8" customHeight="1"/>
    <row r="2">
      <c r="B2" t="s" s="178">
        <v>540</v>
      </c>
    </row>
    <row r="3">
      <c r="B3" t="s" s="4">
        <v>541</v>
      </c>
    </row>
    <row r="5">
      <c r="B5" t="s" s="56">
        <v>542</v>
      </c>
      <c r="C5" s="56"/>
    </row>
    <row r="6">
      <c r="B6" t="s" s="200">
        <v>543</v>
      </c>
      <c r="C6" t="s" s="200">
        <v>544</v>
      </c>
    </row>
    <row r="7">
      <c r="B7" t="s">
        <v>236</v>
      </c>
      <c r="C7" t="s">
        <v>545</v>
      </c>
    </row>
    <row r="8">
      <c r="B8" t="s">
        <v>546</v>
      </c>
      <c r="C8" t="s">
        <v>547</v>
      </c>
    </row>
    <row r="9">
      <c r="B9" t="s">
        <v>548</v>
      </c>
      <c r="C9" t="s">
        <v>549</v>
      </c>
    </row>
    <row r="10">
      <c r="B10" t="s">
        <v>550</v>
      </c>
      <c r="C10" t="s">
        <v>551</v>
      </c>
    </row>
    <row r="11">
      <c r="B11" t="s">
        <v>552</v>
      </c>
      <c r="C11" t="s">
        <v>553</v>
      </c>
    </row>
    <row r="13">
      <c r="B13" t="s" s="56">
        <v>556</v>
      </c>
      <c r="C13" s="56"/>
    </row>
    <row r="14">
      <c r="B14" t="s">
        <v>557</v>
      </c>
      <c r="C14" t="s">
        <v>558</v>
      </c>
    </row>
    <row r="15">
      <c r="B15" t="s">
        <v>559</v>
      </c>
      <c r="C15" t="s">
        <v>560</v>
      </c>
    </row>
    <row r="16">
      <c r="B16" t="s">
        <v>561</v>
      </c>
      <c r="C16" t="s">
        <v>562</v>
      </c>
    </row>
    <row r="17">
      <c r="B17" t="s">
        <v>563</v>
      </c>
      <c r="C17" t="s">
        <v>564</v>
      </c>
    </row>
    <row r="19">
      <c r="B19" t="s" s="56">
        <v>565</v>
      </c>
      <c r="C19" s="56"/>
    </row>
    <row r="20">
      <c r="B20" t="s">
        <v>468</v>
      </c>
      <c r="C20" s="201">
        <f>Valuation!C13</f>
        <v>34.36</v>
      </c>
    </row>
    <row r="21">
      <c r="B21" t="s">
        <v>566</v>
      </c>
      <c r="C21" t="str" s="28">
        <f>TEXT(Valuation!E53,"0.0%")&amp;" / "&amp;TEXT(Valuation!E52,"0.0x")</f>
        <v>22.2% / 1.7x</v>
      </c>
    </row>
    <row r="22">
      <c r="B22" t="s">
        <v>474</v>
      </c>
      <c r="C22" s="202">
        <f>Valuation!G53</f>
        <v>0.23235265612602235</v>
      </c>
    </row>
    <row r="23">
      <c r="B23" t="s">
        <v>231</v>
      </c>
      <c r="C23" s="201">
        <f>Valuation!C115</f>
        <v>39.30104891584579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1" sqref="A1"/>
    </sheetView>
  </sheetViews>
  <cols>
    <col min="1" max="1" width="2.21875" customWidth="1"/>
    <col min="2" max="2" width="39.9296875" customWidth="1"/>
    <col min="3" max="7" width="11.7890625" customWidth="1"/>
    <col min="8" max="8" width="1.64453125" customWidth="1"/>
    <col min="9" max="9" width="68.50390625" customWidth="1"/>
  </cols>
  <sheetData>
    <row r="1" ht="8" customHeight="1"/>
    <row r="2">
      <c r="B2" t="s" s="146">
        <v>0</v>
      </c>
      <c r="C2" s="2"/>
      <c r="D2" s="2"/>
      <c r="E2" s="2"/>
      <c r="F2" t="str" s="203">
        <f>$D$5</f>
        <v>Base Case</v>
      </c>
      <c r="G2" s="2"/>
      <c r="H2" s="2"/>
      <c r="I2" s="2"/>
    </row>
    <row r="3">
      <c r="B3" t="s" s="4">
        <v>1</v>
      </c>
    </row>
    <row r="5">
      <c r="B5" t="s" s="5">
        <v>2</v>
      </c>
      <c r="C5" s="138">
        <v>1</v>
      </c>
      <c r="D5" t="str" s="5">
        <f>INDEX($C$6:$E$6,$C$5)&amp;" Case"</f>
        <v>Base Case</v>
      </c>
    </row>
    <row r="6">
      <c r="B6" t="s" s="5">
        <v>3</v>
      </c>
      <c r="C6" t="s" s="7">
        <v>4</v>
      </c>
      <c r="D6" t="s" s="7">
        <v>5</v>
      </c>
      <c r="E6" t="s" s="7">
        <v>6</v>
      </c>
    </row>
    <row r="8">
      <c r="B8" t="s" s="101">
        <v>463</v>
      </c>
      <c r="C8" s="179">
        <f>Model!G5</f>
        <v>46538</v>
      </c>
      <c r="D8" s="179">
        <f>Model!H5</f>
        <v>46904</v>
      </c>
      <c r="E8" s="179">
        <f>Model!I5</f>
        <v>47269</v>
      </c>
      <c r="F8" s="179">
        <f>Model!J5</f>
        <v>47634</v>
      </c>
      <c r="G8" s="179">
        <f>Model!K5</f>
        <v>47999</v>
      </c>
      <c r="H8" s="144"/>
      <c r="I8" t="s" s="144">
        <v>8</v>
      </c>
    </row>
    <row r="9">
      <c r="B9" t="s" s="101">
        <v>464</v>
      </c>
      <c r="C9" s="180">
        <f>Model!G6</f>
        <v>46538</v>
      </c>
      <c r="D9" s="180">
        <f>Model!H6</f>
        <v>46904</v>
      </c>
      <c r="E9" s="180">
        <f>Model!I6</f>
        <v>47269</v>
      </c>
      <c r="F9" s="180">
        <f>Model!J6</f>
        <v>47634</v>
      </c>
      <c r="G9" s="180">
        <f>Model!K6</f>
        <v>47999</v>
      </c>
      <c r="H9" s="60"/>
      <c r="I9" s="60"/>
    </row>
    <row r="10">
      <c r="B10" t="s" s="56">
        <v>10</v>
      </c>
      <c r="C10" s="56"/>
      <c r="D10" s="56"/>
      <c r="E10" s="56"/>
      <c r="F10" s="56"/>
      <c r="G10" s="56"/>
      <c r="I10" s="56"/>
    </row>
    <row r="11">
      <c r="B11" t="s" s="12">
        <v>11</v>
      </c>
      <c r="C11" s="13">
        <f>CHOOSE($C$5,C13,C12,C14)</f>
        <v>-0.02</v>
      </c>
      <c r="D11" s="13">
        <f>CHOOSE($C$5,D13,D12,D14)</f>
        <v>0.04</v>
      </c>
      <c r="E11" s="13">
        <f>CHOOSE($C$5,E13,E12,E14)</f>
        <v>0.05</v>
      </c>
      <c r="F11" s="13">
        <f>CHOOSE($C$5,F13,F12,F14)</f>
        <v>0.05</v>
      </c>
      <c r="G11" s="13">
        <f>CHOOSE($C$5,G13,G12,G14)</f>
        <v>0.05</v>
      </c>
      <c r="I11" t="s">
        <v>12</v>
      </c>
    </row>
    <row r="12">
      <c r="B12" t="s" s="14">
        <v>5</v>
      </c>
      <c r="C12" s="139">
        <v>0</v>
      </c>
      <c r="D12" s="139">
        <v>0.06</v>
      </c>
      <c r="E12" s="139">
        <v>0.06</v>
      </c>
      <c r="F12" s="139">
        <v>0.06</v>
      </c>
      <c r="G12" s="139">
        <v>0.06</v>
      </c>
    </row>
    <row r="13">
      <c r="B13" t="s" s="14">
        <v>4</v>
      </c>
      <c r="C13" s="139">
        <v>-0.02</v>
      </c>
      <c r="D13" s="139">
        <v>0.04</v>
      </c>
      <c r="E13" s="139">
        <v>0.05</v>
      </c>
      <c r="F13" s="139">
        <v>0.05</v>
      </c>
      <c r="G13" s="139">
        <v>0.05</v>
      </c>
    </row>
    <row r="14">
      <c r="B14" t="s" s="14">
        <v>6</v>
      </c>
      <c r="C14" s="139">
        <v>-0.04</v>
      </c>
      <c r="D14" s="139">
        <v>0</v>
      </c>
      <c r="E14" s="139">
        <v>0.02</v>
      </c>
      <c r="F14" s="139">
        <v>0.03</v>
      </c>
      <c r="G14" s="139">
        <v>0.03</v>
      </c>
    </row>
    <row r="15">
      <c r="B15" t="s" s="12">
        <v>13</v>
      </c>
      <c r="C15" s="13">
        <f>CHOOSE($C$5,C17,C16,C18)</f>
        <v>-0.08</v>
      </c>
      <c r="D15" s="13">
        <f>CHOOSE($C$5,D17,D16,D18)</f>
        <v>0.03</v>
      </c>
      <c r="E15" s="13">
        <f>CHOOSE($C$5,E17,E16,E18)</f>
        <v>0.05</v>
      </c>
      <c r="F15" s="13">
        <f>CHOOSE($C$5,F17,F16,F18)</f>
        <v>0.05</v>
      </c>
      <c r="G15" s="13">
        <f>CHOOSE($C$5,G17,G16,G18)</f>
        <v>0.05</v>
      </c>
      <c r="I15" t="s">
        <v>14</v>
      </c>
    </row>
    <row r="16">
      <c r="B16" t="s" s="14">
        <v>5</v>
      </c>
      <c r="C16" s="139">
        <v>-0.06</v>
      </c>
      <c r="D16" s="139">
        <v>0.05</v>
      </c>
      <c r="E16" s="139">
        <v>0.06</v>
      </c>
      <c r="F16" s="139">
        <v>0.06</v>
      </c>
      <c r="G16" s="139">
        <v>0.06</v>
      </c>
    </row>
    <row r="17">
      <c r="B17" t="s" s="14">
        <v>4</v>
      </c>
      <c r="C17" s="139">
        <v>-0.08</v>
      </c>
      <c r="D17" s="139">
        <v>0.03</v>
      </c>
      <c r="E17" s="139">
        <v>0.05</v>
      </c>
      <c r="F17" s="139">
        <v>0.05</v>
      </c>
      <c r="G17" s="139">
        <v>0.05</v>
      </c>
    </row>
    <row r="18">
      <c r="B18" t="s" s="14">
        <v>6</v>
      </c>
      <c r="C18" s="139">
        <v>-0.11</v>
      </c>
      <c r="D18" s="139">
        <v>0</v>
      </c>
      <c r="E18" s="139">
        <v>0.02</v>
      </c>
      <c r="F18" s="139">
        <v>0.03</v>
      </c>
      <c r="G18" s="139">
        <v>0.03</v>
      </c>
    </row>
    <row r="19">
      <c r="B19" t="s" s="12">
        <v>15</v>
      </c>
      <c r="C19" s="13">
        <f>CHOOSE($C$5,C21,C20,C22)</f>
        <v>-0.25</v>
      </c>
      <c r="D19" s="13">
        <f>CHOOSE($C$5,D21,D20,D22)</f>
        <v>-0.05</v>
      </c>
      <c r="E19" s="13">
        <f>CHOOSE($C$5,E21,E20,E22)</f>
        <v>0.03</v>
      </c>
      <c r="F19" s="13">
        <f>CHOOSE($C$5,F21,F20,F22)</f>
        <v>0.05</v>
      </c>
      <c r="G19" s="13">
        <f>CHOOSE($C$5,G21,G20,G22)</f>
        <v>0.05</v>
      </c>
      <c r="I19" t="s">
        <v>16</v>
      </c>
    </row>
    <row r="20">
      <c r="B20" t="s" s="14">
        <v>5</v>
      </c>
      <c r="C20" s="139">
        <v>-0.2</v>
      </c>
      <c r="D20" s="139">
        <v>0.02</v>
      </c>
      <c r="E20" s="139">
        <v>0.06</v>
      </c>
      <c r="F20" s="139">
        <v>0.07</v>
      </c>
      <c r="G20" s="139">
        <v>0.07</v>
      </c>
    </row>
    <row r="21">
      <c r="B21" t="s" s="14">
        <v>4</v>
      </c>
      <c r="C21" s="139">
        <v>-0.25</v>
      </c>
      <c r="D21" s="139">
        <v>-0.05</v>
      </c>
      <c r="E21" s="139">
        <v>0.03</v>
      </c>
      <c r="F21" s="139">
        <v>0.05</v>
      </c>
      <c r="G21" s="139">
        <v>0.05</v>
      </c>
    </row>
    <row r="22">
      <c r="B22" t="s" s="14">
        <v>6</v>
      </c>
      <c r="C22" s="139">
        <v>-0.3</v>
      </c>
      <c r="D22" s="139">
        <v>-0.1</v>
      </c>
      <c r="E22" s="139">
        <v>0</v>
      </c>
      <c r="F22" s="139">
        <v>0.02</v>
      </c>
      <c r="G22" s="139">
        <v>0.02</v>
      </c>
    </row>
    <row r="23">
      <c r="B23" t="s" s="12">
        <v>17</v>
      </c>
      <c r="C23" s="13">
        <f>CHOOSE($C$5,C25,C24,C26)</f>
        <v>-0.06</v>
      </c>
      <c r="D23" s="13">
        <f>CHOOSE($C$5,D25,D24,D26)</f>
        <v>0.03</v>
      </c>
      <c r="E23" s="13">
        <f>CHOOSE($C$5,E25,E24,E26)</f>
        <v>0.05</v>
      </c>
      <c r="F23" s="13">
        <f>CHOOSE($C$5,F25,F24,F26)</f>
        <v>0.06</v>
      </c>
      <c r="G23" s="13">
        <f>CHOOSE($C$5,G25,G24,G26)</f>
        <v>0.06</v>
      </c>
      <c r="I23" t="s">
        <v>18</v>
      </c>
    </row>
    <row r="24">
      <c r="B24" t="s" s="14">
        <v>5</v>
      </c>
      <c r="C24" s="139">
        <v>-0.04</v>
      </c>
      <c r="D24" s="139">
        <v>0.05</v>
      </c>
      <c r="E24" s="139">
        <v>0.07</v>
      </c>
      <c r="F24" s="139">
        <v>0.07</v>
      </c>
      <c r="G24" s="139">
        <v>0.07</v>
      </c>
    </row>
    <row r="25">
      <c r="B25" t="s" s="14">
        <v>4</v>
      </c>
      <c r="C25" s="139">
        <v>-0.06</v>
      </c>
      <c r="D25" s="139">
        <v>0.03</v>
      </c>
      <c r="E25" s="139">
        <v>0.05</v>
      </c>
      <c r="F25" s="139">
        <v>0.06</v>
      </c>
      <c r="G25" s="139">
        <v>0.06</v>
      </c>
    </row>
    <row r="26">
      <c r="B26" t="s" s="14">
        <v>6</v>
      </c>
      <c r="C26" s="139">
        <v>-0.09</v>
      </c>
      <c r="D26" s="139">
        <v>0</v>
      </c>
      <c r="E26" s="139">
        <v>0.02</v>
      </c>
      <c r="F26" s="139">
        <v>0.03</v>
      </c>
      <c r="G26" s="139">
        <v>0.03</v>
      </c>
    </row>
    <row r="27">
      <c r="B27" t="s" s="12">
        <v>19</v>
      </c>
      <c r="C27" s="13">
        <f>CHOOSE($C$5,C29,C28,C30)</f>
        <v>-0.3</v>
      </c>
      <c r="D27" s="13">
        <f>CHOOSE($C$5,D29,D28,D30)</f>
        <v>-0.05</v>
      </c>
      <c r="E27" s="13">
        <f>CHOOSE($C$5,E29,E28,E30)</f>
        <v>0</v>
      </c>
      <c r="F27" s="13">
        <f>CHOOSE($C$5,F29,F28,F30)</f>
        <v>0.02</v>
      </c>
      <c r="G27" s="13">
        <f>CHOOSE($C$5,G29,G28,G30)</f>
        <v>0.03</v>
      </c>
      <c r="I27" t="s">
        <v>20</v>
      </c>
    </row>
    <row r="28">
      <c r="B28" t="s" s="14">
        <v>5</v>
      </c>
      <c r="C28" s="139">
        <v>-0.25</v>
      </c>
      <c r="D28" s="139">
        <v>0</v>
      </c>
      <c r="E28" s="139">
        <v>0.03</v>
      </c>
      <c r="F28" s="139">
        <v>0.04</v>
      </c>
      <c r="G28" s="139">
        <v>0.04</v>
      </c>
    </row>
    <row r="29">
      <c r="B29" t="s" s="14">
        <v>4</v>
      </c>
      <c r="C29" s="139">
        <v>-0.3</v>
      </c>
      <c r="D29" s="139">
        <v>-0.05</v>
      </c>
      <c r="E29" s="139">
        <v>0</v>
      </c>
      <c r="F29" s="139">
        <v>0.02</v>
      </c>
      <c r="G29" s="139">
        <v>0.03</v>
      </c>
    </row>
    <row r="30">
      <c r="B30" t="s" s="14">
        <v>6</v>
      </c>
      <c r="C30" s="139">
        <v>-0.35</v>
      </c>
      <c r="D30" s="139">
        <v>-0.1</v>
      </c>
      <c r="E30" s="139">
        <v>-0.05</v>
      </c>
      <c r="F30" s="139">
        <v>0</v>
      </c>
      <c r="G30" s="139">
        <v>0</v>
      </c>
    </row>
    <row r="31">
      <c r="B31" t="s" s="56">
        <v>21</v>
      </c>
      <c r="C31" s="56"/>
      <c r="D31" s="56"/>
      <c r="E31" s="56"/>
      <c r="F31" s="56"/>
      <c r="G31" s="56"/>
      <c r="I31" s="56"/>
    </row>
    <row r="32">
      <c r="B32" t="s" s="12">
        <v>11</v>
      </c>
      <c r="C32" s="13">
        <f>CHOOSE($C$5,C34,C33,C35)</f>
        <v>0.245</v>
      </c>
      <c r="D32" s="13">
        <f>CHOOSE($C$5,D34,D33,D35)</f>
        <v>0.255</v>
      </c>
      <c r="E32" s="13">
        <f>CHOOSE($C$5,E34,E33,E35)</f>
        <v>0.26</v>
      </c>
      <c r="F32" s="13">
        <f>CHOOSE($C$5,F34,F33,F35)</f>
        <v>0.265</v>
      </c>
      <c r="G32" s="13">
        <f>CHOOSE($C$5,G34,G33,G35)</f>
        <v>0.27</v>
      </c>
      <c r="I32" t="s">
        <v>22</v>
      </c>
    </row>
    <row r="33">
      <c r="B33" t="s" s="14">
        <v>5</v>
      </c>
      <c r="C33" s="139">
        <v>0.255</v>
      </c>
      <c r="D33" s="139">
        <v>0.27</v>
      </c>
      <c r="E33" s="139">
        <v>0.28</v>
      </c>
      <c r="F33" s="139">
        <v>0.285</v>
      </c>
      <c r="G33" s="139">
        <v>0.29</v>
      </c>
    </row>
    <row r="34">
      <c r="B34" t="s" s="14">
        <v>4</v>
      </c>
      <c r="C34" s="139">
        <v>0.245</v>
      </c>
      <c r="D34" s="139">
        <v>0.255</v>
      </c>
      <c r="E34" s="139">
        <v>0.26</v>
      </c>
      <c r="F34" s="139">
        <v>0.265</v>
      </c>
      <c r="G34" s="139">
        <v>0.27</v>
      </c>
    </row>
    <row r="35">
      <c r="B35" t="s" s="14">
        <v>6</v>
      </c>
      <c r="C35" s="139">
        <v>0.235</v>
      </c>
      <c r="D35" s="139">
        <v>0.235</v>
      </c>
      <c r="E35" s="139">
        <v>0.24</v>
      </c>
      <c r="F35" s="139">
        <v>0.24</v>
      </c>
      <c r="G35" s="139">
        <v>0.245</v>
      </c>
    </row>
    <row r="36">
      <c r="B36" t="s" s="12">
        <v>13</v>
      </c>
      <c r="C36" s="13">
        <f>CHOOSE($C$5,C38,C37,C39)</f>
        <v>0.175</v>
      </c>
      <c r="D36" s="13">
        <f>CHOOSE($C$5,D38,D37,D39)</f>
        <v>0.185</v>
      </c>
      <c r="E36" s="13">
        <f>CHOOSE($C$5,E38,E37,E39)</f>
        <v>0.19</v>
      </c>
      <c r="F36" s="13">
        <f>CHOOSE($C$5,F38,F37,F39)</f>
        <v>0.195</v>
      </c>
      <c r="G36" s="13">
        <f>CHOOSE($C$5,G38,G37,G39)</f>
        <v>0.2</v>
      </c>
      <c r="I36" t="s">
        <v>23</v>
      </c>
    </row>
    <row r="37">
      <c r="B37" t="s" s="14">
        <v>5</v>
      </c>
      <c r="C37" s="139">
        <v>0.185</v>
      </c>
      <c r="D37" s="139">
        <v>0.2</v>
      </c>
      <c r="E37" s="139">
        <v>0.21</v>
      </c>
      <c r="F37" s="139">
        <v>0.22</v>
      </c>
      <c r="G37" s="139">
        <v>0.225</v>
      </c>
    </row>
    <row r="38">
      <c r="B38" t="s" s="14">
        <v>4</v>
      </c>
      <c r="C38" s="139">
        <v>0.175</v>
      </c>
      <c r="D38" s="139">
        <v>0.185</v>
      </c>
      <c r="E38" s="139">
        <v>0.19</v>
      </c>
      <c r="F38" s="139">
        <v>0.195</v>
      </c>
      <c r="G38" s="139">
        <v>0.2</v>
      </c>
    </row>
    <row r="39">
      <c r="B39" t="s" s="14">
        <v>6</v>
      </c>
      <c r="C39" s="139">
        <v>0.165</v>
      </c>
      <c r="D39" s="139">
        <v>0.165</v>
      </c>
      <c r="E39" s="139">
        <v>0.17</v>
      </c>
      <c r="F39" s="139">
        <v>0.17</v>
      </c>
      <c r="G39" s="139">
        <v>0.175</v>
      </c>
    </row>
    <row r="40">
      <c r="B40" t="s" s="12">
        <v>15</v>
      </c>
      <c r="C40" s="13">
        <f>CHOOSE($C$5,C42,C41,C43)</f>
        <v>0.15</v>
      </c>
      <c r="D40" s="13">
        <f>CHOOSE($C$5,D42,D41,D43)</f>
        <v>0.16</v>
      </c>
      <c r="E40" s="13">
        <f>CHOOSE($C$5,E42,E41,E43)</f>
        <v>0.17</v>
      </c>
      <c r="F40" s="13">
        <f>CHOOSE($C$5,F42,F41,F43)</f>
        <v>0.18</v>
      </c>
      <c r="G40" s="13">
        <f>CHOOSE($C$5,G42,G41,G43)</f>
        <v>0.19</v>
      </c>
      <c r="I40" t="s">
        <v>24</v>
      </c>
    </row>
    <row r="41">
      <c r="B41" t="s" s="14">
        <v>5</v>
      </c>
      <c r="C41" s="139">
        <v>0.165</v>
      </c>
      <c r="D41" s="139">
        <v>0.18</v>
      </c>
      <c r="E41" s="139">
        <v>0.195</v>
      </c>
      <c r="F41" s="139">
        <v>0.21</v>
      </c>
      <c r="G41" s="139">
        <v>0.22</v>
      </c>
    </row>
    <row r="42">
      <c r="B42" t="s" s="14">
        <v>4</v>
      </c>
      <c r="C42" s="139">
        <v>0.15</v>
      </c>
      <c r="D42" s="139">
        <v>0.16</v>
      </c>
      <c r="E42" s="139">
        <v>0.17</v>
      </c>
      <c r="F42" s="139">
        <v>0.18</v>
      </c>
      <c r="G42" s="139">
        <v>0.19</v>
      </c>
    </row>
    <row r="43">
      <c r="B43" t="s" s="14">
        <v>6</v>
      </c>
      <c r="C43" s="139">
        <v>0.13</v>
      </c>
      <c r="D43" s="139">
        <v>0.13</v>
      </c>
      <c r="E43" s="139">
        <v>0.135</v>
      </c>
      <c r="F43" s="139">
        <v>0.14</v>
      </c>
      <c r="G43" s="139">
        <v>0.145</v>
      </c>
    </row>
    <row r="44">
      <c r="B44" t="s" s="12">
        <v>17</v>
      </c>
      <c r="C44" s="13">
        <f>CHOOSE($C$5,C46,C45,C47)</f>
        <v>0.195</v>
      </c>
      <c r="D44" s="13">
        <f>CHOOSE($C$5,D46,D45,D47)</f>
        <v>0.205</v>
      </c>
      <c r="E44" s="13">
        <f>CHOOSE($C$5,E46,E45,E47)</f>
        <v>0.215</v>
      </c>
      <c r="F44" s="13">
        <f>CHOOSE($C$5,F46,F45,F47)</f>
        <v>0.22</v>
      </c>
      <c r="G44" s="13">
        <f>CHOOSE($C$5,G46,G45,G47)</f>
        <v>0.225</v>
      </c>
      <c r="I44" t="s">
        <v>25</v>
      </c>
    </row>
    <row r="45">
      <c r="B45" t="s" s="14">
        <v>5</v>
      </c>
      <c r="C45" s="139">
        <v>0.205</v>
      </c>
      <c r="D45" s="139">
        <v>0.22</v>
      </c>
      <c r="E45" s="139">
        <v>0.23</v>
      </c>
      <c r="F45" s="139">
        <v>0.24</v>
      </c>
      <c r="G45" s="139">
        <v>0.245</v>
      </c>
    </row>
    <row r="46">
      <c r="B46" t="s" s="14">
        <v>4</v>
      </c>
      <c r="C46" s="139">
        <v>0.195</v>
      </c>
      <c r="D46" s="139">
        <v>0.205</v>
      </c>
      <c r="E46" s="139">
        <v>0.215</v>
      </c>
      <c r="F46" s="139">
        <v>0.22</v>
      </c>
      <c r="G46" s="139">
        <v>0.225</v>
      </c>
    </row>
    <row r="47">
      <c r="B47" t="s" s="14">
        <v>6</v>
      </c>
      <c r="C47" s="139">
        <v>0.185</v>
      </c>
      <c r="D47" s="139">
        <v>0.185</v>
      </c>
      <c r="E47" s="139">
        <v>0.19</v>
      </c>
      <c r="F47" s="139">
        <v>0.19</v>
      </c>
      <c r="G47" s="139">
        <v>0.195</v>
      </c>
    </row>
    <row r="48">
      <c r="B48" t="s" s="12">
        <v>19</v>
      </c>
      <c r="C48" s="13">
        <f>CHOOSE($C$5,C50,C49,C51)</f>
        <v>-0.02</v>
      </c>
      <c r="D48" s="13">
        <f>CHOOSE($C$5,D50,D49,D51)</f>
        <v>0</v>
      </c>
      <c r="E48" s="13">
        <f>CHOOSE($C$5,E50,E49,E51)</f>
        <v>0.02</v>
      </c>
      <c r="F48" s="13">
        <f>CHOOSE($C$5,F50,F49,F51)</f>
        <v>0.04</v>
      </c>
      <c r="G48" s="13">
        <f>CHOOSE($C$5,G50,G49,G51)</f>
        <v>0.05</v>
      </c>
      <c r="I48" t="s">
        <v>26</v>
      </c>
    </row>
    <row r="49">
      <c r="B49" t="s" s="14">
        <v>5</v>
      </c>
      <c r="C49" s="139">
        <v>0</v>
      </c>
      <c r="D49" s="139">
        <v>0.03</v>
      </c>
      <c r="E49" s="139">
        <v>0.06</v>
      </c>
      <c r="F49" s="139">
        <v>0.08</v>
      </c>
      <c r="G49" s="139">
        <v>0.1</v>
      </c>
    </row>
    <row r="50">
      <c r="B50" t="s" s="14">
        <v>4</v>
      </c>
      <c r="C50" s="139">
        <v>-0.02</v>
      </c>
      <c r="D50" s="139">
        <v>0</v>
      </c>
      <c r="E50" s="139">
        <v>0.02</v>
      </c>
      <c r="F50" s="139">
        <v>0.04</v>
      </c>
      <c r="G50" s="139">
        <v>0.05</v>
      </c>
    </row>
    <row r="51">
      <c r="B51" t="s" s="14">
        <v>6</v>
      </c>
      <c r="C51" s="139">
        <v>-0.05</v>
      </c>
      <c r="D51" s="139">
        <v>-0.03</v>
      </c>
      <c r="E51" s="139">
        <v>-0.02</v>
      </c>
      <c r="F51" s="139">
        <v>-0.01</v>
      </c>
      <c r="G51" s="139">
        <v>0</v>
      </c>
    </row>
    <row r="52">
      <c r="B52" t="s" s="56">
        <v>27</v>
      </c>
      <c r="C52" s="56"/>
      <c r="D52" s="56"/>
      <c r="E52" s="56"/>
      <c r="F52" s="56"/>
      <c r="G52" s="56"/>
      <c r="I52" s="56"/>
    </row>
    <row r="53">
      <c r="B53" t="s" s="16">
        <v>28</v>
      </c>
      <c r="C53" s="140">
        <v>45</v>
      </c>
      <c r="D53" s="140">
        <v>45</v>
      </c>
      <c r="E53" s="140">
        <v>45</v>
      </c>
      <c r="F53" s="140">
        <v>45</v>
      </c>
      <c r="G53" s="140">
        <v>45</v>
      </c>
      <c r="I53" t="s">
        <v>29</v>
      </c>
    </row>
    <row r="54">
      <c r="B54" t="s" s="16">
        <v>30</v>
      </c>
      <c r="C54" s="141">
        <v>-4450</v>
      </c>
      <c r="D54" s="141">
        <v>-4400</v>
      </c>
      <c r="E54" s="141">
        <v>-4350</v>
      </c>
      <c r="F54" s="141">
        <v>-4350</v>
      </c>
      <c r="G54" s="141">
        <v>-4400</v>
      </c>
      <c r="I54" t="s">
        <v>31</v>
      </c>
    </row>
    <row r="55">
      <c r="B55" t="s" s="16">
        <v>32</v>
      </c>
      <c r="C55" s="141">
        <v>0</v>
      </c>
      <c r="D55" s="141">
        <v>0</v>
      </c>
      <c r="E55" s="141">
        <v>0</v>
      </c>
      <c r="F55" s="141">
        <v>0</v>
      </c>
      <c r="G55" s="141">
        <v>0</v>
      </c>
      <c r="I55" t="s">
        <v>33</v>
      </c>
    </row>
    <row r="56">
      <c r="B56" t="s" s="16">
        <v>34</v>
      </c>
      <c r="C56" s="141">
        <v>-1800</v>
      </c>
      <c r="D56" s="141">
        <v>-1750</v>
      </c>
      <c r="E56" s="141">
        <v>-1750</v>
      </c>
      <c r="F56" s="141">
        <v>-1800</v>
      </c>
      <c r="G56" s="141">
        <v>-1850</v>
      </c>
      <c r="I56" t="s">
        <v>35</v>
      </c>
    </row>
    <row r="57">
      <c r="B57" t="s" s="16">
        <v>36</v>
      </c>
      <c r="C57" s="141">
        <v>300</v>
      </c>
      <c r="D57" s="141">
        <v>250</v>
      </c>
      <c r="E57" s="141">
        <v>200</v>
      </c>
      <c r="F57" s="141">
        <v>150</v>
      </c>
      <c r="G57" s="141">
        <v>100</v>
      </c>
      <c r="I57" t="s">
        <v>37</v>
      </c>
    </row>
    <row r="58">
      <c r="B58" t="s" s="16">
        <v>38</v>
      </c>
      <c r="C58" s="139">
        <v>0.43</v>
      </c>
      <c r="D58" s="139">
        <v>0.435</v>
      </c>
      <c r="E58" s="139">
        <v>0.44</v>
      </c>
      <c r="F58" s="139">
        <v>0.445</v>
      </c>
      <c r="G58" s="139">
        <v>0.45</v>
      </c>
      <c r="I58" t="s">
        <v>39</v>
      </c>
    </row>
    <row r="59">
      <c r="B59" t="s" s="16">
        <v>40</v>
      </c>
      <c r="C59" s="139">
        <v>0.105</v>
      </c>
      <c r="D59" s="139">
        <v>0.105</v>
      </c>
      <c r="E59" s="139">
        <v>0.105</v>
      </c>
      <c r="F59" s="139">
        <v>0.105</v>
      </c>
      <c r="G59" s="139">
        <v>0.105</v>
      </c>
      <c r="I59" t="s">
        <v>41</v>
      </c>
    </row>
    <row r="60">
      <c r="B60" t="s" s="16">
        <v>42</v>
      </c>
      <c r="C60" s="141">
        <v>0</v>
      </c>
      <c r="D60" s="141">
        <v>0</v>
      </c>
      <c r="E60" s="141">
        <v>0</v>
      </c>
      <c r="F60" s="141">
        <v>0</v>
      </c>
      <c r="G60" s="141">
        <v>0</v>
      </c>
      <c r="I60" t="s">
        <v>43</v>
      </c>
    </row>
    <row r="61">
      <c r="B61" t="s" s="16">
        <v>44</v>
      </c>
      <c r="C61" s="139">
        <v>0.25</v>
      </c>
      <c r="D61" s="139">
        <v>0.23</v>
      </c>
      <c r="E61" s="139">
        <v>0.22</v>
      </c>
      <c r="F61" s="139">
        <v>0.22</v>
      </c>
      <c r="G61" s="139">
        <v>0.22</v>
      </c>
      <c r="I61" t="s">
        <v>45</v>
      </c>
    </row>
    <row r="62">
      <c r="B62" t="s" s="56">
        <v>46</v>
      </c>
      <c r="C62" s="56"/>
      <c r="D62" s="56"/>
      <c r="E62" s="56"/>
      <c r="F62" s="56"/>
      <c r="G62" s="56"/>
      <c r="I62" s="56"/>
    </row>
    <row r="63">
      <c r="B63" t="s" s="16">
        <v>47</v>
      </c>
      <c r="C63" s="140">
        <v>760</v>
      </c>
      <c r="D63" s="140">
        <v>780</v>
      </c>
      <c r="E63" s="140">
        <v>800</v>
      </c>
      <c r="F63" s="140">
        <v>830</v>
      </c>
      <c r="G63" s="140">
        <v>860</v>
      </c>
      <c r="I63" t="s">
        <v>48</v>
      </c>
    </row>
    <row r="64">
      <c r="B64" t="s" s="16">
        <v>49</v>
      </c>
      <c r="C64" s="141">
        <v>650</v>
      </c>
      <c r="D64" s="141">
        <v>680</v>
      </c>
      <c r="E64" s="141">
        <v>700</v>
      </c>
      <c r="F64" s="141">
        <v>720</v>
      </c>
      <c r="G64" s="141">
        <v>740</v>
      </c>
      <c r="I64" t="s">
        <v>50</v>
      </c>
    </row>
    <row r="65">
      <c r="B65" t="s" s="16">
        <v>51</v>
      </c>
      <c r="C65" s="141">
        <v>750</v>
      </c>
      <c r="D65" s="141">
        <v>800</v>
      </c>
      <c r="E65" s="141">
        <v>850</v>
      </c>
      <c r="F65" s="141">
        <v>900</v>
      </c>
      <c r="G65" s="141">
        <v>950</v>
      </c>
      <c r="I65" t="s">
        <v>52</v>
      </c>
    </row>
    <row r="66">
      <c r="B66" t="s" s="16">
        <v>53</v>
      </c>
      <c r="C66" s="139">
        <v>0.115</v>
      </c>
      <c r="D66" s="139">
        <v>0.11</v>
      </c>
      <c r="E66" s="139">
        <v>0.105</v>
      </c>
      <c r="F66" s="139">
        <v>0.105</v>
      </c>
      <c r="G66" s="139">
        <v>0.105</v>
      </c>
      <c r="I66" t="s">
        <v>54</v>
      </c>
    </row>
    <row r="67">
      <c r="B67" t="s" s="16">
        <v>55</v>
      </c>
      <c r="C67" s="139">
        <v>0.28</v>
      </c>
      <c r="D67" s="139">
        <v>0.275</v>
      </c>
      <c r="E67" s="139">
        <v>0.27</v>
      </c>
      <c r="F67" s="139">
        <v>0.27</v>
      </c>
      <c r="G67" s="139">
        <v>0.27</v>
      </c>
      <c r="I67" t="s">
        <v>56</v>
      </c>
    </row>
    <row r="68">
      <c r="B68" t="s" s="16">
        <v>57</v>
      </c>
      <c r="C68" s="139">
        <v>0.046</v>
      </c>
      <c r="D68" s="139">
        <v>0.046</v>
      </c>
      <c r="E68" s="139">
        <v>0.046</v>
      </c>
      <c r="F68" s="139">
        <v>0.046</v>
      </c>
      <c r="G68" s="139">
        <v>0.046</v>
      </c>
      <c r="I68" t="s">
        <v>58</v>
      </c>
    </row>
    <row r="69">
      <c r="B69" t="s" s="16">
        <v>59</v>
      </c>
      <c r="C69" s="139">
        <v>0.135</v>
      </c>
      <c r="D69" s="139">
        <v>0.135</v>
      </c>
      <c r="E69" s="139">
        <v>0.135</v>
      </c>
      <c r="F69" s="139">
        <v>0.135</v>
      </c>
      <c r="G69" s="139">
        <v>0.135</v>
      </c>
      <c r="I69" t="s">
        <v>60</v>
      </c>
    </row>
    <row r="70">
      <c r="B70" t="s" s="16">
        <v>61</v>
      </c>
      <c r="C70" s="139">
        <v>0.125</v>
      </c>
      <c r="D70" s="139">
        <v>0.125</v>
      </c>
      <c r="E70" s="139">
        <v>0.125</v>
      </c>
      <c r="F70" s="139">
        <v>0.125</v>
      </c>
      <c r="G70" s="139">
        <v>0.125</v>
      </c>
      <c r="I70" t="s">
        <v>62</v>
      </c>
    </row>
    <row r="71">
      <c r="B71" t="s" s="56">
        <v>63</v>
      </c>
      <c r="C71" s="56"/>
      <c r="D71" s="56"/>
      <c r="E71" s="56"/>
      <c r="F71" s="56"/>
      <c r="G71" s="56"/>
      <c r="I71" s="56"/>
    </row>
    <row r="72">
      <c r="B72" t="s" s="16">
        <v>64</v>
      </c>
      <c r="C72" s="140">
        <v>1000</v>
      </c>
      <c r="D72" s="140">
        <v>0</v>
      </c>
      <c r="E72" s="140">
        <v>0</v>
      </c>
      <c r="F72" s="140">
        <v>1500</v>
      </c>
      <c r="G72" s="140">
        <v>0</v>
      </c>
      <c r="I72" t="s">
        <v>65</v>
      </c>
    </row>
    <row r="73">
      <c r="B73" t="s" s="16">
        <v>66</v>
      </c>
      <c r="C73" s="141">
        <v>2000</v>
      </c>
      <c r="D73" s="141">
        <v>0</v>
      </c>
      <c r="E73" s="141">
        <v>0</v>
      </c>
      <c r="F73" s="141">
        <v>1500</v>
      </c>
      <c r="G73" s="141">
        <v>0</v>
      </c>
      <c r="I73" t="s">
        <v>67</v>
      </c>
    </row>
    <row r="74">
      <c r="B74" t="s" s="16">
        <v>68</v>
      </c>
      <c r="C74" s="139">
        <v>0.032</v>
      </c>
      <c r="D74" s="139">
        <v>0.034</v>
      </c>
      <c r="E74" s="139">
        <v>0.035</v>
      </c>
      <c r="F74" s="139">
        <v>0.036</v>
      </c>
      <c r="G74" s="139">
        <v>0.037</v>
      </c>
      <c r="I74" t="s">
        <v>69</v>
      </c>
    </row>
    <row r="75">
      <c r="B75" t="s" s="16">
        <v>70</v>
      </c>
      <c r="C75" s="139">
        <v>0.032</v>
      </c>
      <c r="D75" s="139">
        <v>0.03</v>
      </c>
      <c r="E75" s="139">
        <v>0.03</v>
      </c>
      <c r="F75" s="139">
        <v>0.03</v>
      </c>
      <c r="G75" s="139">
        <v>0.03</v>
      </c>
      <c r="I75" t="s">
        <v>71</v>
      </c>
    </row>
    <row r="76">
      <c r="B76" t="s" s="16">
        <v>72</v>
      </c>
      <c r="C76" s="141">
        <v>6</v>
      </c>
      <c r="D76" s="141">
        <v>6</v>
      </c>
      <c r="E76" s="141">
        <v>6</v>
      </c>
      <c r="F76" s="141">
        <v>6</v>
      </c>
      <c r="G76" s="141">
        <v>6</v>
      </c>
      <c r="I76" t="s">
        <v>73</v>
      </c>
    </row>
    <row r="77">
      <c r="B77" t="s" s="16">
        <v>74</v>
      </c>
      <c r="C77" s="141">
        <v>200</v>
      </c>
      <c r="D77" s="141">
        <v>200</v>
      </c>
      <c r="E77" s="141">
        <v>200</v>
      </c>
      <c r="F77" s="141">
        <v>200</v>
      </c>
      <c r="G77" s="141">
        <v>200</v>
      </c>
      <c r="I77" t="s">
        <v>75</v>
      </c>
    </row>
    <row r="78">
      <c r="B78" t="s" s="16">
        <v>76</v>
      </c>
      <c r="C78" s="141">
        <v>0</v>
      </c>
      <c r="D78" s="141">
        <v>500</v>
      </c>
      <c r="E78" s="141">
        <v>1500</v>
      </c>
      <c r="F78" s="141">
        <v>2000</v>
      </c>
      <c r="G78" s="141">
        <v>2500</v>
      </c>
      <c r="I78" t="s">
        <v>77</v>
      </c>
    </row>
    <row r="79">
      <c r="B79" t="s" s="16">
        <v>78</v>
      </c>
      <c r="C79" s="142">
        <v>36</v>
      </c>
      <c r="D79" s="142">
        <v>40</v>
      </c>
      <c r="E79" s="142">
        <v>45</v>
      </c>
      <c r="F79" s="142">
        <v>50</v>
      </c>
      <c r="G79" s="142">
        <v>55</v>
      </c>
      <c r="I79" t="s">
        <v>79</v>
      </c>
    </row>
    <row r="80">
      <c r="B80" t="s" s="16">
        <v>80</v>
      </c>
      <c r="C80" s="142">
        <v>1.67</v>
      </c>
      <c r="D80" s="142">
        <v>1.71</v>
      </c>
      <c r="E80" s="142">
        <v>1.75</v>
      </c>
      <c r="F80" s="142">
        <v>1.79</v>
      </c>
      <c r="G80" s="142">
        <v>1.83</v>
      </c>
      <c r="I80" t="s">
        <v>81</v>
      </c>
    </row>
    <row r="81">
      <c r="B81" t="s" s="16">
        <v>82</v>
      </c>
      <c r="C81" s="141">
        <v>-90</v>
      </c>
      <c r="D81" s="141">
        <v>-90</v>
      </c>
      <c r="E81" s="141">
        <v>-90</v>
      </c>
      <c r="F81" s="141">
        <v>-90</v>
      </c>
      <c r="G81" s="141">
        <v>-90</v>
      </c>
      <c r="I81" t="s">
        <v>83</v>
      </c>
    </row>
    <row r="82">
      <c r="B82" t="s" s="16">
        <v>84</v>
      </c>
      <c r="C82" s="141">
        <v>1</v>
      </c>
      <c r="D82" s="141">
        <v>1</v>
      </c>
      <c r="E82" s="141">
        <v>1</v>
      </c>
      <c r="F82" s="141">
        <v>1</v>
      </c>
      <c r="G82" s="141">
        <v>1</v>
      </c>
      <c r="I82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40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" sqref="A1"/>
    </sheetView>
  </sheetViews>
  <cols>
    <col min="1" max="1" width="2.21875" customWidth="1"/>
    <col min="2" max="2" width="38.07421875" customWidth="1"/>
    <col min="3" max="11" width="11.7890625" customWidth="1"/>
    <col min="12" max="12" width="1.64453125" customWidth="1"/>
    <col min="13" max="14" width="10.359375" customWidth="1"/>
    <col min="15" max="15" width="1.64453125" customWidth="1"/>
    <col min="16" max="17" width="11.7890625" customWidth="1"/>
    <col min="18" max="18" width="1.64453125" customWidth="1"/>
    <col min="19" max="19" width="18.21875" customWidth="1"/>
  </cols>
  <sheetData>
    <row r="1" ht="8" customHeight="1"/>
    <row r="2">
      <c r="B2" t="s" s="146">
        <v>86</v>
      </c>
      <c r="C2" s="2"/>
      <c r="D2" s="2"/>
      <c r="E2" s="2"/>
      <c r="F2" s="2"/>
      <c r="G2" t="str" s="203">
        <f>Cases!$D$5</f>
        <v>Base Case</v>
      </c>
      <c r="H2" s="2"/>
      <c r="I2" s="2"/>
      <c r="J2" t="s" s="20">
        <v>87</v>
      </c>
      <c r="K2" t="b" s="21">
        <f>AND(ROUND(SUMPRODUCT(ABS(C53:K53)+ABS(C119:K119)),3)=0,ROUND(SUMPRODUCT(ABS(G120:K120)),3)=0)</f>
        <v>1</v>
      </c>
      <c r="L2" s="2"/>
      <c r="M2" s="2"/>
      <c r="N2" s="2"/>
      <c r="O2" s="2"/>
      <c r="P2" s="2"/>
      <c r="Q2" s="2"/>
      <c r="R2" s="2"/>
      <c r="S2" s="2"/>
    </row>
    <row r="3">
      <c r="B3" t="s" s="4">
        <v>88</v>
      </c>
    </row>
    <row r="5">
      <c r="B5" t="s" s="101">
        <v>463</v>
      </c>
      <c r="C5" s="153">
        <f>C6</f>
        <v>45443</v>
      </c>
      <c r="D5" s="153">
        <f>D6</f>
        <v>45808</v>
      </c>
      <c r="E5" s="153">
        <f>E6</f>
        <v>46173</v>
      </c>
      <c r="F5" t="s" s="144">
        <v>89</v>
      </c>
      <c r="G5" s="143">
        <f>G6</f>
        <v>46538</v>
      </c>
      <c r="H5" s="143">
        <f>H6</f>
        <v>46904</v>
      </c>
      <c r="I5" s="143">
        <f>I6</f>
        <v>47269</v>
      </c>
      <c r="J5" s="143">
        <f>J6</f>
        <v>47634</v>
      </c>
      <c r="K5" s="143">
        <f>K6</f>
        <v>47999</v>
      </c>
      <c r="L5" s="144"/>
      <c r="M5" t="s" s="144">
        <v>90</v>
      </c>
      <c r="N5" t="s" s="144">
        <v>91</v>
      </c>
      <c r="O5" s="144"/>
      <c r="P5" t="s" s="144">
        <v>92</v>
      </c>
      <c r="Q5" t="s" s="144">
        <v>93</v>
      </c>
      <c r="R5" s="144"/>
      <c r="S5" t="s" s="144">
        <v>8</v>
      </c>
    </row>
    <row r="6">
      <c r="B6" t="s" s="101">
        <v>464</v>
      </c>
      <c r="C6" s="145">
        <f>DATE(2024,5,31)</f>
        <v>45443</v>
      </c>
      <c r="D6" s="145">
        <f>EOMONTH(C6,12)</f>
        <v>45808</v>
      </c>
      <c r="E6" s="145">
        <f>EOMONTH(D6,12)</f>
        <v>46173</v>
      </c>
      <c r="F6" s="145">
        <f>Q6</f>
        <v>46265</v>
      </c>
      <c r="G6" s="145">
        <f>EOMONTH(E6,12)</f>
        <v>46538</v>
      </c>
      <c r="H6" s="145">
        <f>EOMONTH(G6,12)</f>
        <v>46904</v>
      </c>
      <c r="I6" s="145">
        <f>EOMONTH(H6,12)</f>
        <v>47269</v>
      </c>
      <c r="J6" s="145">
        <f>EOMONTH(I6,12)</f>
        <v>47634</v>
      </c>
      <c r="K6" s="145">
        <f>EOMONTH(J6,12)</f>
        <v>47999</v>
      </c>
      <c r="L6" s="60"/>
      <c r="M6" t="s" s="60">
        <v>94</v>
      </c>
      <c r="N6" t="s" s="60">
        <v>94</v>
      </c>
      <c r="O6" s="60"/>
      <c r="P6" s="145">
        <f>EOMONTH(D6,3)</f>
        <v>45900</v>
      </c>
      <c r="Q6" s="145">
        <f>EOMONTH(E6,3)</f>
        <v>46265</v>
      </c>
      <c r="R6" s="60"/>
      <c r="S6" s="60"/>
    </row>
    <row r="7">
      <c r="B7" t="s" s="56">
        <v>95</v>
      </c>
      <c r="C7" s="56"/>
      <c r="D7" s="56"/>
      <c r="E7" s="56"/>
      <c r="F7" s="56"/>
      <c r="G7" s="56"/>
      <c r="H7" s="56"/>
      <c r="I7" s="56"/>
      <c r="J7" s="56"/>
      <c r="K7" s="56"/>
      <c r="M7" s="56"/>
      <c r="N7" s="56"/>
      <c r="P7" s="56"/>
      <c r="Q7" s="56"/>
      <c r="S7" s="56"/>
    </row>
    <row r="8">
      <c r="B8" t="s" s="16">
        <v>11</v>
      </c>
      <c r="C8" s="17">
        <v>21396</v>
      </c>
      <c r="D8" s="17">
        <v>19572</v>
      </c>
      <c r="E8" s="17">
        <v>20511</v>
      </c>
      <c r="F8" s="26">
        <f>E8+Q8-P8</f>
        <v>20618</v>
      </c>
      <c r="G8" s="147">
        <f>E8*(1+Cases!C11)</f>
        <v>20100.78</v>
      </c>
      <c r="H8" s="147">
        <f>G8*(1+Cases!D11)</f>
        <v>20904.8112</v>
      </c>
      <c r="I8" s="147">
        <f>H8*(1+Cases!E11)</f>
        <v>21950.051760000002</v>
      </c>
      <c r="J8" s="147">
        <f>I8*(1+Cases!F11)</f>
        <v>23047.554348</v>
      </c>
      <c r="K8" s="147">
        <f>J8*(1+Cases!G11)</f>
        <v>24199.932065400004</v>
      </c>
      <c r="L8" s="28"/>
      <c r="M8" s="29">
        <f>IFERROR((E8/C8)^(1/(YEAR(E$5)-YEAR(C$5)))-1,"n.m.")</f>
        <v>-0.020899837383722253</v>
      </c>
      <c r="N8" s="29">
        <f>IFERROR((K8/E8)^(1/(YEAR(K$5)-YEAR(E$5)))-1,"n.m.")</f>
        <v>0.03363084889588097</v>
      </c>
      <c r="O8" s="28"/>
      <c r="P8" s="17">
        <v>5020</v>
      </c>
      <c r="Q8" s="17">
        <v>5127</v>
      </c>
      <c r="S8" t="s">
        <v>96</v>
      </c>
    </row>
    <row r="9">
      <c r="B9" t="s" s="30">
        <v>97</v>
      </c>
      <c r="C9" t="s" s="31">
        <v>98</v>
      </c>
      <c r="D9" s="31">
        <f>D8/C8-1</f>
        <v>-0.08524957936062816</v>
      </c>
      <c r="E9" s="31">
        <f>E8/D8-1</f>
        <v>0.047976701410177736</v>
      </c>
      <c r="F9" t="s" s="31">
        <v>99</v>
      </c>
      <c r="G9" s="31">
        <f>G8/E8-1</f>
        <v>-0.020000000000000018</v>
      </c>
      <c r="H9" s="31">
        <f>H8/G8-1</f>
        <v>0.040000000000000036</v>
      </c>
      <c r="I9" s="31">
        <f>I8/H8-1</f>
        <v>0.050000000000000044</v>
      </c>
      <c r="J9" s="31">
        <f>J8/I8-1</f>
        <v>0.050000000000000044</v>
      </c>
      <c r="K9" s="31">
        <f>K8/J8-1</f>
        <v>0.050000000000000044</v>
      </c>
      <c r="L9" s="32"/>
      <c r="M9" t="s" s="31">
        <v>99</v>
      </c>
      <c r="N9" t="s" s="31">
        <v>99</v>
      </c>
      <c r="O9" s="32"/>
      <c r="P9" t="s" s="31">
        <v>98</v>
      </c>
      <c r="Q9" s="31">
        <f>Q8/P8-1</f>
        <v>0.02131474103585651</v>
      </c>
    </row>
    <row r="10">
      <c r="B10" t="s" s="16">
        <v>13</v>
      </c>
      <c r="C10" s="18">
        <v>13607</v>
      </c>
      <c r="D10" s="18">
        <v>12257</v>
      </c>
      <c r="E10" s="18">
        <v>12572</v>
      </c>
      <c r="F10" s="34">
        <f>E10+Q10-P10</f>
        <v>12417</v>
      </c>
      <c r="G10" s="148">
        <f>E10*(1+Cases!C15)</f>
        <v>11566.24</v>
      </c>
      <c r="H10" s="148">
        <f>G10*(1+Cases!D15)</f>
        <v>11913.2272</v>
      </c>
      <c r="I10" s="148">
        <f>H10*(1+Cases!E15)</f>
        <v>12508.88856</v>
      </c>
      <c r="J10" s="148">
        <f>I10*(1+Cases!F15)</f>
        <v>13134.332988</v>
      </c>
      <c r="K10" s="148">
        <f>J10*(1+Cases!G15)</f>
        <v>13791.049637400001</v>
      </c>
      <c r="L10" s="28"/>
      <c r="M10" s="29">
        <f>IFERROR((E10/C10)^(1/(YEAR(E$5)-YEAR(C$5)))-1,"n.m.")</f>
        <v>-0.03878399446116454</v>
      </c>
      <c r="N10" s="29">
        <f>IFERROR((K10/E10)^(1/(YEAR(K$5)-YEAR(E$5)))-1,"n.m.")</f>
        <v>0.01868190045771878</v>
      </c>
      <c r="O10" s="28"/>
      <c r="P10" s="18">
        <v>3331</v>
      </c>
      <c r="Q10" s="18">
        <v>3176</v>
      </c>
      <c r="S10" t="s">
        <v>96</v>
      </c>
    </row>
    <row r="11">
      <c r="B11" t="s" s="30">
        <v>97</v>
      </c>
      <c r="C11" t="s" s="31">
        <v>98</v>
      </c>
      <c r="D11" s="31">
        <f>D10/C10-1</f>
        <v>-0.09921364003821564</v>
      </c>
      <c r="E11" s="31">
        <f>E10/D10-1</f>
        <v>0.025699600228440866</v>
      </c>
      <c r="F11" t="s" s="31">
        <v>99</v>
      </c>
      <c r="G11" s="31">
        <f>G10/E10-1</f>
        <v>-0.08000000000000007</v>
      </c>
      <c r="H11" s="31">
        <f>H10/G10-1</f>
        <v>0.030000000000000027</v>
      </c>
      <c r="I11" s="31">
        <f>I10/H10-1</f>
        <v>0.050000000000000044</v>
      </c>
      <c r="J11" s="31">
        <f>J10/I10-1</f>
        <v>0.050000000000000044</v>
      </c>
      <c r="K11" s="31">
        <f>K10/J10-1</f>
        <v>0.050000000000000044</v>
      </c>
      <c r="L11" s="32"/>
      <c r="M11" t="s" s="31">
        <v>99</v>
      </c>
      <c r="N11" t="s" s="31">
        <v>99</v>
      </c>
      <c r="O11" s="32"/>
      <c r="P11" t="s" s="31">
        <v>98</v>
      </c>
      <c r="Q11" s="31">
        <f>Q10/P10-1</f>
        <v>-0.04653257280096068</v>
      </c>
    </row>
    <row r="12">
      <c r="B12" t="s" s="16">
        <v>15</v>
      </c>
      <c r="C12" s="18">
        <v>7545</v>
      </c>
      <c r="D12" s="18">
        <v>6586</v>
      </c>
      <c r="E12" s="18">
        <v>5847</v>
      </c>
      <c r="F12" s="34">
        <f>E12+Q12-P12</f>
        <v>5515</v>
      </c>
      <c r="G12" s="148">
        <f>E12*(1+Cases!C19)</f>
        <v>4385.25</v>
      </c>
      <c r="H12" s="148">
        <f>G12*(1+Cases!D19)</f>
        <v>4165.9875</v>
      </c>
      <c r="I12" s="148">
        <f>H12*(1+Cases!E19)</f>
        <v>4290.967125</v>
      </c>
      <c r="J12" s="148">
        <f>I12*(1+Cases!F19)</f>
        <v>4505.51548125</v>
      </c>
      <c r="K12" s="148">
        <f>J12*(1+Cases!G19)</f>
        <v>4730.791255312501</v>
      </c>
      <c r="L12" s="28"/>
      <c r="M12" s="29">
        <f>IFERROR((E12/C12)^(1/(YEAR(E$5)-YEAR(C$5)))-1,"n.m.")</f>
        <v>-0.1196873860890465</v>
      </c>
      <c r="N12" s="29">
        <f>IFERROR((K12/E12)^(1/(YEAR(K$5)-YEAR(E$5)))-1,"n.m.")</f>
        <v>-0.041482297065520424</v>
      </c>
      <c r="O12" s="28"/>
      <c r="P12" s="18">
        <v>1512</v>
      </c>
      <c r="Q12" s="18">
        <v>1180</v>
      </c>
      <c r="S12" t="s">
        <v>96</v>
      </c>
    </row>
    <row r="13">
      <c r="B13" t="s" s="30">
        <v>97</v>
      </c>
      <c r="C13" t="s" s="31">
        <v>98</v>
      </c>
      <c r="D13" s="31">
        <f>D12/C12-1</f>
        <v>-0.12710404241219353</v>
      </c>
      <c r="E13" s="31">
        <f>E12/D12-1</f>
        <v>-0.11220771333130886</v>
      </c>
      <c r="F13" t="s" s="31">
        <v>99</v>
      </c>
      <c r="G13" s="31">
        <f>G12/E12-1</f>
        <v>-0.25</v>
      </c>
      <c r="H13" s="31">
        <f>H12/G12-1</f>
        <v>-0.04999999999999993</v>
      </c>
      <c r="I13" s="31">
        <f>I12/H12-1</f>
        <v>0.030000000000000027</v>
      </c>
      <c r="J13" s="31">
        <f>J12/I12-1</f>
        <v>0.050000000000000044</v>
      </c>
      <c r="K13" s="31">
        <f>K12/J12-1</f>
        <v>0.050000000000000044</v>
      </c>
      <c r="L13" s="32"/>
      <c r="M13" t="s" s="31">
        <v>99</v>
      </c>
      <c r="N13" t="s" s="31">
        <v>99</v>
      </c>
      <c r="O13" s="32"/>
      <c r="P13" t="s" s="31">
        <v>98</v>
      </c>
      <c r="Q13" s="31">
        <f>Q12/P12-1</f>
        <v>-0.21957671957671954</v>
      </c>
    </row>
    <row r="14">
      <c r="B14" t="s" s="16">
        <v>17</v>
      </c>
      <c r="C14" s="18">
        <v>6729</v>
      </c>
      <c r="D14" s="18">
        <v>6251</v>
      </c>
      <c r="E14" s="18">
        <v>6243</v>
      </c>
      <c r="F14" s="34">
        <f>E14+Q14-P14</f>
        <v>6216</v>
      </c>
      <c r="G14" s="148">
        <f>E14*(1+Cases!C23)</f>
        <v>5868.42</v>
      </c>
      <c r="H14" s="148">
        <f>G14*(1+Cases!D23)</f>
        <v>6044.4726</v>
      </c>
      <c r="I14" s="148">
        <f>H14*(1+Cases!E23)</f>
        <v>6346.6962300000005</v>
      </c>
      <c r="J14" s="148">
        <f>I14*(1+Cases!F23)</f>
        <v>6727.498003800001</v>
      </c>
      <c r="K14" s="148">
        <f>J14*(1+Cases!G23)</f>
        <v>7131.1478840280015</v>
      </c>
      <c r="L14" s="28"/>
      <c r="M14" s="29">
        <f>IFERROR((E14/C14)^(1/(YEAR(E$5)-YEAR(C$5)))-1,"n.m.")</f>
        <v>-0.03678906726706743</v>
      </c>
      <c r="N14" s="29">
        <f>IFERROR((K14/E14)^(1/(YEAR(K$5)-YEAR(E$5)))-1,"n.m.")</f>
        <v>0.026959274959958313</v>
      </c>
      <c r="O14" s="28"/>
      <c r="P14" s="18">
        <v>1490</v>
      </c>
      <c r="Q14" s="18">
        <v>1463</v>
      </c>
      <c r="S14" t="s">
        <v>96</v>
      </c>
    </row>
    <row r="15">
      <c r="B15" t="s" s="30">
        <v>97</v>
      </c>
      <c r="C15" t="s" s="31">
        <v>98</v>
      </c>
      <c r="D15" s="31">
        <f>D14/C14-1</f>
        <v>-0.07103581512854806</v>
      </c>
      <c r="E15" s="31">
        <f>E14/D14-1</f>
        <v>-0.0012797952327627815</v>
      </c>
      <c r="F15" t="s" s="31">
        <v>99</v>
      </c>
      <c r="G15" s="31">
        <f>G14/E14-1</f>
        <v>-0.05999999999999994</v>
      </c>
      <c r="H15" s="31">
        <f>H14/G14-1</f>
        <v>0.030000000000000027</v>
      </c>
      <c r="I15" s="31">
        <f>I14/H14-1</f>
        <v>0.050000000000000044</v>
      </c>
      <c r="J15" s="31">
        <f>J14/I14-1</f>
        <v>0.06000000000000005</v>
      </c>
      <c r="K15" s="31">
        <f>K14/J14-1</f>
        <v>0.06000000000000005</v>
      </c>
      <c r="L15" s="32"/>
      <c r="M15" t="s" s="31">
        <v>99</v>
      </c>
      <c r="N15" t="s" s="31">
        <v>99</v>
      </c>
      <c r="O15" s="32"/>
      <c r="P15" t="s" s="31">
        <v>98</v>
      </c>
      <c r="Q15" s="31">
        <f>Q14/P14-1</f>
        <v>-0.018120805369127524</v>
      </c>
    </row>
    <row r="16">
      <c r="B16" t="s" s="16">
        <v>100</v>
      </c>
      <c r="C16" s="18">
        <v>45</v>
      </c>
      <c r="D16" s="18">
        <v>48</v>
      </c>
      <c r="E16" s="18">
        <v>49</v>
      </c>
      <c r="F16" s="34">
        <f>E16+Q16-P16</f>
        <v>46</v>
      </c>
      <c r="G16" s="35">
        <f>Cases!C53</f>
        <v>45</v>
      </c>
      <c r="H16" s="35">
        <f>Cases!D53</f>
        <v>45</v>
      </c>
      <c r="I16" s="35">
        <f>Cases!E53</f>
        <v>45</v>
      </c>
      <c r="J16" s="35">
        <f>Cases!F53</f>
        <v>45</v>
      </c>
      <c r="K16" s="35">
        <f>Cases!G53</f>
        <v>45</v>
      </c>
      <c r="L16" s="28"/>
      <c r="M16" t="s" s="29">
        <v>99</v>
      </c>
      <c r="N16" t="s" s="29">
        <v>99</v>
      </c>
      <c r="O16" s="28"/>
      <c r="P16" s="18">
        <v>9</v>
      </c>
      <c r="Q16" s="18">
        <v>6</v>
      </c>
      <c r="S16" t="s">
        <v>101</v>
      </c>
    </row>
    <row r="17">
      <c r="B17" t="s" s="36">
        <v>102</v>
      </c>
      <c r="C17" s="37">
        <f>SUM(C8,C10,C12,C14,C16)</f>
        <v>49322</v>
      </c>
      <c r="D17" s="37">
        <f>SUM(D8,D10,D12,D14,D16)</f>
        <v>44714</v>
      </c>
      <c r="E17" s="37">
        <f>SUM(E8,E10,E12,E14,E16)</f>
        <v>45222</v>
      </c>
      <c r="F17" s="37">
        <f>SUM(F8,F10,F12,F14,F16)</f>
        <v>44812</v>
      </c>
      <c r="G17" s="37">
        <f>SUM(G8,G10,G12,G14,G16)</f>
        <v>41965.689999999995</v>
      </c>
      <c r="H17" s="37">
        <f>SUM(H8,H10,H12,H14,H16)</f>
        <v>43073.4985</v>
      </c>
      <c r="I17" s="37">
        <f>SUM(I8,I10,I12,I14,I16)</f>
        <v>45141.603675000006</v>
      </c>
      <c r="J17" s="37">
        <f>SUM(J8,J10,J12,J14,J16)</f>
        <v>47459.900821049996</v>
      </c>
      <c r="K17" s="37">
        <f>SUM(K8,K10,K12,K14,K16)</f>
        <v>49897.920842140506</v>
      </c>
      <c r="L17" s="38"/>
      <c r="M17" s="39">
        <f>IFERROR((E17/C17)^(1/(YEAR(E$5)-YEAR(C$5)))-1,"n.m.")</f>
        <v>-0.04246525123023481</v>
      </c>
      <c r="N17" s="39">
        <f>IFERROR((K17/E17)^(1/(YEAR(K$5)-YEAR(E$5)))-1,"n.m.")</f>
        <v>0.019874038763310287</v>
      </c>
      <c r="O17" s="38"/>
      <c r="P17" s="37">
        <f>SUM(P8,P10,P12,P14,P16)</f>
        <v>11362</v>
      </c>
      <c r="Q17" s="37">
        <f>SUM(Q8,Q10,Q12,Q14,Q16)</f>
        <v>10952</v>
      </c>
    </row>
    <row r="18">
      <c r="B18" t="s" s="30">
        <v>97</v>
      </c>
      <c r="C18" t="s" s="31">
        <v>98</v>
      </c>
      <c r="D18" s="31">
        <f>D17/C17-1</f>
        <v>-0.09342686833461744</v>
      </c>
      <c r="E18" s="31">
        <f>E17/D17-1</f>
        <v>0.011361094959073226</v>
      </c>
      <c r="F18" t="s" s="31">
        <v>99</v>
      </c>
      <c r="G18" s="31">
        <f>G17/E17-1</f>
        <v>-0.07200720888063339</v>
      </c>
      <c r="H18" s="31">
        <f>H17/G17-1</f>
        <v>0.026397957474308287</v>
      </c>
      <c r="I18" s="31">
        <f>I17/H17-1</f>
        <v>0.048013401442188464</v>
      </c>
      <c r="J18" s="31">
        <f>J17/I17-1</f>
        <v>0.05135610960436243</v>
      </c>
      <c r="K18" s="31">
        <f>K17/J17-1</f>
        <v>0.05137010358035066</v>
      </c>
      <c r="L18" s="32"/>
      <c r="M18" t="s" s="31">
        <v>99</v>
      </c>
      <c r="N18" t="s" s="31">
        <v>99</v>
      </c>
      <c r="O18" s="32"/>
      <c r="P18" t="s" s="31">
        <v>98</v>
      </c>
      <c r="Q18" s="31">
        <f>Q17/P17-1</f>
        <v>-0.036085196268262676</v>
      </c>
    </row>
    <row r="19">
      <c r="B19" t="s" s="16">
        <v>19</v>
      </c>
      <c r="C19" s="18">
        <v>2082</v>
      </c>
      <c r="D19" s="18">
        <v>1692</v>
      </c>
      <c r="E19" s="18">
        <v>1174</v>
      </c>
      <c r="F19" s="34">
        <f>E19+Q19-P19</f>
        <v>1071</v>
      </c>
      <c r="G19" s="148">
        <f>E19*(1+Cases!C27)</f>
        <v>821.8</v>
      </c>
      <c r="H19" s="148">
        <f>G19*(1+Cases!D27)</f>
        <v>780.7099999999999</v>
      </c>
      <c r="I19" s="148">
        <f>H19*(1+Cases!E27)</f>
        <v>780.7099999999999</v>
      </c>
      <c r="J19" s="148">
        <f>I19*(1+Cases!F27)</f>
        <v>796.3241999999999</v>
      </c>
      <c r="K19" s="148">
        <f>J19*(1+Cases!G27)</f>
        <v>820.2139259999999</v>
      </c>
      <c r="L19" s="28"/>
      <c r="M19" s="29">
        <f>IFERROR((E19/C19)^(1/(YEAR(E$5)-YEAR(C$5)))-1,"n.m.")</f>
        <v>-0.24907997512011315</v>
      </c>
      <c r="N19" s="29">
        <f>IFERROR((K19/E19)^(1/(YEAR(K$5)-YEAR(E$5)))-1,"n.m.")</f>
        <v>-0.0692097865693655</v>
      </c>
      <c r="O19" s="28"/>
      <c r="P19" s="18">
        <v>366</v>
      </c>
      <c r="Q19" s="18">
        <v>263</v>
      </c>
      <c r="S19" t="s">
        <v>96</v>
      </c>
    </row>
    <row r="20">
      <c r="B20" t="s" s="30">
        <v>97</v>
      </c>
      <c r="C20" t="s" s="31">
        <v>98</v>
      </c>
      <c r="D20" s="31">
        <f>D19/C19-1</f>
        <v>-0.18731988472622474</v>
      </c>
      <c r="E20" s="31">
        <f>E19/D19-1</f>
        <v>-0.30614657210401897</v>
      </c>
      <c r="F20" t="s" s="31">
        <v>99</v>
      </c>
      <c r="G20" s="31">
        <f>G19/E19-1</f>
        <v>-0.30000000000000004</v>
      </c>
      <c r="H20" s="31">
        <f>H19/G19-1</f>
        <v>-0.050000000000000044</v>
      </c>
      <c r="I20" s="31">
        <f>I19/H19-1</f>
        <v>0</v>
      </c>
      <c r="J20" s="31">
        <f>J19/I19-1</f>
        <v>0.020000000000000018</v>
      </c>
      <c r="K20" s="31">
        <f>K19/J19-1</f>
        <v>0.030000000000000027</v>
      </c>
      <c r="L20" s="32"/>
      <c r="M20" t="s" s="31">
        <v>99</v>
      </c>
      <c r="N20" t="s" s="31">
        <v>99</v>
      </c>
      <c r="O20" s="32"/>
      <c r="P20" t="s" s="31">
        <v>98</v>
      </c>
      <c r="Q20" s="31">
        <f>Q19/P19-1</f>
        <v>-0.2814207650273224</v>
      </c>
    </row>
    <row r="21">
      <c r="B21" t="s" s="16">
        <v>103</v>
      </c>
      <c r="C21" s="18">
        <v>-42</v>
      </c>
      <c r="D21" s="18">
        <v>-97</v>
      </c>
      <c r="E21" s="18">
        <v>2</v>
      </c>
      <c r="F21" s="34">
        <f>E21+Q21-P21</f>
        <v>8</v>
      </c>
      <c r="G21" s="35">
        <f>Cases!C55</f>
        <v>0</v>
      </c>
      <c r="H21" s="35">
        <f>Cases!D55</f>
        <v>0</v>
      </c>
      <c r="I21" s="35">
        <f>Cases!E55</f>
        <v>0</v>
      </c>
      <c r="J21" s="35">
        <f>Cases!F55</f>
        <v>0</v>
      </c>
      <c r="K21" s="35">
        <f>Cases!G55</f>
        <v>0</v>
      </c>
      <c r="L21" s="28"/>
      <c r="M21" t="s" s="29">
        <v>99</v>
      </c>
      <c r="N21" t="s" s="29">
        <v>99</v>
      </c>
      <c r="O21" s="28"/>
      <c r="P21" s="18">
        <v>-8</v>
      </c>
      <c r="Q21" s="18">
        <v>-2</v>
      </c>
      <c r="S21" t="s">
        <v>104</v>
      </c>
    </row>
    <row r="22">
      <c r="B22" t="s" s="149">
        <v>105</v>
      </c>
      <c r="C22" s="150">
        <f>C17+C19+C21</f>
        <v>51362</v>
      </c>
      <c r="D22" s="150">
        <f>D17+D19+D21</f>
        <v>46309</v>
      </c>
      <c r="E22" s="150">
        <f>E17+E19+E21</f>
        <v>46398</v>
      </c>
      <c r="F22" s="150">
        <f>F17+F19+F21</f>
        <v>45891</v>
      </c>
      <c r="G22" s="150">
        <f>G17+G19+G21</f>
        <v>42787.49</v>
      </c>
      <c r="H22" s="150">
        <f>H17+H19+H21</f>
        <v>43854.2085</v>
      </c>
      <c r="I22" s="150">
        <f>I17+I19+I21</f>
        <v>45922.313675000005</v>
      </c>
      <c r="J22" s="150">
        <f>J17+J19+J21</f>
        <v>48256.22502105</v>
      </c>
      <c r="K22" s="150">
        <f>K17+K19+K21</f>
        <v>50718.1347681405</v>
      </c>
      <c r="L22" s="38"/>
      <c r="M22" s="151">
        <f>IFERROR((E22/C22)^(1/(YEAR(E$5)-YEAR(C$5)))-1,"n.m.")</f>
        <v>-0.049551330590384524</v>
      </c>
      <c r="N22" s="151">
        <f>IFERROR((K22/E22)^(1/(YEAR(K$5)-YEAR(E$5)))-1,"n.m.")</f>
        <v>0.017964897701183924</v>
      </c>
      <c r="O22" s="38"/>
      <c r="P22" s="150">
        <f>P17+P19+P21</f>
        <v>11720</v>
      </c>
      <c r="Q22" s="150">
        <f>Q17+Q19+Q21</f>
        <v>11213</v>
      </c>
      <c r="S22" t="s">
        <v>106</v>
      </c>
    </row>
    <row r="23">
      <c r="B23" t="s" s="30">
        <v>97</v>
      </c>
      <c r="C23" t="s" s="31">
        <v>98</v>
      </c>
      <c r="D23" s="31">
        <f>D22/C22-1</f>
        <v>-0.09838012538452556</v>
      </c>
      <c r="E23" s="31">
        <f>E22/D22-1</f>
        <v>0.0019218726381480256</v>
      </c>
      <c r="F23" t="s" s="31">
        <v>99</v>
      </c>
      <c r="G23" s="31">
        <f>G22/E22-1</f>
        <v>-0.077816069658175</v>
      </c>
      <c r="H23" s="31">
        <f>H22/G22-1</f>
        <v>0.02493061640213079</v>
      </c>
      <c r="I23" s="31">
        <f>I22/H22-1</f>
        <v>0.04715864784106194</v>
      </c>
      <c r="J23" s="31">
        <f>J22/I22-1</f>
        <v>0.05082303480106609</v>
      </c>
      <c r="K23" s="31">
        <f>K22/J22-1</f>
        <v>0.051017454142270546</v>
      </c>
      <c r="L23" s="32"/>
      <c r="M23" t="s" s="31">
        <v>99</v>
      </c>
      <c r="N23" t="s" s="31">
        <v>99</v>
      </c>
      <c r="O23" s="32"/>
      <c r="P23" t="s" s="31">
        <v>98</v>
      </c>
      <c r="Q23" s="31">
        <f>Q22/P22-1</f>
        <v>-0.043259385665529004</v>
      </c>
      <c r="S23" t="s">
        <v>107</v>
      </c>
    </row>
    <row r="24">
      <c r="B24" t="s" s="56">
        <v>108</v>
      </c>
      <c r="C24" s="56"/>
      <c r="D24" s="56"/>
      <c r="E24" s="56"/>
      <c r="F24" s="56"/>
      <c r="G24" s="56"/>
      <c r="H24" s="56"/>
      <c r="I24" s="56"/>
      <c r="J24" s="56"/>
      <c r="K24" s="56"/>
      <c r="M24" s="56"/>
      <c r="N24" s="56"/>
      <c r="P24" s="56"/>
      <c r="Q24" s="56"/>
      <c r="S24" s="56"/>
    </row>
    <row r="25">
      <c r="B25" t="s" s="16">
        <v>11</v>
      </c>
      <c r="C25" s="17">
        <v>5822</v>
      </c>
      <c r="D25" s="17">
        <v>4735</v>
      </c>
      <c r="E25" s="17">
        <v>5376</v>
      </c>
      <c r="F25" s="26">
        <f>E25+Q25-P25</f>
        <v>5412</v>
      </c>
      <c r="G25" s="147">
        <f>G8*Cases!C32</f>
        <v>4924.6911</v>
      </c>
      <c r="H25" s="147">
        <f>H8*Cases!D32</f>
        <v>5330.726856</v>
      </c>
      <c r="I25" s="147">
        <f>I8*Cases!E32</f>
        <v>5707.013457600001</v>
      </c>
      <c r="J25" s="147">
        <f>J8*Cases!F32</f>
        <v>6107.601902220001</v>
      </c>
      <c r="K25" s="147">
        <f>K8*Cases!G32</f>
        <v>6533.9816576580015</v>
      </c>
      <c r="L25" s="28"/>
      <c r="M25" s="29">
        <f>IFERROR((E25/C25)^(1/(YEAR(E$5)-YEAR(C$5)))-1,"n.m.")</f>
        <v>-0.03906606747777863</v>
      </c>
      <c r="N25" s="29">
        <f>IFERROR((K25/E25)^(1/(YEAR(K$5)-YEAR(E$5)))-1,"n.m.")</f>
        <v>0.039785436226856374</v>
      </c>
      <c r="O25" s="28"/>
      <c r="P25" s="17">
        <v>1134</v>
      </c>
      <c r="Q25" s="17">
        <v>1170</v>
      </c>
      <c r="S25" t="s">
        <v>96</v>
      </c>
    </row>
    <row r="26">
      <c r="B26" t="s" s="30">
        <v>109</v>
      </c>
      <c r="C26" s="31">
        <f>C25/C8</f>
        <v>0.27210693587586465</v>
      </c>
      <c r="D26" s="31">
        <f>D25/D8</f>
        <v>0.24192724300020438</v>
      </c>
      <c r="E26" s="31">
        <f>E25/E8</f>
        <v>0.26210326166447273</v>
      </c>
      <c r="F26" s="31">
        <f>F25/F8</f>
        <v>0.2624890872053545</v>
      </c>
      <c r="G26" s="31">
        <f>G25/G8</f>
        <v>0.24500000000000002</v>
      </c>
      <c r="H26" s="31">
        <f>H25/H8</f>
        <v>0.255</v>
      </c>
      <c r="I26" s="31">
        <f>I25/I8</f>
        <v>0.26</v>
      </c>
      <c r="J26" s="31">
        <f>J25/J8</f>
        <v>0.265</v>
      </c>
      <c r="K26" s="31">
        <f>K25/K8</f>
        <v>0.27</v>
      </c>
      <c r="L26" s="32"/>
      <c r="M26" t="s" s="31">
        <v>99</v>
      </c>
      <c r="N26" t="s" s="31">
        <v>99</v>
      </c>
      <c r="O26" s="32"/>
      <c r="P26" s="31">
        <f>P25/P8</f>
        <v>0.22589641434262947</v>
      </c>
      <c r="Q26" s="31">
        <f>Q25/Q8</f>
        <v>0.22820362785254536</v>
      </c>
    </row>
    <row r="27">
      <c r="B27" t="s" s="16">
        <v>13</v>
      </c>
      <c r="C27" s="18">
        <v>3388</v>
      </c>
      <c r="D27" s="18">
        <v>2575</v>
      </c>
      <c r="E27" s="18">
        <v>2417</v>
      </c>
      <c r="F27" s="34">
        <f>E27+Q27-P27</f>
        <v>2410</v>
      </c>
      <c r="G27" s="148">
        <f>G10*Cases!C36</f>
        <v>2024.0919999999999</v>
      </c>
      <c r="H27" s="148">
        <f>H10*Cases!D36</f>
        <v>2203.947032</v>
      </c>
      <c r="I27" s="148">
        <f>I10*Cases!E36</f>
        <v>2376.6888264</v>
      </c>
      <c r="J27" s="148">
        <f>J10*Cases!F36</f>
        <v>2561.19493266</v>
      </c>
      <c r="K27" s="148">
        <f>K10*Cases!G36</f>
        <v>2758.2099274800003</v>
      </c>
      <c r="L27" s="28"/>
      <c r="M27" s="29">
        <f>IFERROR((E27/C27)^(1/(YEAR(E$5)-YEAR(C$5)))-1,"n.m.")</f>
        <v>-0.15536976366725497</v>
      </c>
      <c r="N27" s="29">
        <f>IFERROR((K27/E27)^(1/(YEAR(K$5)-YEAR(E$5)))-1,"n.m.")</f>
        <v>0.02676281829766669</v>
      </c>
      <c r="O27" s="28"/>
      <c r="P27" s="18">
        <v>735</v>
      </c>
      <c r="Q27" s="18">
        <v>728</v>
      </c>
      <c r="S27" t="s">
        <v>96</v>
      </c>
    </row>
    <row r="28">
      <c r="B28" t="s" s="30">
        <v>109</v>
      </c>
      <c r="C28" s="31">
        <f>C27/C10</f>
        <v>0.24898949070331447</v>
      </c>
      <c r="D28" s="31">
        <f>D27/D10</f>
        <v>0.21008403361344538</v>
      </c>
      <c r="E28" s="31">
        <f>E27/E10</f>
        <v>0.19225262488068723</v>
      </c>
      <c r="F28" s="31">
        <f>F27/F10</f>
        <v>0.19408874929532094</v>
      </c>
      <c r="G28" s="31">
        <f>G27/G10</f>
        <v>0.175</v>
      </c>
      <c r="H28" s="31">
        <f>H27/H10</f>
        <v>0.18500000000000003</v>
      </c>
      <c r="I28" s="31">
        <f>I27/I10</f>
        <v>0.19</v>
      </c>
      <c r="J28" s="31">
        <f>J27/J10</f>
        <v>0.195</v>
      </c>
      <c r="K28" s="31">
        <f>K27/K10</f>
        <v>0.2</v>
      </c>
      <c r="L28" s="32"/>
      <c r="M28" t="s" s="31">
        <v>99</v>
      </c>
      <c r="N28" t="s" s="31">
        <v>99</v>
      </c>
      <c r="O28" s="32"/>
      <c r="P28" s="31">
        <f>P27/P10</f>
        <v>0.2206544581206845</v>
      </c>
      <c r="Q28" s="31">
        <f>Q27/Q10</f>
        <v>0.22921914357682618</v>
      </c>
    </row>
    <row r="29">
      <c r="B29" t="s" s="16">
        <v>15</v>
      </c>
      <c r="C29" s="18">
        <v>2309</v>
      </c>
      <c r="D29" s="18">
        <v>1602</v>
      </c>
      <c r="E29" s="18">
        <v>1278</v>
      </c>
      <c r="F29" s="34">
        <f>E29+Q29-P29</f>
        <v>1149</v>
      </c>
      <c r="G29" s="148">
        <f>G12*Cases!C40</f>
        <v>657.7875</v>
      </c>
      <c r="H29" s="148">
        <f>H12*Cases!D40</f>
        <v>666.558</v>
      </c>
      <c r="I29" s="148">
        <f>I12*Cases!E40</f>
        <v>729.4644112500001</v>
      </c>
      <c r="J29" s="148">
        <f>J12*Cases!F40</f>
        <v>810.992786625</v>
      </c>
      <c r="K29" s="148">
        <f>K12*Cases!G40</f>
        <v>898.8503385093751</v>
      </c>
      <c r="L29" s="28"/>
      <c r="M29" s="29">
        <f>IFERROR((E29/C29)^(1/(YEAR(E$5)-YEAR(C$5)))-1,"n.m.")</f>
        <v>-0.2560333624881964</v>
      </c>
      <c r="N29" s="29">
        <f>IFERROR((K29/E29)^(1/(YEAR(K$5)-YEAR(E$5)))-1,"n.m.")</f>
        <v>-0.06796696343673059</v>
      </c>
      <c r="O29" s="28"/>
      <c r="P29" s="18">
        <v>377</v>
      </c>
      <c r="Q29" s="18">
        <v>248</v>
      </c>
      <c r="S29" t="s">
        <v>96</v>
      </c>
    </row>
    <row r="30">
      <c r="B30" t="s" s="30">
        <v>109</v>
      </c>
      <c r="C30" s="31">
        <f>C29/C12</f>
        <v>0.30603048376408215</v>
      </c>
      <c r="D30" s="31">
        <f>D29/D12</f>
        <v>0.24324324324324326</v>
      </c>
      <c r="E30" s="31">
        <f>E29/E12</f>
        <v>0.2185736275012827</v>
      </c>
      <c r="F30" s="31">
        <f>F29/F12</f>
        <v>0.20834088848594742</v>
      </c>
      <c r="G30" s="31">
        <f>G29/G12</f>
        <v>0.15</v>
      </c>
      <c r="H30" s="31">
        <f>H29/H12</f>
        <v>0.16</v>
      </c>
      <c r="I30" s="31">
        <f>I29/I12</f>
        <v>0.17</v>
      </c>
      <c r="J30" s="31">
        <f>J29/J12</f>
        <v>0.18</v>
      </c>
      <c r="K30" s="31">
        <f>K29/K12</f>
        <v>0.19</v>
      </c>
      <c r="L30" s="32"/>
      <c r="M30" t="s" s="31">
        <v>99</v>
      </c>
      <c r="N30" t="s" s="31">
        <v>99</v>
      </c>
      <c r="O30" s="32"/>
      <c r="P30" s="31">
        <f>P29/P12</f>
        <v>0.24933862433862433</v>
      </c>
      <c r="Q30" s="31">
        <f>Q29/Q12</f>
        <v>0.21016949152542372</v>
      </c>
    </row>
    <row r="31">
      <c r="B31" t="s" s="16">
        <v>17</v>
      </c>
      <c r="C31" s="18">
        <v>1885</v>
      </c>
      <c r="D31" s="18">
        <v>1527</v>
      </c>
      <c r="E31" s="18">
        <v>1387</v>
      </c>
      <c r="F31" s="34">
        <f>E31+Q31-P31</f>
        <v>1361</v>
      </c>
      <c r="G31" s="148">
        <f>G14*Cases!C44</f>
        <v>1144.3419000000001</v>
      </c>
      <c r="H31" s="148">
        <f>H14*Cases!D44</f>
        <v>1239.116883</v>
      </c>
      <c r="I31" s="148">
        <f>I14*Cases!E44</f>
        <v>1364.53968945</v>
      </c>
      <c r="J31" s="148">
        <f>J14*Cases!F44</f>
        <v>1480.0495608360002</v>
      </c>
      <c r="K31" s="148">
        <f>K14*Cases!G44</f>
        <v>1604.5082739063005</v>
      </c>
      <c r="L31" s="28"/>
      <c r="M31" s="29">
        <f>IFERROR((E31/C31)^(1/(YEAR(E$5)-YEAR(C$5)))-1,"n.m.")</f>
        <v>-0.1422068905804621</v>
      </c>
      <c r="N31" s="29">
        <f>IFERROR((K31/E31)^(1/(YEAR(K$5)-YEAR(E$5)))-1,"n.m.")</f>
        <v>0.0295634108100169</v>
      </c>
      <c r="O31" s="28"/>
      <c r="P31" s="18">
        <v>350</v>
      </c>
      <c r="Q31" s="18">
        <v>324</v>
      </c>
      <c r="S31" t="s">
        <v>96</v>
      </c>
    </row>
    <row r="32">
      <c r="B32" t="s" s="30">
        <v>109</v>
      </c>
      <c r="C32" s="31">
        <f>C31/C14</f>
        <v>0.28013077723287266</v>
      </c>
      <c r="D32" s="31">
        <f>D31/D14</f>
        <v>0.24428091505359142</v>
      </c>
      <c r="E32" s="31">
        <f>E31/E14</f>
        <v>0.2221688290885792</v>
      </c>
      <c r="F32" s="31">
        <f>F31/F14</f>
        <v>0.21895109395109394</v>
      </c>
      <c r="G32" s="31">
        <f>G31/G14</f>
        <v>0.195</v>
      </c>
      <c r="H32" s="31">
        <f>H31/H14</f>
        <v>0.205</v>
      </c>
      <c r="I32" s="31">
        <f>I31/I14</f>
        <v>0.21499999999999997</v>
      </c>
      <c r="J32" s="31">
        <f>J31/J14</f>
        <v>0.21999999999999997</v>
      </c>
      <c r="K32" s="31">
        <f>K31/K14</f>
        <v>0.225</v>
      </c>
      <c r="L32" s="32"/>
      <c r="M32" t="s" s="31">
        <v>99</v>
      </c>
      <c r="N32" t="s" s="31">
        <v>99</v>
      </c>
      <c r="O32" s="32"/>
      <c r="P32" s="31">
        <f>P31/P14</f>
        <v>0.2348993288590604</v>
      </c>
      <c r="Q32" s="31">
        <f>Q31/Q14</f>
        <v>0.22146274777853725</v>
      </c>
    </row>
    <row r="33">
      <c r="B33" t="s" s="16">
        <v>100</v>
      </c>
      <c r="C33" s="18">
        <v>-4720</v>
      </c>
      <c r="D33" s="18">
        <v>-4699</v>
      </c>
      <c r="E33" s="18">
        <v>-4603</v>
      </c>
      <c r="F33" s="34">
        <f>E33+Q33-P33</f>
        <v>-4521</v>
      </c>
      <c r="G33" s="35">
        <f>Cases!C54</f>
        <v>-4450</v>
      </c>
      <c r="H33" s="35">
        <f>Cases!D54</f>
        <v>-4400</v>
      </c>
      <c r="I33" s="35">
        <f>Cases!E54</f>
        <v>-4350</v>
      </c>
      <c r="J33" s="35">
        <f>Cases!F54</f>
        <v>-4350</v>
      </c>
      <c r="K33" s="35">
        <f>Cases!G54</f>
        <v>-4400</v>
      </c>
      <c r="L33" s="28"/>
      <c r="M33" t="s" s="29">
        <v>99</v>
      </c>
      <c r="N33" t="s" s="29">
        <v>99</v>
      </c>
      <c r="O33" s="28"/>
      <c r="P33" s="18">
        <v>-1192</v>
      </c>
      <c r="Q33" s="18">
        <v>-1110</v>
      </c>
      <c r="S33" t="s">
        <v>110</v>
      </c>
    </row>
    <row r="34">
      <c r="B34" t="s" s="36">
        <v>111</v>
      </c>
      <c r="C34" s="37">
        <f>SUM(C25,C27,C29,C31,C33)</f>
        <v>8684</v>
      </c>
      <c r="D34" s="37">
        <f>SUM(D25,D27,D29,D31,D33)</f>
        <v>5740</v>
      </c>
      <c r="E34" s="37">
        <f>SUM(E25,E27,E29,E31,E33)</f>
        <v>5855</v>
      </c>
      <c r="F34" s="37">
        <f>SUM(F25,F27,F29,F31,F33)</f>
        <v>5811</v>
      </c>
      <c r="G34" s="37">
        <f>SUM(G25,G27,G29,G31,G33)</f>
        <v>4300.9125</v>
      </c>
      <c r="H34" s="37">
        <f>SUM(H25,H27,H29,H31,H33)</f>
        <v>5040.348771000001</v>
      </c>
      <c r="I34" s="37">
        <f>SUM(I25,I27,I29,I31,I33)</f>
        <v>5827.706384700003</v>
      </c>
      <c r="J34" s="37">
        <f>SUM(J25,J27,J29,J31,J33)</f>
        <v>6609.839182341</v>
      </c>
      <c r="K34" s="37">
        <f>SUM(K25,K27,K29,K31,K33)</f>
        <v>7395.550197553677</v>
      </c>
      <c r="L34" s="38"/>
      <c r="M34" s="39">
        <f>IFERROR((E34/C34)^(1/(YEAR(E$5)-YEAR(C$5)))-1,"n.m.")</f>
        <v>-0.17888583854336437</v>
      </c>
      <c r="N34" s="39">
        <f>IFERROR((K34/E34)^(1/(YEAR(K$5)-YEAR(E$5)))-1,"n.m.")</f>
        <v>0.04782490811093565</v>
      </c>
      <c r="O34" s="38"/>
      <c r="P34" s="37">
        <f>SUM(P25,P27,P29,P31,P33)</f>
        <v>1404</v>
      </c>
      <c r="Q34" s="37">
        <f>SUM(Q25,Q27,Q29,Q31,Q33)</f>
        <v>1360</v>
      </c>
    </row>
    <row r="35">
      <c r="B35" t="s" s="30">
        <v>109</v>
      </c>
      <c r="C35" s="31">
        <f>C34/C17</f>
        <v>0.17606747496046388</v>
      </c>
      <c r="D35" s="31">
        <f>D34/D17</f>
        <v>0.12837142729346512</v>
      </c>
      <c r="E35" s="31">
        <f>E34/E17</f>
        <v>0.12947238069965947</v>
      </c>
      <c r="F35" s="31">
        <f>F34/F17</f>
        <v>0.12967508703025976</v>
      </c>
      <c r="G35" s="31">
        <f>G34/G17</f>
        <v>0.10248640019978227</v>
      </c>
      <c r="H35" s="31">
        <f>H34/H17</f>
        <v>0.1170173992484033</v>
      </c>
      <c r="I35" s="31">
        <f>I34/I17</f>
        <v>0.12909834632054645</v>
      </c>
      <c r="J35" s="31">
        <f>J34/J17</f>
        <v>0.13927208165191368</v>
      </c>
      <c r="K35" s="31">
        <f>K34/K17</f>
        <v>0.14821359432892203</v>
      </c>
      <c r="L35" s="32"/>
      <c r="M35" t="s" s="31">
        <v>99</v>
      </c>
      <c r="N35" t="s" s="31">
        <v>99</v>
      </c>
      <c r="O35" s="32"/>
      <c r="P35" s="31">
        <f>P34/P17</f>
        <v>0.12356979405034325</v>
      </c>
      <c r="Q35" s="31">
        <f>Q34/Q17</f>
        <v>0.1241782322863404</v>
      </c>
    </row>
    <row r="36">
      <c r="B36" t="s" s="16">
        <v>19</v>
      </c>
      <c r="C36" s="18">
        <v>474</v>
      </c>
      <c r="D36" s="18">
        <v>240</v>
      </c>
      <c r="E36" s="18">
        <v>18</v>
      </c>
      <c r="F36" s="34">
        <f>E36+Q36-P36</f>
        <v>4</v>
      </c>
      <c r="G36" s="148">
        <f>G19*Cases!C48</f>
        <v>-16.436</v>
      </c>
      <c r="H36" s="148">
        <f>H19*Cases!D48</f>
        <v>0</v>
      </c>
      <c r="I36" s="148">
        <f>I19*Cases!E48</f>
        <v>15.614199999999999</v>
      </c>
      <c r="J36" s="148">
        <f>J19*Cases!F48</f>
        <v>31.852967999999997</v>
      </c>
      <c r="K36" s="148">
        <f>K19*Cases!G48</f>
        <v>41.0106963</v>
      </c>
      <c r="L36" s="28"/>
      <c r="M36" s="29">
        <f>IFERROR((E36/C36)^(1/(YEAR(E$5)-YEAR(C$5)))-1,"n.m.")</f>
        <v>-0.8051290592615108</v>
      </c>
      <c r="N36" s="29">
        <f>IFERROR((K36/E36)^(1/(YEAR(K$5)-YEAR(E$5)))-1,"n.m.")</f>
        <v>0.17903019513624496</v>
      </c>
      <c r="O36" s="28"/>
      <c r="P36" s="18">
        <v>39</v>
      </c>
      <c r="Q36" s="18">
        <v>25</v>
      </c>
    </row>
    <row r="37">
      <c r="B37" t="s" s="30">
        <v>109</v>
      </c>
      <c r="C37" s="31">
        <f>C36/C19</f>
        <v>0.2276657060518732</v>
      </c>
      <c r="D37" s="31">
        <f>D36/D19</f>
        <v>0.14184397163120568</v>
      </c>
      <c r="E37" s="31">
        <f>E36/E19</f>
        <v>0.015332197614991482</v>
      </c>
      <c r="F37" s="31">
        <f>F36/F19</f>
        <v>0.003734827264239029</v>
      </c>
      <c r="G37" s="31">
        <f>G36/G19</f>
        <v>-0.02</v>
      </c>
      <c r="H37" s="31">
        <f>H36/H19</f>
        <v>0</v>
      </c>
      <c r="I37" s="31">
        <f>I36/I19</f>
        <v>0.02</v>
      </c>
      <c r="J37" s="31">
        <f>J36/J19</f>
        <v>0.04</v>
      </c>
      <c r="K37" s="31">
        <f>K36/K19</f>
        <v>0.05</v>
      </c>
      <c r="L37" s="32"/>
      <c r="M37" t="s" s="31">
        <v>99</v>
      </c>
      <c r="N37" t="s" s="31">
        <v>99</v>
      </c>
      <c r="O37" s="32"/>
      <c r="P37" s="31">
        <f>P36/P19</f>
        <v>0.10655737704918032</v>
      </c>
      <c r="Q37" s="31">
        <f>Q36/Q19</f>
        <v>0.09505703422053231</v>
      </c>
    </row>
    <row r="38">
      <c r="B38" t="s" s="16">
        <v>103</v>
      </c>
      <c r="C38" s="18">
        <v>-2619</v>
      </c>
      <c r="D38" s="18">
        <v>-2202</v>
      </c>
      <c r="E38" s="18">
        <v>-2023</v>
      </c>
      <c r="F38" s="34">
        <f>E38+Q38-P38</f>
        <v>-1962</v>
      </c>
      <c r="G38" s="35">
        <f>Cases!C56</f>
        <v>-1800</v>
      </c>
      <c r="H38" s="35">
        <f>Cases!D56</f>
        <v>-1750</v>
      </c>
      <c r="I38" s="35">
        <f>Cases!E56</f>
        <v>-1750</v>
      </c>
      <c r="J38" s="35">
        <f>Cases!F56</f>
        <v>-1800</v>
      </c>
      <c r="K38" s="35">
        <f>Cases!G56</f>
        <v>-1850</v>
      </c>
      <c r="L38" s="28"/>
      <c r="M38" t="s" s="29">
        <v>99</v>
      </c>
      <c r="N38" t="s" s="29">
        <v>99</v>
      </c>
      <c r="O38" s="28"/>
      <c r="P38" s="18">
        <v>-539</v>
      </c>
      <c r="Q38" s="18">
        <v>-478</v>
      </c>
      <c r="S38" t="s">
        <v>112</v>
      </c>
    </row>
    <row r="39">
      <c r="B39" t="s" s="16">
        <v>113</v>
      </c>
      <c r="C39" s="18">
        <v>0</v>
      </c>
      <c r="D39" s="18">
        <v>0</v>
      </c>
      <c r="E39" s="18">
        <v>0</v>
      </c>
      <c r="F39" s="34">
        <f>E39+Q39-P39</f>
        <v>0</v>
      </c>
      <c r="G39" s="137">
        <f>-Cases!C57</f>
        <v>-300</v>
      </c>
      <c r="H39" s="137">
        <f>-Cases!D57</f>
        <v>-250</v>
      </c>
      <c r="I39" s="137">
        <f>-Cases!E57</f>
        <v>-200</v>
      </c>
      <c r="J39" s="137">
        <f>-Cases!F57</f>
        <v>-150</v>
      </c>
      <c r="K39" s="137">
        <f>-Cases!G57</f>
        <v>-100</v>
      </c>
      <c r="L39" s="28"/>
      <c r="M39" t="s" s="29">
        <v>99</v>
      </c>
      <c r="N39" t="s" s="29">
        <v>99</v>
      </c>
      <c r="O39" s="28"/>
      <c r="P39" s="18">
        <v>0</v>
      </c>
      <c r="Q39" s="18">
        <v>0</v>
      </c>
      <c r="S39" t="s">
        <v>114</v>
      </c>
    </row>
    <row r="40">
      <c r="B40" t="s" s="149">
        <v>115</v>
      </c>
      <c r="C40" s="150">
        <f>C34+C36+C38+C39</f>
        <v>6539</v>
      </c>
      <c r="D40" s="150">
        <f>D34+D36+D38+D39</f>
        <v>3778</v>
      </c>
      <c r="E40" s="150">
        <f>E34+E36+E38+E39</f>
        <v>3850</v>
      </c>
      <c r="F40" s="150">
        <f>F34+F36+F38+F39</f>
        <v>3853</v>
      </c>
      <c r="G40" s="150">
        <f>G34+G36+G38+G39</f>
        <v>2184.4765000000007</v>
      </c>
      <c r="H40" s="150">
        <f>H34+H36+H38+H39</f>
        <v>3040.348771000001</v>
      </c>
      <c r="I40" s="150">
        <f>I34+I36+I38+I39</f>
        <v>3893.3205847000027</v>
      </c>
      <c r="J40" s="150">
        <f>J34+J36+J38+J39</f>
        <v>4691.692150341</v>
      </c>
      <c r="K40" s="150">
        <f>K34+K36+K38+K39</f>
        <v>5486.560893853677</v>
      </c>
      <c r="L40" s="38"/>
      <c r="M40" s="151">
        <f>IFERROR((E40/C40)^(1/(YEAR(E$5)-YEAR(C$5)))-1,"n.m.")</f>
        <v>-0.23268321922731283</v>
      </c>
      <c r="N40" s="151">
        <f>IFERROR((K40/E40)^(1/(YEAR(K$5)-YEAR(E$5)))-1,"n.m.")</f>
        <v>0.07341558075814247</v>
      </c>
      <c r="O40" s="38"/>
      <c r="P40" s="150">
        <f>P34+P36+P38+P39</f>
        <v>904</v>
      </c>
      <c r="Q40" s="150">
        <f>Q34+Q36+Q38+Q39</f>
        <v>907</v>
      </c>
      <c r="S40" t="s">
        <v>116</v>
      </c>
    </row>
    <row r="41">
      <c r="B41" t="s" s="30">
        <v>109</v>
      </c>
      <c r="C41" s="31">
        <f>C40/C22</f>
        <v>0.12731202055994703</v>
      </c>
      <c r="D41" s="31">
        <f>D40/D22</f>
        <v>0.08158241378565721</v>
      </c>
      <c r="E41" s="31">
        <f>E40/E22</f>
        <v>0.08297771455666192</v>
      </c>
      <c r="F41" s="31">
        <f>F40/F22</f>
        <v>0.08395981782920399</v>
      </c>
      <c r="G41" s="31">
        <f>G40/G22</f>
        <v>0.05105409314731948</v>
      </c>
      <c r="H41" s="31">
        <f>H40/H22</f>
        <v>0.06932855192221747</v>
      </c>
      <c r="I41" s="31">
        <f>I40/I22</f>
        <v>0.08478058427660444</v>
      </c>
      <c r="J41" s="31">
        <f>J40/J22</f>
        <v>0.09722459948523579</v>
      </c>
      <c r="K41" s="31">
        <f>K40/K22</f>
        <v>0.10817749743628502</v>
      </c>
      <c r="L41" s="32"/>
      <c r="M41" t="s" s="31">
        <v>99</v>
      </c>
      <c r="N41" t="s" s="31">
        <v>99</v>
      </c>
      <c r="O41" s="32"/>
      <c r="P41" s="31">
        <f>P40/P22</f>
        <v>0.07713310580204778</v>
      </c>
      <c r="Q41" s="31">
        <f>Q40/Q22</f>
        <v>0.080888254704361</v>
      </c>
    </row>
    <row r="42">
      <c r="B42" t="s" s="56">
        <v>117</v>
      </c>
      <c r="C42" s="56"/>
      <c r="D42" s="56"/>
      <c r="E42" s="56"/>
      <c r="F42" s="56"/>
      <c r="G42" s="56"/>
      <c r="H42" s="56"/>
      <c r="I42" s="56"/>
      <c r="J42" s="56"/>
      <c r="K42" s="56"/>
      <c r="M42" s="56"/>
      <c r="N42" s="56"/>
      <c r="P42" s="56"/>
      <c r="Q42" s="56"/>
      <c r="S42" s="56"/>
    </row>
    <row r="43">
      <c r="B43" t="s" s="16">
        <v>118</v>
      </c>
      <c r="C43" s="26">
        <f>C22</f>
        <v>51362</v>
      </c>
      <c r="D43" s="26">
        <f>D22</f>
        <v>46309</v>
      </c>
      <c r="E43" s="26">
        <f>E22</f>
        <v>46398</v>
      </c>
      <c r="F43" s="26">
        <f>F22</f>
        <v>45891</v>
      </c>
      <c r="G43" s="26">
        <f>G22</f>
        <v>42787.49</v>
      </c>
      <c r="H43" s="26">
        <f>H22</f>
        <v>43854.2085</v>
      </c>
      <c r="I43" s="26">
        <f>I22</f>
        <v>45922.313675000005</v>
      </c>
      <c r="J43" s="26">
        <f>J22</f>
        <v>48256.22502105</v>
      </c>
      <c r="K43" s="26">
        <f>K22</f>
        <v>50718.1347681405</v>
      </c>
      <c r="L43" s="28"/>
      <c r="M43" s="29">
        <f>IFERROR((E43/C43)^(1/(YEAR(E$5)-YEAR(C$5)))-1,"n.m.")</f>
        <v>-0.049551330590384524</v>
      </c>
      <c r="N43" s="29">
        <f>IFERROR((K43/E43)^(1/(YEAR(K$5)-YEAR(E$5)))-1,"n.m.")</f>
        <v>0.017964897701183924</v>
      </c>
      <c r="O43" s="28"/>
      <c r="P43" s="26">
        <f>P22</f>
        <v>11720</v>
      </c>
      <c r="Q43" s="26">
        <f>Q22</f>
        <v>11213</v>
      </c>
    </row>
    <row r="44">
      <c r="B44" t="s" s="16">
        <v>119</v>
      </c>
      <c r="C44" s="18">
        <v>28475</v>
      </c>
      <c r="D44" s="18">
        <v>26519</v>
      </c>
      <c r="E44" s="18">
        <v>26487</v>
      </c>
      <c r="F44" s="34">
        <f>E44+Q44-P44</f>
        <v>26125</v>
      </c>
      <c r="G44" s="34">
        <f>G43-G45</f>
        <v>24388.8693</v>
      </c>
      <c r="H44" s="34">
        <f>H43-H45</f>
        <v>24777.6278025</v>
      </c>
      <c r="I44" s="34">
        <f>I43-I45</f>
        <v>25716.495658000003</v>
      </c>
      <c r="J44" s="34">
        <f>J43-J45</f>
        <v>26782.20488668275</v>
      </c>
      <c r="K44" s="34">
        <f>K43-K45</f>
        <v>27894.974122477277</v>
      </c>
      <c r="L44" s="28"/>
      <c r="M44" t="s" s="29">
        <v>99</v>
      </c>
      <c r="N44" t="s" s="29">
        <v>99</v>
      </c>
      <c r="O44" s="28"/>
      <c r="P44" s="18">
        <v>6777</v>
      </c>
      <c r="Q44" s="18">
        <v>6415</v>
      </c>
      <c r="S44" t="s">
        <v>120</v>
      </c>
    </row>
    <row r="45">
      <c r="B45" t="s" s="149">
        <v>121</v>
      </c>
      <c r="C45" s="150">
        <f>C43-C44</f>
        <v>22887</v>
      </c>
      <c r="D45" s="150">
        <f>D43-D44</f>
        <v>19790</v>
      </c>
      <c r="E45" s="150">
        <f>E43-E44</f>
        <v>19911</v>
      </c>
      <c r="F45" s="150">
        <f>F43-F44</f>
        <v>19766</v>
      </c>
      <c r="G45" s="150">
        <f>G43*Cases!C58</f>
        <v>18398.6207</v>
      </c>
      <c r="H45" s="150">
        <f>H43*Cases!D58</f>
        <v>19076.5806975</v>
      </c>
      <c r="I45" s="150">
        <f>I43*Cases!E58</f>
        <v>20205.818017</v>
      </c>
      <c r="J45" s="150">
        <f>J43*Cases!F58</f>
        <v>21474.02013436725</v>
      </c>
      <c r="K45" s="150">
        <f>K43*Cases!G58</f>
        <v>22823.160645663225</v>
      </c>
      <c r="L45" s="38"/>
      <c r="M45" s="151">
        <f>IFERROR((E45/C45)^(1/(YEAR(E$5)-YEAR(C$5)))-1,"n.m.")</f>
        <v>-0.06727825591927983</v>
      </c>
      <c r="N45" s="151">
        <f>IFERROR((K45/E45)^(1/(YEAR(K$5)-YEAR(E$5)))-1,"n.m.")</f>
        <v>0.02767677775351718</v>
      </c>
      <c r="O45" s="38"/>
      <c r="P45" s="150">
        <f>P43-P44</f>
        <v>4943</v>
      </c>
      <c r="Q45" s="150">
        <f>Q43-Q44</f>
        <v>4798</v>
      </c>
    </row>
    <row r="46">
      <c r="B46" t="s" s="30">
        <v>122</v>
      </c>
      <c r="C46" s="31">
        <f>C45/C43</f>
        <v>0.445601806783225</v>
      </c>
      <c r="D46" s="31">
        <f>D45/D43</f>
        <v>0.42734673605562634</v>
      </c>
      <c r="E46" s="31">
        <f>E45/E43</f>
        <v>0.42913487650329757</v>
      </c>
      <c r="F46" s="31">
        <f>F45/F43</f>
        <v>0.43071626244797456</v>
      </c>
      <c r="G46" s="31">
        <f>G45/G43</f>
        <v>0.43</v>
      </c>
      <c r="H46" s="31">
        <f>H45/H43</f>
        <v>0.43500000000000005</v>
      </c>
      <c r="I46" s="31">
        <f>I45/I43</f>
        <v>0.44</v>
      </c>
      <c r="J46" s="31">
        <f>J45/J43</f>
        <v>0.445</v>
      </c>
      <c r="K46" s="31">
        <f>K45/K43</f>
        <v>0.45</v>
      </c>
      <c r="L46" s="32"/>
      <c r="M46" t="s" s="31">
        <v>99</v>
      </c>
      <c r="N46" t="s" s="31">
        <v>99</v>
      </c>
      <c r="O46" s="32"/>
      <c r="P46" s="31">
        <f>P45/P43</f>
        <v>0.42175767918088736</v>
      </c>
      <c r="Q46" s="31">
        <f>Q45/Q43</f>
        <v>0.42789619192009276</v>
      </c>
      <c r="S46" t="s">
        <v>123</v>
      </c>
    </row>
    <row r="47">
      <c r="B47" t="s" s="16">
        <v>124</v>
      </c>
      <c r="C47" s="18">
        <v>4285</v>
      </c>
      <c r="D47" s="18">
        <v>4689</v>
      </c>
      <c r="E47" s="18">
        <v>4754</v>
      </c>
      <c r="F47" s="34">
        <f>E47+Q47-P47</f>
        <v>4818</v>
      </c>
      <c r="G47" s="148">
        <f>G43*Cases!C59</f>
        <v>4492.686449999999</v>
      </c>
      <c r="H47" s="148">
        <f>H43*Cases!D59</f>
        <v>4604.6918925</v>
      </c>
      <c r="I47" s="148">
        <f>I43*Cases!E59</f>
        <v>4821.842935875</v>
      </c>
      <c r="J47" s="148">
        <f>J43*Cases!F59</f>
        <v>5066.903627210249</v>
      </c>
      <c r="K47" s="148">
        <f>K43*Cases!G59</f>
        <v>5325.404150654753</v>
      </c>
      <c r="L47" s="28"/>
      <c r="M47" t="s" s="29">
        <v>99</v>
      </c>
      <c r="N47" t="s" s="29">
        <v>99</v>
      </c>
      <c r="O47" s="28"/>
      <c r="P47" s="18">
        <v>1188</v>
      </c>
      <c r="Q47" s="18">
        <v>1252</v>
      </c>
      <c r="S47" t="s">
        <v>120</v>
      </c>
    </row>
    <row r="48">
      <c r="B48" t="s" s="30">
        <v>125</v>
      </c>
      <c r="C48" s="31">
        <f>C47/C43</f>
        <v>0.0834274366262996</v>
      </c>
      <c r="D48" s="31">
        <f>D47/D43</f>
        <v>0.10125461573344274</v>
      </c>
      <c r="E48" s="31">
        <f>E47/E43</f>
        <v>0.10246131298762878</v>
      </c>
      <c r="F48" s="31">
        <f>F47/F43</f>
        <v>0.10498790612538406</v>
      </c>
      <c r="G48" s="31">
        <f>G47/G43</f>
        <v>0.10499999999999998</v>
      </c>
      <c r="H48" s="31">
        <f>H47/H43</f>
        <v>0.105</v>
      </c>
      <c r="I48" s="31">
        <f>I47/I43</f>
        <v>0.10499999999999998</v>
      </c>
      <c r="J48" s="31">
        <f>J47/J43</f>
        <v>0.105</v>
      </c>
      <c r="K48" s="31">
        <f>K47/K43</f>
        <v>0.105</v>
      </c>
      <c r="L48" s="32"/>
      <c r="M48" t="s" s="31">
        <v>99</v>
      </c>
      <c r="N48" t="s" s="31">
        <v>99</v>
      </c>
      <c r="O48" s="32"/>
      <c r="P48" s="31">
        <f>P47/P43</f>
        <v>0.10136518771331059</v>
      </c>
      <c r="Q48" s="31">
        <f>Q47/Q43</f>
        <v>0.11165611343975743</v>
      </c>
    </row>
    <row r="49">
      <c r="B49" t="s" s="16">
        <v>126</v>
      </c>
      <c r="C49" s="18">
        <v>12291</v>
      </c>
      <c r="D49" s="18">
        <v>11399</v>
      </c>
      <c r="E49" s="18">
        <v>11360</v>
      </c>
      <c r="F49" s="34">
        <f>E49+Q49-P49</f>
        <v>11190</v>
      </c>
      <c r="G49" s="34">
        <f>G45-G47-G51-G40</f>
        <v>11721.45775</v>
      </c>
      <c r="H49" s="34">
        <f>H45-H47-H51-H40</f>
        <v>11431.540034000001</v>
      </c>
      <c r="I49" s="34">
        <f>I45-I47-I51-I40</f>
        <v>11490.654496424999</v>
      </c>
      <c r="J49" s="34">
        <f>J45-J47-J51-J40</f>
        <v>11715.424356815998</v>
      </c>
      <c r="K49" s="34">
        <f>K45-K47-K51-K40</f>
        <v>12011.195601154794</v>
      </c>
      <c r="L49" s="28"/>
      <c r="M49" t="s" s="29">
        <v>99</v>
      </c>
      <c r="N49" t="s" s="29">
        <v>99</v>
      </c>
      <c r="O49" s="28"/>
      <c r="P49" s="18">
        <v>2828</v>
      </c>
      <c r="Q49" s="18">
        <v>2658</v>
      </c>
      <c r="S49" t="s">
        <v>127</v>
      </c>
    </row>
    <row r="50">
      <c r="B50" t="s" s="30">
        <v>125</v>
      </c>
      <c r="C50" s="31">
        <f>C49/C43</f>
        <v>0.23930142907207663</v>
      </c>
      <c r="D50" s="31">
        <f>D49/D43</f>
        <v>0.24615085620505733</v>
      </c>
      <c r="E50" s="31">
        <f>E49/E43</f>
        <v>0.24483813957498168</v>
      </c>
      <c r="F50" s="31">
        <f>F49/F43</f>
        <v>0.24383866117539388</v>
      </c>
      <c r="G50" s="31">
        <f>G49/G43</f>
        <v>0.27394590685268055</v>
      </c>
      <c r="H50" s="31">
        <f>H49/H43</f>
        <v>0.2606714480777826</v>
      </c>
      <c r="I50" s="31">
        <f>I49/I43</f>
        <v>0.25021941572339557</v>
      </c>
      <c r="J50" s="31">
        <f>J49/J43</f>
        <v>0.24277540051476418</v>
      </c>
      <c r="K50" s="31">
        <f>K49/K43</f>
        <v>0.23682250256371493</v>
      </c>
      <c r="L50" s="32"/>
      <c r="M50" t="s" s="31">
        <v>99</v>
      </c>
      <c r="N50" t="s" s="31">
        <v>99</v>
      </c>
      <c r="O50" s="32"/>
      <c r="P50" s="31">
        <f>P49/P43</f>
        <v>0.24129692832764504</v>
      </c>
      <c r="Q50" s="31">
        <f>Q49/Q43</f>
        <v>0.23704628556140195</v>
      </c>
    </row>
    <row r="51">
      <c r="B51" t="s" s="16">
        <v>128</v>
      </c>
      <c r="C51" s="18">
        <v>-228</v>
      </c>
      <c r="D51" s="18">
        <v>-76</v>
      </c>
      <c r="E51" s="18">
        <v>-53</v>
      </c>
      <c r="F51" s="34">
        <f>E51+Q51-P51</f>
        <v>-95</v>
      </c>
      <c r="G51" s="35">
        <f>Cases!C60</f>
        <v>0</v>
      </c>
      <c r="H51" s="35">
        <f>Cases!D60</f>
        <v>0</v>
      </c>
      <c r="I51" s="35">
        <f>Cases!E60</f>
        <v>0</v>
      </c>
      <c r="J51" s="35">
        <f>Cases!F60</f>
        <v>0</v>
      </c>
      <c r="K51" s="35">
        <f>Cases!G60</f>
        <v>0</v>
      </c>
      <c r="L51" s="28"/>
      <c r="M51" t="s" s="29">
        <v>99</v>
      </c>
      <c r="N51" t="s" s="29">
        <v>99</v>
      </c>
      <c r="O51" s="28"/>
      <c r="P51" s="18">
        <v>23</v>
      </c>
      <c r="Q51" s="18">
        <v>-19</v>
      </c>
      <c r="S51" t="s">
        <v>120</v>
      </c>
    </row>
    <row r="52">
      <c r="B52" t="s" s="36">
        <v>129</v>
      </c>
      <c r="C52" s="37">
        <f>C45-C47-C49-C51</f>
        <v>6539</v>
      </c>
      <c r="D52" s="37">
        <f>D45-D47-D49-D51</f>
        <v>3778</v>
      </c>
      <c r="E52" s="37">
        <f>E45-E47-E49-E51</f>
        <v>3850</v>
      </c>
      <c r="F52" s="37">
        <f>F45-F47-F49-F51</f>
        <v>3853</v>
      </c>
      <c r="G52" s="37">
        <f>G45-G47-G49-G51</f>
        <v>2184.4765000000007</v>
      </c>
      <c r="H52" s="37">
        <f>H45-H47-H49-H51</f>
        <v>3040.348771000001</v>
      </c>
      <c r="I52" s="37">
        <f>I45-I47-I49-I51</f>
        <v>3893.3205847000027</v>
      </c>
      <c r="J52" s="37">
        <f>J45-J47-J49-J51</f>
        <v>4691.692150341001</v>
      </c>
      <c r="K52" s="37">
        <f>K45-K47-K49-K51</f>
        <v>5486.560893853677</v>
      </c>
      <c r="L52" s="38"/>
      <c r="M52" s="39">
        <f>IFERROR((E52/C52)^(1/(YEAR(E$5)-YEAR(C$5)))-1,"n.m.")</f>
        <v>-0.23268321922731283</v>
      </c>
      <c r="N52" s="39">
        <f>IFERROR((K52/E52)^(1/(YEAR(K$5)-YEAR(E$5)))-1,"n.m.")</f>
        <v>0.07341558075814247</v>
      </c>
      <c r="O52" s="38"/>
      <c r="P52" s="37">
        <f>P45-P47-P49-P51</f>
        <v>904</v>
      </c>
      <c r="Q52" s="37">
        <f>Q45-Q47-Q49-Q51</f>
        <v>907</v>
      </c>
    </row>
    <row r="53">
      <c r="B53" t="s" s="44">
        <v>130</v>
      </c>
      <c r="C53" s="45">
        <f>C52-C40</f>
        <v>0</v>
      </c>
      <c r="D53" s="45">
        <f>D52-D40</f>
        <v>0</v>
      </c>
      <c r="E53" s="45">
        <f>E52-E40</f>
        <v>0</v>
      </c>
      <c r="F53" s="45">
        <f>F52-F40</f>
        <v>0</v>
      </c>
      <c r="G53" s="45">
        <f>G52-G40</f>
        <v>0</v>
      </c>
      <c r="H53" s="45">
        <f>H52-H40</f>
        <v>0</v>
      </c>
      <c r="I53" s="45">
        <f>I52-I40</f>
        <v>0</v>
      </c>
      <c r="J53" s="45">
        <f>J52-J40</f>
        <v>0</v>
      </c>
      <c r="K53" s="45">
        <f>K52-K40</f>
        <v>0</v>
      </c>
      <c r="L53" s="32"/>
      <c r="M53" t="s" s="31">
        <v>99</v>
      </c>
      <c r="N53" t="s" s="31">
        <v>99</v>
      </c>
      <c r="O53" s="32"/>
      <c r="P53" s="45">
        <f>P52-P40</f>
        <v>0</v>
      </c>
      <c r="Q53" s="45">
        <f>Q52-Q40</f>
        <v>0</v>
      </c>
    </row>
    <row r="54">
      <c r="B54" t="s" s="16">
        <v>131</v>
      </c>
      <c r="C54" s="18">
        <v>-161</v>
      </c>
      <c r="D54" s="18">
        <v>-107</v>
      </c>
      <c r="E54" s="18">
        <v>-50</v>
      </c>
      <c r="F54" s="34">
        <f>E54+Q54-P54</f>
        <v>-46</v>
      </c>
      <c r="G54" s="34">
        <f>G128-G131</f>
        <v>-50.72000000000003</v>
      </c>
      <c r="H54" s="34">
        <f>H128-H131</f>
        <v>-27.943250594999995</v>
      </c>
      <c r="I54" s="34">
        <f>I128-I131</f>
        <v>-31.211441273344462</v>
      </c>
      <c r="J54" s="34">
        <f>J128-J131</f>
        <v>-21.668979275220863</v>
      </c>
      <c r="K54" s="34">
        <f>K128-K131</f>
        <v>-4.4535064821562855</v>
      </c>
      <c r="L54" s="28"/>
      <c r="M54" t="s" s="29">
        <v>99</v>
      </c>
      <c r="N54" t="s" s="29">
        <v>99</v>
      </c>
      <c r="O54" s="28"/>
      <c r="P54" s="18">
        <v>-18</v>
      </c>
      <c r="Q54" s="18">
        <v>-14</v>
      </c>
      <c r="S54" t="s">
        <v>132</v>
      </c>
    </row>
    <row r="55">
      <c r="B55" t="s" s="36">
        <v>133</v>
      </c>
      <c r="C55" s="37">
        <f>C52-C54</f>
        <v>6700</v>
      </c>
      <c r="D55" s="37">
        <f>D52-D54</f>
        <v>3885</v>
      </c>
      <c r="E55" s="37">
        <f>E52-E54</f>
        <v>3900</v>
      </c>
      <c r="F55" s="37">
        <f>F52-F54</f>
        <v>3899</v>
      </c>
      <c r="G55" s="37">
        <f>G52-G54</f>
        <v>2235.196500000001</v>
      </c>
      <c r="H55" s="37">
        <f>H52-H54</f>
        <v>3068.2920215950007</v>
      </c>
      <c r="I55" s="37">
        <f>I52-I54</f>
        <v>3924.532025973347</v>
      </c>
      <c r="J55" s="37">
        <f>J52-J54</f>
        <v>4713.361129616222</v>
      </c>
      <c r="K55" s="37">
        <f>K52-K54</f>
        <v>5491.014400335834</v>
      </c>
      <c r="L55" s="38"/>
      <c r="M55" s="39">
        <f>IFERROR((E55/C55)^(1/(YEAR(E$5)-YEAR(C$5)))-1,"n.m.")</f>
        <v>-0.2370520645294294</v>
      </c>
      <c r="N55" s="39">
        <f>IFERROR((K55/E55)^(1/(YEAR(K$5)-YEAR(E$5)))-1,"n.m.")</f>
        <v>0.07082276424461198</v>
      </c>
      <c r="O55" s="38"/>
      <c r="P55" s="37">
        <f>P52-P54</f>
        <v>922</v>
      </c>
      <c r="Q55" s="37">
        <f>Q52-Q54</f>
        <v>921</v>
      </c>
    </row>
    <row r="56">
      <c r="B56" t="s" s="16">
        <v>134</v>
      </c>
      <c r="C56" s="18">
        <v>1000</v>
      </c>
      <c r="D56" s="18">
        <v>666</v>
      </c>
      <c r="E56" s="18">
        <v>792</v>
      </c>
      <c r="F56" s="34">
        <f>E56+Q56-P56</f>
        <v>806</v>
      </c>
      <c r="G56" s="148">
        <f>G55*Cases!C61</f>
        <v>558.7991250000002</v>
      </c>
      <c r="H56" s="148">
        <f>H55*Cases!D61</f>
        <v>705.7071649668502</v>
      </c>
      <c r="I56" s="148">
        <f>I55*Cases!E61</f>
        <v>863.3970457141364</v>
      </c>
      <c r="J56" s="148">
        <f>J55*Cases!F61</f>
        <v>1036.9394485155688</v>
      </c>
      <c r="K56" s="148">
        <f>K55*Cases!G61</f>
        <v>1208.0231680738834</v>
      </c>
      <c r="L56" s="28"/>
      <c r="M56" t="s" s="29">
        <v>99</v>
      </c>
      <c r="N56" t="s" s="29">
        <v>99</v>
      </c>
      <c r="O56" s="28"/>
      <c r="P56" s="18">
        <v>195</v>
      </c>
      <c r="Q56" s="18">
        <v>209</v>
      </c>
      <c r="S56" t="s">
        <v>120</v>
      </c>
    </row>
    <row r="57">
      <c r="B57" t="s" s="30">
        <v>135</v>
      </c>
      <c r="C57" s="31">
        <f>C56/C55</f>
        <v>0.14925373134328357</v>
      </c>
      <c r="D57" s="31">
        <f>D56/D55</f>
        <v>0.17142857142857143</v>
      </c>
      <c r="E57" s="31">
        <f>E56/E55</f>
        <v>0.20307692307692307</v>
      </c>
      <c r="F57" s="31">
        <f>F56/F55</f>
        <v>0.20671967171069505</v>
      </c>
      <c r="G57" s="31">
        <f>G56/G55</f>
        <v>0.25</v>
      </c>
      <c r="H57" s="31">
        <f>H56/H55</f>
        <v>0.23</v>
      </c>
      <c r="I57" s="31">
        <f>I56/I55</f>
        <v>0.22000000000000003</v>
      </c>
      <c r="J57" s="31">
        <f>J56/J55</f>
        <v>0.22</v>
      </c>
      <c r="K57" s="31">
        <f>K56/K55</f>
        <v>0.22</v>
      </c>
      <c r="L57" s="32"/>
      <c r="M57" t="s" s="31">
        <v>99</v>
      </c>
      <c r="N57" t="s" s="31">
        <v>99</v>
      </c>
      <c r="O57" s="32"/>
      <c r="P57" s="31">
        <f>P56/P55</f>
        <v>0.21149674620390455</v>
      </c>
      <c r="Q57" s="31">
        <f>Q56/Q55</f>
        <v>0.2269272529858849</v>
      </c>
      <c r="S57" t="s">
        <v>136</v>
      </c>
    </row>
    <row r="58">
      <c r="B58" t="s" s="149">
        <v>137</v>
      </c>
      <c r="C58" s="150">
        <f>C55-C56</f>
        <v>5700</v>
      </c>
      <c r="D58" s="150">
        <f>D55-D56</f>
        <v>3219</v>
      </c>
      <c r="E58" s="150">
        <f>E55-E56</f>
        <v>3108</v>
      </c>
      <c r="F58" s="150">
        <f>F55-F56</f>
        <v>3093</v>
      </c>
      <c r="G58" s="150">
        <f>G55-G56</f>
        <v>1676.3973750000007</v>
      </c>
      <c r="H58" s="150">
        <f>H55-H56</f>
        <v>2362.5848566281506</v>
      </c>
      <c r="I58" s="150">
        <f>I55-I56</f>
        <v>3061.134980259211</v>
      </c>
      <c r="J58" s="150">
        <f>J55-J56</f>
        <v>3676.4216811006527</v>
      </c>
      <c r="K58" s="150">
        <f>K55-K56</f>
        <v>4282.99123226195</v>
      </c>
      <c r="L58" s="38"/>
      <c r="M58" s="151">
        <f>IFERROR((E58/C58)^(1/(YEAR(E$5)-YEAR(C$5)))-1,"n.m.")</f>
        <v>-0.26158063548229116</v>
      </c>
      <c r="N58" s="151">
        <f>IFERROR((K58/E58)^(1/(YEAR(K$5)-YEAR(E$5)))-1,"n.m.")</f>
        <v>0.06623573791511261</v>
      </c>
      <c r="O58" s="38"/>
      <c r="P58" s="150">
        <f>P55-P56</f>
        <v>727</v>
      </c>
      <c r="Q58" s="150">
        <f>Q55-Q56</f>
        <v>712</v>
      </c>
    </row>
    <row r="59">
      <c r="B59" t="s" s="16">
        <v>138</v>
      </c>
      <c r="C59" s="18">
        <v>1529.7</v>
      </c>
      <c r="D59" s="18">
        <v>1487.6</v>
      </c>
      <c r="E59" s="18">
        <v>1481</v>
      </c>
      <c r="F59" s="34">
        <f>Q59</f>
        <v>1484.2</v>
      </c>
      <c r="G59" s="34">
        <f>AVERAGE(G135,G138)+G139</f>
        <v>1487</v>
      </c>
      <c r="H59" s="34">
        <f>AVERAGE(H135,H138)+H139</f>
        <v>1486.75</v>
      </c>
      <c r="I59" s="34">
        <f>AVERAGE(I135,I138)+I139</f>
        <v>1469.8333333333335</v>
      </c>
      <c r="J59" s="34">
        <f>AVERAGE(J135,J138)+J139</f>
        <v>1439.1666666666667</v>
      </c>
      <c r="K59" s="34">
        <f>AVERAGE(K135,K138)+K139</f>
        <v>1402.439393939394</v>
      </c>
      <c r="L59" s="28"/>
      <c r="M59" t="s" s="29">
        <v>99</v>
      </c>
      <c r="N59" t="s" s="29">
        <v>99</v>
      </c>
      <c r="O59" s="28"/>
      <c r="P59" s="18">
        <v>1479</v>
      </c>
      <c r="Q59" s="18">
        <v>1484.2</v>
      </c>
      <c r="S59" t="s">
        <v>139</v>
      </c>
    </row>
    <row r="60">
      <c r="B60" t="s" s="5">
        <v>140</v>
      </c>
      <c r="C60" s="46">
        <f>C58/C59</f>
        <v>3.7262208276132576</v>
      </c>
      <c r="D60" s="46">
        <f>D58/D59</f>
        <v>2.163888141973649</v>
      </c>
      <c r="E60" s="46">
        <f>E58/E59</f>
        <v>2.0985820391627277</v>
      </c>
      <c r="F60" s="46">
        <f>F58/F59</f>
        <v>2.0839509500067375</v>
      </c>
      <c r="G60" s="46">
        <f>G58/G59</f>
        <v>1.1273687794216547</v>
      </c>
      <c r="H60" s="46">
        <f>H58/H59</f>
        <v>1.5890935642361868</v>
      </c>
      <c r="I60" s="46">
        <f>I58/I59</f>
        <v>2.08264087555905</v>
      </c>
      <c r="J60" s="46">
        <f>J58/J59</f>
        <v>2.5545489388076335</v>
      </c>
      <c r="K60" s="46">
        <f>K58/K59</f>
        <v>3.0539581608808106</v>
      </c>
      <c r="L60" s="38"/>
      <c r="M60" s="13">
        <f>IFERROR((E60/C60)^(1/(YEAR(E$5)-YEAR(C$5)))-1,"n.m.")</f>
        <v>-0.24953804340292307</v>
      </c>
      <c r="N60" s="13">
        <f>IFERROR((K60/E60)^(1/(YEAR(K$5)-YEAR(E$5)))-1,"n.m.")</f>
        <v>0.07792222451759612</v>
      </c>
      <c r="O60" s="38"/>
      <c r="P60" s="46">
        <f>P58/P59</f>
        <v>0.49154834347532117</v>
      </c>
      <c r="Q60" s="46">
        <f>Q58/Q59</f>
        <v>0.47971971432421506</v>
      </c>
      <c r="S60" t="s">
        <v>141</v>
      </c>
    </row>
    <row r="61">
      <c r="B61" t="s" s="30">
        <v>97</v>
      </c>
      <c r="C61" t="s" s="31">
        <v>98</v>
      </c>
      <c r="D61" s="31">
        <f>D60/C60-1</f>
        <v>-0.41928075600401915</v>
      </c>
      <c r="E61" s="31">
        <f>E60/D60-1</f>
        <v>-0.030179980907588222</v>
      </c>
      <c r="F61" t="s" s="31">
        <v>99</v>
      </c>
      <c r="G61" s="31">
        <f>G60/E60-1</f>
        <v>-0.4627949928174161</v>
      </c>
      <c r="H61" s="31">
        <f>H60/G60-1</f>
        <v>0.4095596695975552</v>
      </c>
      <c r="I61" s="31">
        <f>I60/H60-1</f>
        <v>0.31058417353800793</v>
      </c>
      <c r="J61" s="31">
        <f>J60/I60-1</f>
        <v>0.22659118467647832</v>
      </c>
      <c r="K61" s="31">
        <f>K60/J60-1</f>
        <v>0.1954980053372093</v>
      </c>
      <c r="L61" s="32"/>
      <c r="M61" t="s" s="31">
        <v>99</v>
      </c>
      <c r="N61" t="s" s="31">
        <v>99</v>
      </c>
      <c r="O61" s="32"/>
      <c r="P61" t="s" s="31">
        <v>98</v>
      </c>
      <c r="Q61" s="31">
        <f>Q60/P60-1</f>
        <v>-0.024064019964905037</v>
      </c>
    </row>
    <row r="62">
      <c r="B62" t="s" s="16">
        <v>142</v>
      </c>
      <c r="C62" s="18">
        <v>443</v>
      </c>
      <c r="D62" s="18">
        <v>0</v>
      </c>
      <c r="E62" s="18">
        <v>385</v>
      </c>
      <c r="F62" s="34">
        <f>E62+Q62-P62</f>
        <v>385</v>
      </c>
      <c r="G62" s="34">
        <f>-G39</f>
        <v>300</v>
      </c>
      <c r="H62" s="34">
        <f>-H39</f>
        <v>250</v>
      </c>
      <c r="I62" s="34">
        <f>-I39</f>
        <v>200</v>
      </c>
      <c r="J62" s="34">
        <f>-J39</f>
        <v>150</v>
      </c>
      <c r="K62" s="34">
        <f>-K39</f>
        <v>100</v>
      </c>
      <c r="L62" s="28"/>
      <c r="M62" t="s" s="29">
        <v>99</v>
      </c>
      <c r="N62" t="s" s="29">
        <v>99</v>
      </c>
      <c r="O62" s="28"/>
      <c r="P62" s="18">
        <v>0</v>
      </c>
      <c r="Q62" s="18">
        <v>0</v>
      </c>
      <c r="S62" t="s">
        <v>143</v>
      </c>
    </row>
    <row r="63">
      <c r="B63" t="s" s="5">
        <v>144</v>
      </c>
      <c r="C63" s="47">
        <f>C52+C62</f>
        <v>6982</v>
      </c>
      <c r="D63" s="47">
        <f>D52+D62</f>
        <v>3778</v>
      </c>
      <c r="E63" s="47">
        <f>E52+E62</f>
        <v>4235</v>
      </c>
      <c r="F63" s="47">
        <f>F52+F62</f>
        <v>4238</v>
      </c>
      <c r="G63" s="47">
        <f>G52+G62</f>
        <v>2484.4765000000007</v>
      </c>
      <c r="H63" s="47">
        <f>H52+H62</f>
        <v>3290.348771000001</v>
      </c>
      <c r="I63" s="47">
        <f>I52+I62</f>
        <v>4093.3205847000027</v>
      </c>
      <c r="J63" s="47">
        <f>J52+J62</f>
        <v>4841.692150341001</v>
      </c>
      <c r="K63" s="47">
        <f>K52+K62</f>
        <v>5586.560893853677</v>
      </c>
      <c r="L63" s="38"/>
      <c r="M63" s="13">
        <f>IFERROR((E63/C63)^(1/(YEAR(E$5)-YEAR(C$5)))-1,"n.m.")</f>
        <v>-0.2211805568636841</v>
      </c>
      <c r="N63" s="13">
        <f>IFERROR((K63/E63)^(1/(YEAR(K$5)-YEAR(E$5)))-1,"n.m.")</f>
        <v>0.05695920282416855</v>
      </c>
      <c r="O63" s="38"/>
      <c r="P63" s="47">
        <f>P52+P62</f>
        <v>904</v>
      </c>
      <c r="Q63" s="47">
        <f>Q52+Q62</f>
        <v>907</v>
      </c>
    </row>
    <row r="64">
      <c r="B64" t="s" s="30">
        <v>109</v>
      </c>
      <c r="C64" s="31">
        <f>C63/C43</f>
        <v>0.1359370741014758</v>
      </c>
      <c r="D64" s="31">
        <f>D63/D43</f>
        <v>0.08158241378565721</v>
      </c>
      <c r="E64" s="31">
        <f>E63/E43</f>
        <v>0.09127548601232811</v>
      </c>
      <c r="F64" s="31">
        <f>F63/F43</f>
        <v>0.09234926238260226</v>
      </c>
      <c r="G64" s="31">
        <f>G63/G43</f>
        <v>0.058065488300435494</v>
      </c>
      <c r="H64" s="31">
        <f>H63/H43</f>
        <v>0.07502925907327687</v>
      </c>
      <c r="I64" s="31">
        <f>I63/I43</f>
        <v>0.08913576553805903</v>
      </c>
      <c r="J64" s="31">
        <f>J63/J43</f>
        <v>0.10033300674118192</v>
      </c>
      <c r="K64" s="31">
        <f>K63/K43</f>
        <v>0.11014917877782396</v>
      </c>
      <c r="L64" s="32"/>
      <c r="M64" t="s" s="31">
        <v>99</v>
      </c>
      <c r="N64" t="s" s="31">
        <v>99</v>
      </c>
      <c r="O64" s="32"/>
      <c r="P64" s="31">
        <f>P63/P43</f>
        <v>0.07713310580204778</v>
      </c>
      <c r="Q64" s="31">
        <f>Q63/Q43</f>
        <v>0.080888254704361</v>
      </c>
    </row>
    <row r="65">
      <c r="B65" t="s" s="5">
        <v>145</v>
      </c>
      <c r="C65" s="46">
        <f>(C58+C62*(1-C57))/C59</f>
        <v>3.9725963241255964</v>
      </c>
      <c r="D65" s="46">
        <f>(D58+D62*(1-D57))/D59</f>
        <v>2.163888141973649</v>
      </c>
      <c r="E65" s="46">
        <f>(E58+E62*(1-E57))/E59</f>
        <v>2.3057497532852023</v>
      </c>
      <c r="F65" s="46">
        <f>(F58+F62*(1-F57))/F59</f>
        <v>2.2897270761294855</v>
      </c>
      <c r="G65" s="46">
        <f>(G58+G62*(1-G57))/G59</f>
        <v>1.278680144586416</v>
      </c>
      <c r="H65" s="46">
        <f>(H58+H62*(1-H57))/H59</f>
        <v>1.7185706114869015</v>
      </c>
      <c r="I65" s="46">
        <f>(I58+I62*(1-I57))/I59</f>
        <v>2.1887753579266653</v>
      </c>
      <c r="J65" s="46">
        <f>(J58+J62*(1-J57))/J59</f>
        <v>2.635845985709776</v>
      </c>
      <c r="K65" s="46">
        <f>(K58+K62*(1-K57))/K59</f>
        <v>3.109575537529723</v>
      </c>
      <c r="L65" s="38"/>
      <c r="M65" s="13">
        <f>IFERROR((E65/C65)^(1/(YEAR(E$5)-YEAR(C$5)))-1,"n.m.")</f>
        <v>-0.2381510607237436</v>
      </c>
      <c r="N65" s="13">
        <f>IFERROR((K65/E65)^(1/(YEAR(K$5)-YEAR(E$5)))-1,"n.m.")</f>
        <v>0.061641258283522404</v>
      </c>
      <c r="O65" s="38"/>
      <c r="P65" s="46">
        <f>(P58+P62*(1-P57))/P59</f>
        <v>0.49154834347532117</v>
      </c>
      <c r="Q65" s="46">
        <f>(Q58+Q62*(1-Q57))/Q59</f>
        <v>0.47971971432421506</v>
      </c>
      <c r="S65" t="s">
        <v>146</v>
      </c>
    </row>
    <row r="66">
      <c r="B66" t="s" s="16">
        <v>47</v>
      </c>
      <c r="C66" s="34">
        <f>C71</f>
        <v>796</v>
      </c>
      <c r="D66" s="34">
        <f>D71</f>
        <v>775</v>
      </c>
      <c r="E66" s="34">
        <f>E71</f>
        <v>747</v>
      </c>
      <c r="F66" s="34">
        <f>F71</f>
        <v>750</v>
      </c>
      <c r="G66" s="34">
        <f>G71</f>
        <v>760</v>
      </c>
      <c r="H66" s="34">
        <f>H71</f>
        <v>780</v>
      </c>
      <c r="I66" s="34">
        <f>I71</f>
        <v>800</v>
      </c>
      <c r="J66" s="34">
        <f>J71</f>
        <v>830</v>
      </c>
      <c r="K66" s="34">
        <f>K71</f>
        <v>860</v>
      </c>
      <c r="L66" s="28"/>
      <c r="M66" t="s" s="29">
        <v>99</v>
      </c>
      <c r="N66" t="s" s="29">
        <v>99</v>
      </c>
      <c r="O66" s="28"/>
      <c r="P66" s="34">
        <f>P71</f>
        <v>190</v>
      </c>
      <c r="Q66" s="34">
        <f>Q71</f>
        <v>193</v>
      </c>
    </row>
    <row r="67">
      <c r="B67" t="s" s="149">
        <v>147</v>
      </c>
      <c r="C67" s="150">
        <f>C63+C66</f>
        <v>7778</v>
      </c>
      <c r="D67" s="150">
        <f>D63+D66</f>
        <v>4553</v>
      </c>
      <c r="E67" s="150">
        <f>E63+E66</f>
        <v>4982</v>
      </c>
      <c r="F67" s="150">
        <f>F63+F66</f>
        <v>4988</v>
      </c>
      <c r="G67" s="150">
        <f>G63+G66</f>
        <v>3244.4765000000007</v>
      </c>
      <c r="H67" s="150">
        <f>H63+H66</f>
        <v>4070.348771000001</v>
      </c>
      <c r="I67" s="150">
        <f>I63+I66</f>
        <v>4893.320584700003</v>
      </c>
      <c r="J67" s="150">
        <f>J63+J66</f>
        <v>5671.692150341001</v>
      </c>
      <c r="K67" s="150">
        <f>K63+K66</f>
        <v>6446.560893853677</v>
      </c>
      <c r="L67" s="38"/>
      <c r="M67" s="151">
        <f>IFERROR((E67/C67)^(1/(YEAR(E$5)-YEAR(C$5)))-1,"n.m.")</f>
        <v>-0.1996722193743088</v>
      </c>
      <c r="N67" s="151">
        <f>IFERROR((K67/E67)^(1/(YEAR(K$5)-YEAR(E$5)))-1,"n.m.")</f>
        <v>0.05289453917243758</v>
      </c>
      <c r="O67" s="38"/>
      <c r="P67" s="150">
        <f>P63+P66</f>
        <v>1094</v>
      </c>
      <c r="Q67" s="150">
        <f>Q63+Q66</f>
        <v>1100</v>
      </c>
    </row>
    <row r="68">
      <c r="B68" t="s" s="30">
        <v>109</v>
      </c>
      <c r="C68" s="31">
        <f>C67/C43</f>
        <v>0.1514349129706787</v>
      </c>
      <c r="D68" s="31">
        <f>D67/D43</f>
        <v>0.09831782158975577</v>
      </c>
      <c r="E68" s="31">
        <f>E67/E43</f>
        <v>0.1073753179016337</v>
      </c>
      <c r="F68" s="31">
        <f>F67/F43</f>
        <v>0.10869233618792355</v>
      </c>
      <c r="G68" s="31">
        <f>G67/G43</f>
        <v>0.07582768935499606</v>
      </c>
      <c r="H68" s="31">
        <f>H67/H43</f>
        <v>0.09281546538458221</v>
      </c>
      <c r="I68" s="31">
        <f>I67/I43</f>
        <v>0.10655649058387741</v>
      </c>
      <c r="J68" s="31">
        <f>J67/J43</f>
        <v>0.11753286022408373</v>
      </c>
      <c r="K68" s="31">
        <f>K67/K43</f>
        <v>0.12710563831505883</v>
      </c>
      <c r="L68" s="32"/>
      <c r="M68" t="s" s="31">
        <v>99</v>
      </c>
      <c r="N68" t="s" s="31">
        <v>99</v>
      </c>
      <c r="O68" s="32"/>
      <c r="P68" s="31">
        <f>P67/P43</f>
        <v>0.09334470989761093</v>
      </c>
      <c r="Q68" s="31">
        <f>Q67/Q43</f>
        <v>0.0981004191563364</v>
      </c>
    </row>
    <row r="69">
      <c r="B69" t="s" s="56">
        <v>148</v>
      </c>
      <c r="C69" s="56"/>
      <c r="D69" s="56"/>
      <c r="E69" s="56"/>
      <c r="F69" s="56"/>
      <c r="G69" s="56"/>
      <c r="H69" s="56"/>
      <c r="I69" s="56"/>
      <c r="J69" s="56"/>
      <c r="K69" s="56"/>
      <c r="M69" s="56"/>
      <c r="N69" s="56"/>
      <c r="P69" s="56"/>
      <c r="Q69" s="56"/>
      <c r="S69" s="56"/>
    </row>
    <row r="70">
      <c r="B70" t="s" s="16">
        <v>137</v>
      </c>
      <c r="C70" s="26">
        <f>C58</f>
        <v>5700</v>
      </c>
      <c r="D70" s="26">
        <f>D58</f>
        <v>3219</v>
      </c>
      <c r="E70" s="26">
        <f>E58</f>
        <v>3108</v>
      </c>
      <c r="F70" s="26">
        <f>F58</f>
        <v>3093</v>
      </c>
      <c r="G70" s="26">
        <f>G58</f>
        <v>1676.3973750000007</v>
      </c>
      <c r="H70" s="26">
        <f>H58</f>
        <v>2362.5848566281506</v>
      </c>
      <c r="I70" s="26">
        <f>I58</f>
        <v>3061.134980259211</v>
      </c>
      <c r="J70" s="26">
        <f>J58</f>
        <v>3676.4216811006527</v>
      </c>
      <c r="K70" s="26">
        <f>K58</f>
        <v>4282.99123226195</v>
      </c>
      <c r="L70" s="28"/>
      <c r="M70" t="s" s="29">
        <v>99</v>
      </c>
      <c r="N70" t="s" s="29">
        <v>99</v>
      </c>
      <c r="O70" s="28"/>
      <c r="P70" s="26">
        <f>P58</f>
        <v>727</v>
      </c>
      <c r="Q70" s="26">
        <f>Q58</f>
        <v>712</v>
      </c>
    </row>
    <row r="71">
      <c r="B71" t="s" s="16">
        <v>47</v>
      </c>
      <c r="C71" s="18">
        <v>796</v>
      </c>
      <c r="D71" s="18">
        <v>775</v>
      </c>
      <c r="E71" s="18">
        <v>747</v>
      </c>
      <c r="F71" s="34">
        <f>E71+Q71-P71</f>
        <v>750</v>
      </c>
      <c r="G71" s="35">
        <f>Cases!C63</f>
        <v>760</v>
      </c>
      <c r="H71" s="35">
        <f>Cases!D63</f>
        <v>780</v>
      </c>
      <c r="I71" s="35">
        <f>Cases!E63</f>
        <v>800</v>
      </c>
      <c r="J71" s="35">
        <f>Cases!F63</f>
        <v>830</v>
      </c>
      <c r="K71" s="35">
        <f>Cases!G63</f>
        <v>860</v>
      </c>
      <c r="L71" s="28"/>
      <c r="M71" t="s" s="29">
        <v>99</v>
      </c>
      <c r="N71" t="s" s="29">
        <v>99</v>
      </c>
      <c r="O71" s="28"/>
      <c r="P71" s="18">
        <v>190</v>
      </c>
      <c r="Q71" s="18">
        <v>193</v>
      </c>
      <c r="S71" t="s">
        <v>149</v>
      </c>
    </row>
    <row r="72">
      <c r="B72" t="s" s="16">
        <v>49</v>
      </c>
      <c r="C72" s="18">
        <v>804</v>
      </c>
      <c r="D72" s="18">
        <v>709</v>
      </c>
      <c r="E72" s="18">
        <v>715</v>
      </c>
      <c r="F72" s="34">
        <f>E72+Q72-P72</f>
        <v>688</v>
      </c>
      <c r="G72" s="35">
        <f>Cases!C64</f>
        <v>650</v>
      </c>
      <c r="H72" s="35">
        <f>Cases!D64</f>
        <v>680</v>
      </c>
      <c r="I72" s="35">
        <f>Cases!E64</f>
        <v>700</v>
      </c>
      <c r="J72" s="35">
        <f>Cases!F64</f>
        <v>720</v>
      </c>
      <c r="K72" s="35">
        <f>Cases!G64</f>
        <v>740</v>
      </c>
      <c r="L72" s="28"/>
      <c r="M72" t="s" s="29">
        <v>99</v>
      </c>
      <c r="N72" t="s" s="29">
        <v>99</v>
      </c>
      <c r="O72" s="28"/>
      <c r="P72" s="18">
        <v>185</v>
      </c>
      <c r="Q72" s="18">
        <v>158</v>
      </c>
      <c r="S72" t="s">
        <v>149</v>
      </c>
    </row>
    <row r="73">
      <c r="B73" t="s" s="16">
        <v>150</v>
      </c>
      <c r="C73" s="18">
        <v>-497</v>
      </c>
      <c r="D73" s="18">
        <v>-288</v>
      </c>
      <c r="E73" s="18">
        <v>-96</v>
      </c>
      <c r="F73" s="34">
        <f>E73+Q73-P73</f>
        <v>-138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28"/>
      <c r="M73" t="s" s="29">
        <v>99</v>
      </c>
      <c r="N73" t="s" s="29">
        <v>99</v>
      </c>
      <c r="O73" s="28"/>
      <c r="P73" s="18">
        <v>-25</v>
      </c>
      <c r="Q73" s="18">
        <v>-67</v>
      </c>
    </row>
    <row r="74">
      <c r="B74" t="s" s="16">
        <v>151</v>
      </c>
      <c r="C74" s="18">
        <v>48</v>
      </c>
      <c r="D74" s="18">
        <v>33</v>
      </c>
      <c r="E74" s="18">
        <v>50</v>
      </c>
      <c r="F74" s="34">
        <f>E74+Q74-P74</f>
        <v>51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28"/>
      <c r="M74" t="s" s="29">
        <v>99</v>
      </c>
      <c r="N74" t="s" s="29">
        <v>99</v>
      </c>
      <c r="O74" s="28"/>
      <c r="P74" s="18">
        <v>8</v>
      </c>
      <c r="Q74" s="18">
        <v>9</v>
      </c>
    </row>
    <row r="75">
      <c r="B75" t="s" s="16">
        <v>152</v>
      </c>
      <c r="C75" s="18">
        <v>-138</v>
      </c>
      <c r="D75" s="18">
        <v>37</v>
      </c>
      <c r="E75" s="18">
        <v>22</v>
      </c>
      <c r="F75" s="34">
        <f>E75+Q75-P75</f>
        <v>-36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28"/>
      <c r="M75" t="s" s="29">
        <v>99</v>
      </c>
      <c r="N75" t="s" s="29">
        <v>99</v>
      </c>
      <c r="O75" s="28"/>
      <c r="P75" s="18">
        <v>34</v>
      </c>
      <c r="Q75" s="18">
        <v>-24</v>
      </c>
    </row>
    <row r="76">
      <c r="B76" t="s" s="16">
        <v>153</v>
      </c>
      <c r="C76" s="18">
        <v>-329</v>
      </c>
      <c r="D76" s="18">
        <v>-257</v>
      </c>
      <c r="E76" s="18">
        <v>-1207</v>
      </c>
      <c r="F76" s="34">
        <f>E76+Q76-P76</f>
        <v>-297</v>
      </c>
      <c r="G76" s="34">
        <f>-(G100-E100)</f>
        <v>1010.43865</v>
      </c>
      <c r="H76" s="34">
        <f>-(H100-G100)</f>
        <v>96.59841499999948</v>
      </c>
      <c r="I76" s="34">
        <f>-(I100-H100)</f>
        <v>2.119999125000504</v>
      </c>
      <c r="J76" s="34">
        <f>-(J100-I100)</f>
        <v>-245.06069133524943</v>
      </c>
      <c r="K76" s="34">
        <f>-(K100-J100)</f>
        <v>-258.5005234445034</v>
      </c>
      <c r="L76" s="28"/>
      <c r="M76" t="s" s="29">
        <v>99</v>
      </c>
      <c r="N76" t="s" s="29">
        <v>99</v>
      </c>
      <c r="O76" s="28"/>
      <c r="P76" s="18">
        <v>-215</v>
      </c>
      <c r="Q76" s="18">
        <v>695</v>
      </c>
    </row>
    <row r="77">
      <c r="B77" t="s" s="16">
        <v>154</v>
      </c>
      <c r="C77" s="18">
        <v>908</v>
      </c>
      <c r="D77" s="18">
        <v>120</v>
      </c>
      <c r="E77" s="18">
        <v>-31</v>
      </c>
      <c r="F77" s="34">
        <f>E77+Q77-P77</f>
        <v>267</v>
      </c>
      <c r="G77" s="34">
        <f>-(G101-E101)</f>
        <v>672.1165959999998</v>
      </c>
      <c r="H77" s="34">
        <f>-(H101-G101)</f>
        <v>15.035758312499638</v>
      </c>
      <c r="I77" s="34">
        <f>-(I101-H101)</f>
        <v>-129.60618197250096</v>
      </c>
      <c r="J77" s="34">
        <f>-(J101-I101)</f>
        <v>-287.74149174434115</v>
      </c>
      <c r="K77" s="34">
        <f>-(K101-J101)</f>
        <v>-300.4476936645224</v>
      </c>
      <c r="L77" s="28"/>
      <c r="M77" t="s" s="29">
        <v>99</v>
      </c>
      <c r="N77" t="s" s="29">
        <v>99</v>
      </c>
      <c r="O77" s="28"/>
      <c r="P77" s="18">
        <v>-610</v>
      </c>
      <c r="Q77" s="18">
        <v>-312</v>
      </c>
    </row>
    <row r="78">
      <c r="B78" t="s" s="16">
        <v>155</v>
      </c>
      <c r="C78" s="18">
        <v>-260</v>
      </c>
      <c r="D78" s="18">
        <v>-224</v>
      </c>
      <c r="E78" s="18">
        <v>519</v>
      </c>
      <c r="F78" s="34">
        <f>E78+Q78-P78</f>
        <v>674</v>
      </c>
      <c r="G78" s="34">
        <f>-(G102-E102)-(G104-E104)</f>
        <v>175.77546000000007</v>
      </c>
      <c r="H78" s="34">
        <f>-(H102-G102)-(H104-G104)</f>
        <v>-49.06905100000017</v>
      </c>
      <c r="I78" s="34">
        <f>-(I102-H102)-(I104-H104)</f>
        <v>-95.13283804999992</v>
      </c>
      <c r="J78" s="34">
        <f>-(J102-I102)-(J104-I104)</f>
        <v>-107.35992191829973</v>
      </c>
      <c r="K78" s="34">
        <f>-(K102-J102)-(K104-J104)</f>
        <v>-113.24784836616345</v>
      </c>
      <c r="L78" s="28"/>
      <c r="M78" t="s" s="29">
        <v>99</v>
      </c>
      <c r="N78" t="s" s="29">
        <v>99</v>
      </c>
      <c r="O78" s="28"/>
      <c r="P78" s="18">
        <v>-165</v>
      </c>
      <c r="Q78" s="18">
        <v>-10</v>
      </c>
    </row>
    <row r="79">
      <c r="B79" t="s" s="16">
        <v>156</v>
      </c>
      <c r="C79" s="18">
        <v>397</v>
      </c>
      <c r="D79" s="18">
        <v>-426</v>
      </c>
      <c r="E79" s="18">
        <v>-959</v>
      </c>
      <c r="F79" s="34">
        <f>E79+Q79-P79</f>
        <v>-2271</v>
      </c>
      <c r="G79" s="34">
        <f>(G110-E110)+(G112-E112)+(G113-E113)+(G111-E111)+(G115-E115)+(G116-E116)</f>
        <v>-1051.0663945000001</v>
      </c>
      <c r="H79" s="34">
        <f>(H110-G110)+(H112-G112)+(H113-G113)+(H111-G111)+(H115-G115)+(H116-G116)</f>
        <v>185.8222103375001</v>
      </c>
      <c r="I79" s="34">
        <f>(I110-H110)+(I112-H112)+(I113-H113)+(I111-H111)+(I115-H115)+(I116-H116)</f>
        <v>385.26030736750135</v>
      </c>
      <c r="J79" s="34">
        <f>(J110-I110)+(J112-I112)+(J113-I113)+(J111-I111)+(J115-I115)+(J116-I116)</f>
        <v>435.6096641284198</v>
      </c>
      <c r="K79" s="34">
        <f>(K110-J110)+(K112-J112)+(K113-J113)+(K111-J111)+(K115-J115)+(K116-J116)</f>
        <v>457.9625652185741</v>
      </c>
      <c r="L79" s="28"/>
      <c r="M79" t="s" s="29">
        <v>99</v>
      </c>
      <c r="N79" t="s" s="29">
        <v>99</v>
      </c>
      <c r="O79" s="28"/>
      <c r="P79" s="18">
        <v>93</v>
      </c>
      <c r="Q79" s="18">
        <v>-1219</v>
      </c>
    </row>
    <row r="80">
      <c r="B80" t="s" s="149">
        <v>157</v>
      </c>
      <c r="C80" s="150">
        <f>SUM(C70:C79)</f>
        <v>7429</v>
      </c>
      <c r="D80" s="150">
        <f>SUM(D70:D79)</f>
        <v>3698</v>
      </c>
      <c r="E80" s="150">
        <f>SUM(E70:E79)</f>
        <v>2868</v>
      </c>
      <c r="F80" s="150">
        <f>SUM(F70:F79)</f>
        <v>2781</v>
      </c>
      <c r="G80" s="150">
        <f>SUM(G70:G79)</f>
        <v>3893.6616865</v>
      </c>
      <c r="H80" s="150">
        <f>SUM(H70:H79)</f>
        <v>4070.97218927815</v>
      </c>
      <c r="I80" s="150">
        <f>SUM(I70:I79)</f>
        <v>4723.776266729212</v>
      </c>
      <c r="J80" s="150">
        <f>SUM(J70:J79)</f>
        <v>5021.869240231183</v>
      </c>
      <c r="K80" s="150">
        <f>SUM(K70:K79)</f>
        <v>5668.757732005335</v>
      </c>
      <c r="L80" s="38"/>
      <c r="M80" s="151">
        <f>IFERROR((E80/C80)^(1/(YEAR(E$5)-YEAR(C$5)))-1,"n.m.")</f>
        <v>-0.37866703717472927</v>
      </c>
      <c r="N80" s="151">
        <f>IFERROR((K80/E80)^(1/(YEAR(K$5)-YEAR(E$5)))-1,"n.m.")</f>
        <v>0.14599243290684027</v>
      </c>
      <c r="O80" s="38"/>
      <c r="P80" s="150">
        <f>SUM(P70:P79)</f>
        <v>222</v>
      </c>
      <c r="Q80" s="150">
        <f>SUM(Q70:Q79)</f>
        <v>135</v>
      </c>
      <c r="S80" t="s">
        <v>158</v>
      </c>
    </row>
    <row r="81">
      <c r="B81" t="s" s="16">
        <v>51</v>
      </c>
      <c r="C81" s="18">
        <v>-812</v>
      </c>
      <c r="D81" s="18">
        <v>-430</v>
      </c>
      <c r="E81" s="18">
        <v>-684</v>
      </c>
      <c r="F81" s="34">
        <f>E81+Q81-P81</f>
        <v>-676</v>
      </c>
      <c r="G81" s="137">
        <f>-Cases!C65</f>
        <v>-750</v>
      </c>
      <c r="H81" s="137">
        <f>-Cases!D65</f>
        <v>-800</v>
      </c>
      <c r="I81" s="137">
        <f>-Cases!E65</f>
        <v>-850</v>
      </c>
      <c r="J81" s="137">
        <f>-Cases!F65</f>
        <v>-900</v>
      </c>
      <c r="K81" s="137">
        <f>-Cases!G65</f>
        <v>-950</v>
      </c>
      <c r="L81" s="28"/>
      <c r="M81" t="s" s="29">
        <v>99</v>
      </c>
      <c r="N81" t="s" s="29">
        <v>99</v>
      </c>
      <c r="O81" s="28"/>
      <c r="P81" s="18">
        <v>-207</v>
      </c>
      <c r="Q81" s="18">
        <v>-199</v>
      </c>
      <c r="S81" t="s">
        <v>149</v>
      </c>
    </row>
    <row r="82">
      <c r="B82" t="s" s="149">
        <v>159</v>
      </c>
      <c r="C82" s="150">
        <f>C80+C81</f>
        <v>6617</v>
      </c>
      <c r="D82" s="150">
        <f>D80+D81</f>
        <v>3268</v>
      </c>
      <c r="E82" s="150">
        <f>E80+E81</f>
        <v>2184</v>
      </c>
      <c r="F82" s="150">
        <f>F80+F81</f>
        <v>2105</v>
      </c>
      <c r="G82" s="150">
        <f>G80+G81</f>
        <v>3143.6616865</v>
      </c>
      <c r="H82" s="150">
        <f>H80+H81</f>
        <v>3270.97218927815</v>
      </c>
      <c r="I82" s="150">
        <f>I80+I81</f>
        <v>3873.776266729212</v>
      </c>
      <c r="J82" s="150">
        <f>J80+J81</f>
        <v>4121.869240231183</v>
      </c>
      <c r="K82" s="150">
        <f>K80+K81</f>
        <v>4718.757732005335</v>
      </c>
      <c r="L82" s="38"/>
      <c r="M82" s="151">
        <f>IFERROR((E82/C82)^(1/(YEAR(E$5)-YEAR(C$5)))-1,"n.m.")</f>
        <v>-0.42549243773796397</v>
      </c>
      <c r="N82" s="151">
        <f>IFERROR((K82/E82)^(1/(YEAR(K$5)-YEAR(E$5)))-1,"n.m.")</f>
        <v>0.1665812967555571</v>
      </c>
      <c r="O82" s="38"/>
      <c r="P82" s="150">
        <f>P80+P81</f>
        <v>15</v>
      </c>
      <c r="Q82" s="150">
        <f>Q80+Q81</f>
        <v>-64</v>
      </c>
    </row>
    <row r="83">
      <c r="B83" t="s" s="16">
        <v>160</v>
      </c>
      <c r="C83" s="18">
        <v>-4767</v>
      </c>
      <c r="D83" s="18">
        <v>-3234</v>
      </c>
      <c r="E83" s="18">
        <v>-1316</v>
      </c>
      <c r="F83" s="34">
        <f>E83+Q83-P83</f>
        <v>-1368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28"/>
      <c r="M83" t="s" s="29">
        <v>99</v>
      </c>
      <c r="N83" t="s" s="29">
        <v>99</v>
      </c>
      <c r="O83" s="28"/>
      <c r="P83" s="18">
        <v>-355</v>
      </c>
      <c r="Q83" s="18">
        <v>-407</v>
      </c>
    </row>
    <row r="84">
      <c r="B84" t="s" s="16">
        <v>161</v>
      </c>
      <c r="C84" s="18">
        <v>2269</v>
      </c>
      <c r="D84" s="18">
        <v>319</v>
      </c>
      <c r="E84" s="18">
        <v>556</v>
      </c>
      <c r="F84" s="34">
        <f>E84+Q84-P84</f>
        <v>383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28"/>
      <c r="M84" t="s" s="29">
        <v>99</v>
      </c>
      <c r="N84" t="s" s="29">
        <v>99</v>
      </c>
      <c r="O84" s="28"/>
      <c r="P84" s="18">
        <v>209</v>
      </c>
      <c r="Q84" s="18">
        <v>36</v>
      </c>
    </row>
    <row r="85">
      <c r="B85" t="s" s="16">
        <v>162</v>
      </c>
      <c r="C85" s="18">
        <v>4219</v>
      </c>
      <c r="D85" s="18">
        <v>3062</v>
      </c>
      <c r="E85" s="18">
        <v>1021</v>
      </c>
      <c r="F85" s="34">
        <f>E85+Q85-P85</f>
        <v>1105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28"/>
      <c r="M85" t="s" s="29">
        <v>99</v>
      </c>
      <c r="N85" t="s" s="29">
        <v>99</v>
      </c>
      <c r="O85" s="28"/>
      <c r="P85" s="18">
        <v>294</v>
      </c>
      <c r="Q85" s="18">
        <v>378</v>
      </c>
    </row>
    <row r="86">
      <c r="B86" t="s" s="16">
        <v>163</v>
      </c>
      <c r="C86" s="18">
        <v>-15</v>
      </c>
      <c r="D86" s="18">
        <v>8</v>
      </c>
      <c r="E86" s="18">
        <v>-65</v>
      </c>
      <c r="F86" s="34">
        <f>E86+Q86-P86</f>
        <v>-65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28"/>
      <c r="M86" t="s" s="29">
        <v>99</v>
      </c>
      <c r="N86" t="s" s="29">
        <v>99</v>
      </c>
      <c r="O86" s="28"/>
      <c r="P86" s="18">
        <v>0</v>
      </c>
      <c r="Q86" s="18">
        <v>0</v>
      </c>
    </row>
    <row r="87">
      <c r="B87" t="s" s="36">
        <v>164</v>
      </c>
      <c r="C87" s="37">
        <f>C81+SUM(C83:C86)</f>
        <v>894</v>
      </c>
      <c r="D87" s="37">
        <f>D81+SUM(D83:D86)</f>
        <v>-275</v>
      </c>
      <c r="E87" s="37">
        <f>E81+SUM(E83:E86)</f>
        <v>-488</v>
      </c>
      <c r="F87" s="37">
        <f>F81+SUM(F83:F86)</f>
        <v>-621</v>
      </c>
      <c r="G87" s="37">
        <f>G81+SUM(G83:G86)</f>
        <v>-750</v>
      </c>
      <c r="H87" s="37">
        <f>H81+SUM(H83:H86)</f>
        <v>-800</v>
      </c>
      <c r="I87" s="37">
        <f>I81+SUM(I83:I86)</f>
        <v>-850</v>
      </c>
      <c r="J87" s="37">
        <f>J81+SUM(J83:J86)</f>
        <v>-900</v>
      </c>
      <c r="K87" s="37">
        <f>K81+SUM(K83:K86)</f>
        <v>-950</v>
      </c>
      <c r="L87" s="38"/>
      <c r="M87" t="s" s="39">
        <v>99</v>
      </c>
      <c r="N87" t="s" s="39">
        <v>99</v>
      </c>
      <c r="O87" s="38"/>
      <c r="P87" s="37">
        <f>P81+SUM(P83:P86)</f>
        <v>-59</v>
      </c>
      <c r="Q87" s="37">
        <f>Q81+SUM(Q83:Q86)</f>
        <v>-192</v>
      </c>
    </row>
    <row r="88">
      <c r="B88" t="s" s="16">
        <v>64</v>
      </c>
      <c r="C88" s="18">
        <v>0</v>
      </c>
      <c r="D88" s="18">
        <v>0</v>
      </c>
      <c r="E88" s="18">
        <v>0</v>
      </c>
      <c r="F88" s="34">
        <f>E88+Q88-P88</f>
        <v>0</v>
      </c>
      <c r="G88" s="35">
        <f>Cases!C72</f>
        <v>1000</v>
      </c>
      <c r="H88" s="35">
        <f>Cases!D72</f>
        <v>0</v>
      </c>
      <c r="I88" s="35">
        <f>Cases!E72</f>
        <v>0</v>
      </c>
      <c r="J88" s="35">
        <f>Cases!F72</f>
        <v>1500</v>
      </c>
      <c r="K88" s="35">
        <f>Cases!G72</f>
        <v>0</v>
      </c>
      <c r="L88" s="28"/>
      <c r="M88" t="s" s="29">
        <v>99</v>
      </c>
      <c r="N88" t="s" s="29">
        <v>99</v>
      </c>
      <c r="O88" s="28"/>
      <c r="P88" s="18">
        <v>0</v>
      </c>
      <c r="Q88" s="18">
        <v>0</v>
      </c>
      <c r="S88" t="s">
        <v>165</v>
      </c>
    </row>
    <row r="89">
      <c r="B89" t="s" s="16">
        <v>66</v>
      </c>
      <c r="C89" s="18">
        <v>0</v>
      </c>
      <c r="D89" s="18">
        <v>-1000</v>
      </c>
      <c r="E89" s="18">
        <v>0</v>
      </c>
      <c r="F89" s="34">
        <f>E89+Q89-P89</f>
        <v>0</v>
      </c>
      <c r="G89" s="137">
        <f>-Cases!C73</f>
        <v>-2000</v>
      </c>
      <c r="H89" s="137">
        <f>-Cases!D73</f>
        <v>0</v>
      </c>
      <c r="I89" s="137">
        <f>-Cases!E73</f>
        <v>0</v>
      </c>
      <c r="J89" s="137">
        <f>-Cases!F73</f>
        <v>-1500</v>
      </c>
      <c r="K89" s="137">
        <f>-Cases!G73</f>
        <v>0</v>
      </c>
      <c r="L89" s="28"/>
      <c r="M89" t="s" s="29">
        <v>99</v>
      </c>
      <c r="N89" t="s" s="29">
        <v>99</v>
      </c>
      <c r="O89" s="28"/>
      <c r="P89" s="18">
        <v>0</v>
      </c>
      <c r="Q89" s="18">
        <v>0</v>
      </c>
      <c r="S89" t="s">
        <v>166</v>
      </c>
    </row>
    <row r="90">
      <c r="B90" t="s" s="16">
        <v>167</v>
      </c>
      <c r="C90" s="18">
        <v>667</v>
      </c>
      <c r="D90" s="18">
        <v>551</v>
      </c>
      <c r="E90" s="18">
        <v>354</v>
      </c>
      <c r="F90" s="34">
        <f>E90+Q90-P90</f>
        <v>227</v>
      </c>
      <c r="G90" s="35">
        <f>Cases!C77</f>
        <v>200</v>
      </c>
      <c r="H90" s="35">
        <f>Cases!D77</f>
        <v>200</v>
      </c>
      <c r="I90" s="35">
        <f>Cases!E77</f>
        <v>200</v>
      </c>
      <c r="J90" s="35">
        <f>Cases!F77</f>
        <v>200</v>
      </c>
      <c r="K90" s="35">
        <f>Cases!G77</f>
        <v>200</v>
      </c>
      <c r="L90" s="28"/>
      <c r="M90" t="s" s="29">
        <v>99</v>
      </c>
      <c r="N90" t="s" s="29">
        <v>99</v>
      </c>
      <c r="O90" s="28"/>
      <c r="P90" s="18">
        <v>127</v>
      </c>
      <c r="Q90" s="18">
        <v>0</v>
      </c>
    </row>
    <row r="91">
      <c r="B91" t="s" s="16">
        <v>76</v>
      </c>
      <c r="C91" s="18">
        <v>-4250</v>
      </c>
      <c r="D91" s="18">
        <v>-2985</v>
      </c>
      <c r="E91" s="18">
        <v>-146</v>
      </c>
      <c r="F91" s="34">
        <f>E91+Q91-P91</f>
        <v>-20</v>
      </c>
      <c r="G91" s="137">
        <f>-Cases!C78</f>
        <v>0</v>
      </c>
      <c r="H91" s="137">
        <f>-Cases!D78</f>
        <v>-500</v>
      </c>
      <c r="I91" s="137">
        <f>-Cases!E78</f>
        <v>-1500</v>
      </c>
      <c r="J91" s="137">
        <f>-Cases!F78</f>
        <v>-2000</v>
      </c>
      <c r="K91" s="137">
        <f>-Cases!G78</f>
        <v>-2500</v>
      </c>
      <c r="L91" s="28"/>
      <c r="M91" t="s" s="29">
        <v>99</v>
      </c>
      <c r="N91" t="s" s="29">
        <v>99</v>
      </c>
      <c r="O91" s="28"/>
      <c r="P91" s="18">
        <v>-126</v>
      </c>
      <c r="Q91" s="18">
        <v>0</v>
      </c>
    </row>
    <row r="92">
      <c r="B92" t="s" s="16">
        <v>168</v>
      </c>
      <c r="C92" s="18">
        <v>-2169</v>
      </c>
      <c r="D92" s="18">
        <v>-2300</v>
      </c>
      <c r="E92" s="18">
        <v>-2407</v>
      </c>
      <c r="F92" s="34">
        <f>E92+Q92-P92</f>
        <v>-2426</v>
      </c>
      <c r="G92" s="34">
        <f>-G140*AVERAGE(G135,G138)</f>
        <v>-2481.62</v>
      </c>
      <c r="H92" s="34">
        <f>-H140*AVERAGE(H135,H138)</f>
        <v>-2540.6325</v>
      </c>
      <c r="I92" s="34">
        <f>-I140*AVERAGE(I135,I138)</f>
        <v>-2570.4583333333335</v>
      </c>
      <c r="J92" s="34">
        <f>-J140*AVERAGE(J135,J138)</f>
        <v>-2574.3183333333336</v>
      </c>
      <c r="K92" s="34">
        <f>-K140*AVERAGE(K135,K138)</f>
        <v>-2564.634090909091</v>
      </c>
      <c r="L92" s="28"/>
      <c r="M92" t="s" s="29">
        <v>99</v>
      </c>
      <c r="N92" t="s" s="29">
        <v>99</v>
      </c>
      <c r="O92" s="28"/>
      <c r="P92" s="18">
        <v>-591</v>
      </c>
      <c r="Q92" s="18">
        <v>-610</v>
      </c>
    </row>
    <row r="93">
      <c r="B93" t="s" s="16">
        <v>82</v>
      </c>
      <c r="C93" s="18">
        <v>-136</v>
      </c>
      <c r="D93" s="18">
        <v>-86</v>
      </c>
      <c r="E93" s="18">
        <v>-93</v>
      </c>
      <c r="F93" s="34">
        <f>E93+Q93-P93</f>
        <v>-93</v>
      </c>
      <c r="G93" s="35">
        <f>Cases!C81</f>
        <v>-90</v>
      </c>
      <c r="H93" s="35">
        <f>Cases!D81</f>
        <v>-90</v>
      </c>
      <c r="I93" s="35">
        <f>Cases!E81</f>
        <v>-90</v>
      </c>
      <c r="J93" s="35">
        <f>Cases!F81</f>
        <v>-90</v>
      </c>
      <c r="K93" s="35">
        <f>Cases!G81</f>
        <v>-90</v>
      </c>
      <c r="L93" s="28"/>
      <c r="M93" t="s" s="29">
        <v>99</v>
      </c>
      <c r="N93" t="s" s="29">
        <v>99</v>
      </c>
      <c r="O93" s="28"/>
      <c r="P93" s="18">
        <v>-8</v>
      </c>
      <c r="Q93" s="18">
        <v>-8</v>
      </c>
    </row>
    <row r="94">
      <c r="B94" t="s" s="36">
        <v>169</v>
      </c>
      <c r="C94" s="37">
        <f>SUM(C88:C93)</f>
        <v>-5888</v>
      </c>
      <c r="D94" s="37">
        <f>SUM(D88:D93)</f>
        <v>-5820</v>
      </c>
      <c r="E94" s="37">
        <f>SUM(E88:E93)</f>
        <v>-2292</v>
      </c>
      <c r="F94" s="37">
        <f>SUM(F88:F93)</f>
        <v>-2312</v>
      </c>
      <c r="G94" s="37">
        <f>SUM(G88:G93)</f>
        <v>-3371.62</v>
      </c>
      <c r="H94" s="37">
        <f>SUM(H88:H93)</f>
        <v>-2930.6325</v>
      </c>
      <c r="I94" s="37">
        <f>SUM(I88:I93)</f>
        <v>-3960.4583333333335</v>
      </c>
      <c r="J94" s="37">
        <f>SUM(J88:J93)</f>
        <v>-4464.318333333334</v>
      </c>
      <c r="K94" s="37">
        <f>SUM(K88:K93)</f>
        <v>-4954.63409090909</v>
      </c>
      <c r="L94" s="38"/>
      <c r="M94" t="s" s="39">
        <v>99</v>
      </c>
      <c r="N94" t="s" s="39">
        <v>99</v>
      </c>
      <c r="O94" s="38"/>
      <c r="P94" s="37">
        <f>SUM(P88:P93)</f>
        <v>-598</v>
      </c>
      <c r="Q94" s="37">
        <f>SUM(Q88:Q93)</f>
        <v>-618</v>
      </c>
    </row>
    <row r="95">
      <c r="B95" t="s" s="16">
        <v>170</v>
      </c>
      <c r="C95" s="18">
        <v>-16</v>
      </c>
      <c r="D95" s="18">
        <v>1</v>
      </c>
      <c r="E95" s="18">
        <v>11</v>
      </c>
      <c r="F95" s="34">
        <f>E95+Q95-P95</f>
        <v>31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28"/>
      <c r="M95" t="s" s="29">
        <v>99</v>
      </c>
      <c r="N95" t="s" s="29">
        <v>99</v>
      </c>
      <c r="O95" s="28"/>
      <c r="P95" s="18">
        <v>-5</v>
      </c>
      <c r="Q95" s="18">
        <v>15</v>
      </c>
    </row>
    <row r="96">
      <c r="B96" t="s" s="36">
        <v>171</v>
      </c>
      <c r="C96" s="37">
        <f>C80+C87+C94+C95</f>
        <v>2419</v>
      </c>
      <c r="D96" s="37">
        <f>D80+D87+D94+D95</f>
        <v>-2396</v>
      </c>
      <c r="E96" s="37">
        <f>E80+E87+E94+E95</f>
        <v>99</v>
      </c>
      <c r="F96" s="37">
        <f>F80+F87+F94+F95</f>
        <v>-121</v>
      </c>
      <c r="G96" s="37">
        <f>G80+G87+G94+G95</f>
        <v>-227.9583134999998</v>
      </c>
      <c r="H96" s="37">
        <f>H80+H87+H94+H95</f>
        <v>340.33968927814976</v>
      </c>
      <c r="I96" s="37">
        <f>I80+I87+I94+I95</f>
        <v>-86.6820666041217</v>
      </c>
      <c r="J96" s="37">
        <f>J80+J87+J94+J95</f>
        <v>-342.449093102151</v>
      </c>
      <c r="K96" s="37">
        <f>K80+K87+K94+K95</f>
        <v>-235.87635890375532</v>
      </c>
      <c r="L96" s="38"/>
      <c r="M96" t="s" s="39">
        <v>99</v>
      </c>
      <c r="N96" t="s" s="39">
        <v>99</v>
      </c>
      <c r="O96" s="38"/>
      <c r="P96" s="37">
        <f>P80+P87+P94+P95</f>
        <v>-440</v>
      </c>
      <c r="Q96" s="37">
        <f>Q80+Q87+Q94+Q95</f>
        <v>-660</v>
      </c>
      <c r="S96" t="s">
        <v>172</v>
      </c>
    </row>
    <row r="97">
      <c r="B97" t="s" s="56">
        <v>173</v>
      </c>
      <c r="C97" s="56"/>
      <c r="D97" s="56"/>
      <c r="E97" s="56"/>
      <c r="F97" s="56"/>
      <c r="G97" s="56"/>
      <c r="H97" s="56"/>
      <c r="I97" s="56"/>
      <c r="J97" s="56"/>
      <c r="K97" s="56"/>
      <c r="M97" s="56"/>
      <c r="N97" s="56"/>
      <c r="P97" s="56"/>
      <c r="Q97" s="56"/>
      <c r="S97" s="56"/>
    </row>
    <row r="98">
      <c r="B98" t="s" s="16">
        <v>174</v>
      </c>
      <c r="C98" s="17">
        <v>9860</v>
      </c>
      <c r="D98" s="17">
        <v>7464</v>
      </c>
      <c r="E98" s="17">
        <v>7563</v>
      </c>
      <c r="F98" s="26">
        <f>Q98</f>
        <v>6903</v>
      </c>
      <c r="G98" s="26">
        <f>E98+G96</f>
        <v>7335.041686500001</v>
      </c>
      <c r="H98" s="26">
        <f>G98+H96</f>
        <v>7675.38137577815</v>
      </c>
      <c r="I98" s="26">
        <f>H98+I96</f>
        <v>7588.699309174028</v>
      </c>
      <c r="J98" s="26">
        <f>I98+J96</f>
        <v>7246.250216071877</v>
      </c>
      <c r="K98" s="26">
        <f>J98+K96</f>
        <v>7010.3738571681215</v>
      </c>
      <c r="L98" s="28"/>
      <c r="M98" t="s" s="29">
        <v>99</v>
      </c>
      <c r="N98" t="s" s="29">
        <v>99</v>
      </c>
      <c r="O98" s="28"/>
      <c r="P98" s="17">
        <v>7024</v>
      </c>
      <c r="Q98" s="17">
        <v>6903</v>
      </c>
      <c r="S98" t="s">
        <v>175</v>
      </c>
    </row>
    <row r="99">
      <c r="B99" t="s" s="16">
        <v>176</v>
      </c>
      <c r="C99" s="18">
        <v>1722</v>
      </c>
      <c r="D99" s="18">
        <v>1687</v>
      </c>
      <c r="E99" s="18">
        <v>1464</v>
      </c>
      <c r="F99" s="34">
        <f>Q99</f>
        <v>1465</v>
      </c>
      <c r="G99" s="34">
        <f>E99-SUM(G83:G85)</f>
        <v>1464</v>
      </c>
      <c r="H99" s="34">
        <f>G99-SUM(H83:H85)</f>
        <v>1464</v>
      </c>
      <c r="I99" s="34">
        <f>H99-SUM(I83:I85)</f>
        <v>1464</v>
      </c>
      <c r="J99" s="34">
        <f>I99-SUM(J83:J85)</f>
        <v>1464</v>
      </c>
      <c r="K99" s="34">
        <f>J99-SUM(K83:K85)</f>
        <v>1464</v>
      </c>
      <c r="L99" s="28"/>
      <c r="M99" t="s" s="29">
        <v>99</v>
      </c>
      <c r="N99" t="s" s="29">
        <v>99</v>
      </c>
      <c r="O99" s="28"/>
      <c r="P99" s="18">
        <v>1551</v>
      </c>
      <c r="Q99" s="18">
        <v>1465</v>
      </c>
    </row>
    <row r="100">
      <c r="B100" t="s" s="16">
        <v>177</v>
      </c>
      <c r="C100" s="18">
        <v>4427</v>
      </c>
      <c r="D100" s="18">
        <v>4717</v>
      </c>
      <c r="E100" s="18">
        <v>5931</v>
      </c>
      <c r="F100" s="34">
        <f>Q100</f>
        <v>5242</v>
      </c>
      <c r="G100" s="148">
        <f>G43*Cases!C66</f>
        <v>4920.56135</v>
      </c>
      <c r="H100" s="148">
        <f>H43*Cases!D66</f>
        <v>4823.9629350000005</v>
      </c>
      <c r="I100" s="148">
        <f>I43*Cases!E66</f>
        <v>4821.842935875</v>
      </c>
      <c r="J100" s="148">
        <f>J43*Cases!F66</f>
        <v>5066.903627210249</v>
      </c>
      <c r="K100" s="148">
        <f>K43*Cases!G66</f>
        <v>5325.404150654753</v>
      </c>
      <c r="L100" s="28"/>
      <c r="M100" t="s" s="29">
        <v>99</v>
      </c>
      <c r="N100" t="s" s="29">
        <v>99</v>
      </c>
      <c r="O100" s="28"/>
      <c r="P100" s="18">
        <v>4962</v>
      </c>
      <c r="Q100" s="18">
        <v>5242</v>
      </c>
    </row>
    <row r="101">
      <c r="B101" t="s" s="16">
        <v>178</v>
      </c>
      <c r="C101" s="18">
        <v>7519</v>
      </c>
      <c r="D101" s="18">
        <v>7489</v>
      </c>
      <c r="E101" s="18">
        <v>7501</v>
      </c>
      <c r="F101" s="34">
        <f>Q101</f>
        <v>7846</v>
      </c>
      <c r="G101" s="148">
        <f>G44*Cases!C67</f>
        <v>6828.883404</v>
      </c>
      <c r="H101" s="148">
        <f>H44*Cases!D67</f>
        <v>6813.8476456875005</v>
      </c>
      <c r="I101" s="148">
        <f>I44*Cases!E67</f>
        <v>6943.4538276600015</v>
      </c>
      <c r="J101" s="148">
        <f>J44*Cases!F67</f>
        <v>7231.195319404343</v>
      </c>
      <c r="K101" s="148">
        <f>K44*Cases!G67</f>
        <v>7531.643013068865</v>
      </c>
      <c r="L101" s="28"/>
      <c r="M101" t="s" s="29">
        <v>99</v>
      </c>
      <c r="N101" t="s" s="29">
        <v>99</v>
      </c>
      <c r="O101" s="28"/>
      <c r="P101" s="18">
        <v>8114</v>
      </c>
      <c r="Q101" s="18">
        <v>7846</v>
      </c>
    </row>
    <row r="102">
      <c r="B102" t="s" s="16">
        <v>179</v>
      </c>
      <c r="C102" s="18">
        <v>1854</v>
      </c>
      <c r="D102" s="18">
        <v>2005</v>
      </c>
      <c r="E102" s="18">
        <v>2144</v>
      </c>
      <c r="F102" s="34">
        <f>Q102</f>
        <v>2217</v>
      </c>
      <c r="G102" s="148">
        <f>G43*Cases!C68</f>
        <v>1968.22454</v>
      </c>
      <c r="H102" s="148">
        <f>H43*Cases!D68</f>
        <v>2017.293591</v>
      </c>
      <c r="I102" s="148">
        <f>I43*Cases!E68</f>
        <v>2112.42642905</v>
      </c>
      <c r="J102" s="148">
        <f>J43*Cases!F68</f>
        <v>2219.7863509682998</v>
      </c>
      <c r="K102" s="148">
        <f>K43*Cases!G68</f>
        <v>2333.034199334463</v>
      </c>
      <c r="L102" s="28"/>
      <c r="M102" t="s" s="29">
        <v>99</v>
      </c>
      <c r="N102" t="s" s="29">
        <v>99</v>
      </c>
      <c r="O102" s="28"/>
      <c r="P102" s="18">
        <v>2247</v>
      </c>
      <c r="Q102" s="18">
        <v>2217</v>
      </c>
    </row>
    <row r="103">
      <c r="B103" t="s" s="16">
        <v>180</v>
      </c>
      <c r="C103" s="18">
        <v>5000</v>
      </c>
      <c r="D103" s="18">
        <v>4828</v>
      </c>
      <c r="E103" s="18">
        <v>4796</v>
      </c>
      <c r="F103" s="34">
        <f>Q103</f>
        <v>4887</v>
      </c>
      <c r="G103" s="34">
        <f>E103-G81-G71</f>
        <v>4786</v>
      </c>
      <c r="H103" s="34">
        <f>G103-H81-H71</f>
        <v>4806</v>
      </c>
      <c r="I103" s="34">
        <f>H103-I81-I71</f>
        <v>4856</v>
      </c>
      <c r="J103" s="34">
        <f>I103-J81-J71</f>
        <v>4926</v>
      </c>
      <c r="K103" s="34">
        <f>J103-K81-K71</f>
        <v>5016</v>
      </c>
      <c r="L103" s="28"/>
      <c r="M103" t="s" s="29">
        <v>99</v>
      </c>
      <c r="N103" t="s" s="29">
        <v>99</v>
      </c>
      <c r="O103" s="28"/>
      <c r="P103" s="18">
        <v>4861</v>
      </c>
      <c r="Q103" s="18">
        <v>4887</v>
      </c>
    </row>
    <row r="104">
      <c r="B104" t="s" s="16">
        <v>181</v>
      </c>
      <c r="C104" s="18">
        <v>2718</v>
      </c>
      <c r="D104" s="18">
        <v>2712</v>
      </c>
      <c r="E104" s="18">
        <v>2838</v>
      </c>
      <c r="F104" s="34">
        <f>Q104</f>
        <v>2947</v>
      </c>
      <c r="G104" s="34">
        <f>E104</f>
        <v>2838</v>
      </c>
      <c r="H104" s="34">
        <f>G104</f>
        <v>2838</v>
      </c>
      <c r="I104" s="34">
        <f>H104</f>
        <v>2838</v>
      </c>
      <c r="J104" s="34">
        <f>I104</f>
        <v>2838</v>
      </c>
      <c r="K104" s="34">
        <f>J104</f>
        <v>2838</v>
      </c>
      <c r="L104" s="28"/>
      <c r="M104" t="s" s="29">
        <v>99</v>
      </c>
      <c r="N104" t="s" s="29">
        <v>99</v>
      </c>
      <c r="O104" s="28"/>
      <c r="P104" s="18">
        <v>2727</v>
      </c>
      <c r="Q104" s="18">
        <v>2947</v>
      </c>
    </row>
    <row r="105">
      <c r="B105" t="s" s="16">
        <v>182</v>
      </c>
      <c r="C105" s="18">
        <v>499</v>
      </c>
      <c r="D105" s="18">
        <v>499</v>
      </c>
      <c r="E105" s="18">
        <v>499</v>
      </c>
      <c r="F105" s="34">
        <f>Q105</f>
        <v>499</v>
      </c>
      <c r="G105" s="34">
        <f>E105</f>
        <v>499</v>
      </c>
      <c r="H105" s="34">
        <f>G105</f>
        <v>499</v>
      </c>
      <c r="I105" s="34">
        <f>H105</f>
        <v>499</v>
      </c>
      <c r="J105" s="34">
        <f>I105</f>
        <v>499</v>
      </c>
      <c r="K105" s="34">
        <f>J105</f>
        <v>499</v>
      </c>
      <c r="L105" s="28"/>
      <c r="M105" t="s" s="29">
        <v>99</v>
      </c>
      <c r="N105" t="s" s="29">
        <v>99</v>
      </c>
      <c r="O105" s="28"/>
      <c r="P105" s="18">
        <v>499</v>
      </c>
      <c r="Q105" s="18">
        <v>499</v>
      </c>
      <c r="S105" t="s">
        <v>183</v>
      </c>
    </row>
    <row r="106">
      <c r="B106" t="s" s="16">
        <v>184</v>
      </c>
      <c r="C106" s="18">
        <v>4511</v>
      </c>
      <c r="D106" s="18">
        <v>5178</v>
      </c>
      <c r="E106" s="18">
        <v>5674</v>
      </c>
      <c r="F106" s="34">
        <f>Q106</f>
        <v>5788</v>
      </c>
      <c r="G106" s="34">
        <f>E106-G73-G74-G75-G86</f>
        <v>5674</v>
      </c>
      <c r="H106" s="34">
        <f>G106-H73-H74-H75-H86</f>
        <v>5674</v>
      </c>
      <c r="I106" s="34">
        <f>H106-I73-I74-I75-I86</f>
        <v>5674</v>
      </c>
      <c r="J106" s="34">
        <f>I106-J73-J74-J75-J86</f>
        <v>5674</v>
      </c>
      <c r="K106" s="34">
        <f>J106-K73-K74-K75-K86</f>
        <v>5674</v>
      </c>
      <c r="L106" s="28"/>
      <c r="M106" t="s" s="29">
        <v>99</v>
      </c>
      <c r="N106" t="s" s="29">
        <v>99</v>
      </c>
      <c r="O106" s="28"/>
      <c r="P106" s="18">
        <v>5349</v>
      </c>
      <c r="Q106" s="18">
        <v>5788</v>
      </c>
    </row>
    <row r="107">
      <c r="B107" t="s" s="36">
        <v>185</v>
      </c>
      <c r="C107" s="37">
        <f>SUM(C98:C106)</f>
        <v>38110</v>
      </c>
      <c r="D107" s="37">
        <f>SUM(D98:D106)</f>
        <v>36579</v>
      </c>
      <c r="E107" s="37">
        <f>SUM(E98:E106)</f>
        <v>38410</v>
      </c>
      <c r="F107" s="37">
        <f>SUM(F98:F106)</f>
        <v>37794</v>
      </c>
      <c r="G107" s="37">
        <f>SUM(G98:G106)</f>
        <v>36313.7109805</v>
      </c>
      <c r="H107" s="37">
        <f>SUM(H98:H106)</f>
        <v>36611.48554746565</v>
      </c>
      <c r="I107" s="37">
        <f>SUM(I98:I106)</f>
        <v>36797.42250175903</v>
      </c>
      <c r="J107" s="37">
        <f>SUM(J98:J106)</f>
        <v>37165.135513654765</v>
      </c>
      <c r="K107" s="37">
        <f>SUM(K98:K106)</f>
        <v>37691.4552202262</v>
      </c>
      <c r="L107" s="38"/>
      <c r="M107" t="s" s="39">
        <v>99</v>
      </c>
      <c r="N107" t="s" s="39">
        <v>99</v>
      </c>
      <c r="O107" s="38"/>
      <c r="P107" s="37">
        <f>SUM(P98:P106)</f>
        <v>37334</v>
      </c>
      <c r="Q107" s="37">
        <f>SUM(Q98:Q106)</f>
        <v>37794</v>
      </c>
    </row>
    <row r="108">
      <c r="B108" t="s" s="16">
        <v>186</v>
      </c>
      <c r="C108" s="17">
        <v>1000</v>
      </c>
      <c r="D108" s="17">
        <v>0</v>
      </c>
      <c r="E108" s="17">
        <v>2000</v>
      </c>
      <c r="F108" s="26">
        <f>Q108</f>
        <v>2000</v>
      </c>
      <c r="G108" s="27">
        <f>Cases!D73</f>
        <v>0</v>
      </c>
      <c r="H108" s="27">
        <f>Cases!E73</f>
        <v>0</v>
      </c>
      <c r="I108" s="27">
        <f>Cases!F73</f>
        <v>1500</v>
      </c>
      <c r="J108" s="27">
        <f>Cases!G73</f>
        <v>0</v>
      </c>
      <c r="K108" s="27">
        <f>Cases!H73</f>
        <v>0</v>
      </c>
      <c r="L108" s="28"/>
      <c r="M108" t="s" s="29">
        <v>99</v>
      </c>
      <c r="N108" t="s" s="29">
        <v>99</v>
      </c>
      <c r="O108" s="28"/>
      <c r="P108" s="17">
        <v>0</v>
      </c>
      <c r="Q108" s="17">
        <v>2000</v>
      </c>
      <c r="S108" t="s">
        <v>187</v>
      </c>
    </row>
    <row r="109">
      <c r="B109" t="s" s="16">
        <v>188</v>
      </c>
      <c r="C109" s="18">
        <v>6</v>
      </c>
      <c r="D109" s="18">
        <v>0</v>
      </c>
      <c r="E109" s="18">
        <v>0</v>
      </c>
      <c r="F109" s="34">
        <f>Q109</f>
        <v>0</v>
      </c>
      <c r="G109" s="34">
        <f>E109</f>
        <v>0</v>
      </c>
      <c r="H109" s="34">
        <f>G109</f>
        <v>0</v>
      </c>
      <c r="I109" s="34">
        <f>H109</f>
        <v>0</v>
      </c>
      <c r="J109" s="34">
        <f>I109</f>
        <v>0</v>
      </c>
      <c r="K109" s="34">
        <f>J109</f>
        <v>0</v>
      </c>
      <c r="L109" s="28"/>
      <c r="M109" t="s" s="29">
        <v>99</v>
      </c>
      <c r="N109" t="s" s="29">
        <v>99</v>
      </c>
      <c r="O109" s="28"/>
      <c r="P109" s="18">
        <v>0</v>
      </c>
      <c r="Q109" s="18">
        <v>0</v>
      </c>
    </row>
    <row r="110">
      <c r="B110" t="s" s="16">
        <v>189</v>
      </c>
      <c r="C110" s="18">
        <v>2851</v>
      </c>
      <c r="D110" s="18">
        <v>3479</v>
      </c>
      <c r="E110" s="18">
        <v>3600</v>
      </c>
      <c r="F110" s="34">
        <f>Q110</f>
        <v>3420</v>
      </c>
      <c r="G110" s="148">
        <f>G44*Cases!C69</f>
        <v>3292.4973555</v>
      </c>
      <c r="H110" s="148">
        <f>H44*Cases!D69</f>
        <v>3344.9797533375</v>
      </c>
      <c r="I110" s="148">
        <f>I44*Cases!E69</f>
        <v>3471.7269138300007</v>
      </c>
      <c r="J110" s="148">
        <f>J44*Cases!F69</f>
        <v>3615.5976597021713</v>
      </c>
      <c r="K110" s="148">
        <f>K44*Cases!G69</f>
        <v>3765.8215065344325</v>
      </c>
      <c r="L110" s="28"/>
      <c r="M110" t="s" s="29">
        <v>99</v>
      </c>
      <c r="N110" t="s" s="29">
        <v>99</v>
      </c>
      <c r="O110" s="28"/>
      <c r="P110" s="18">
        <v>3772</v>
      </c>
      <c r="Q110" s="18">
        <v>3420</v>
      </c>
    </row>
    <row r="111">
      <c r="B111" t="s" s="16">
        <v>190</v>
      </c>
      <c r="C111" s="18">
        <v>477</v>
      </c>
      <c r="D111" s="18">
        <v>502</v>
      </c>
      <c r="E111" s="18">
        <v>478</v>
      </c>
      <c r="F111" s="34">
        <f>Q111</f>
        <v>473</v>
      </c>
      <c r="G111" s="34">
        <f>E111</f>
        <v>478</v>
      </c>
      <c r="H111" s="34">
        <f>G111</f>
        <v>478</v>
      </c>
      <c r="I111" s="34">
        <f>H111</f>
        <v>478</v>
      </c>
      <c r="J111" s="34">
        <f>I111</f>
        <v>478</v>
      </c>
      <c r="K111" s="34">
        <f>J111</f>
        <v>478</v>
      </c>
      <c r="L111" s="28"/>
      <c r="M111" t="s" s="29">
        <v>99</v>
      </c>
      <c r="N111" t="s" s="29">
        <v>99</v>
      </c>
      <c r="O111" s="28"/>
      <c r="P111" s="18">
        <v>506</v>
      </c>
      <c r="Q111" s="18">
        <v>473</v>
      </c>
    </row>
    <row r="112">
      <c r="B112" t="s" s="16">
        <v>191</v>
      </c>
      <c r="C112" s="18">
        <v>5725</v>
      </c>
      <c r="D112" s="18">
        <v>5916</v>
      </c>
      <c r="E112" s="18">
        <v>6092</v>
      </c>
      <c r="F112" s="34">
        <f>Q112</f>
        <v>5338</v>
      </c>
      <c r="G112" s="148">
        <f>G43*Cases!C70</f>
        <v>5348.43625</v>
      </c>
      <c r="H112" s="148">
        <f>H43*Cases!D70</f>
        <v>5481.7760625</v>
      </c>
      <c r="I112" s="148">
        <f>I43*Cases!E70</f>
        <v>5740.289209375001</v>
      </c>
      <c r="J112" s="148">
        <f>J43*Cases!F70</f>
        <v>6032.02812763125</v>
      </c>
      <c r="K112" s="148">
        <f>K43*Cases!G70</f>
        <v>6339.766846017563</v>
      </c>
      <c r="L112" s="28"/>
      <c r="M112" t="s" s="29">
        <v>99</v>
      </c>
      <c r="N112" t="s" s="29">
        <v>99</v>
      </c>
      <c r="O112" s="28"/>
      <c r="P112" s="18">
        <v>5927</v>
      </c>
      <c r="Q112" s="18">
        <v>5338</v>
      </c>
    </row>
    <row r="113">
      <c r="B113" t="s" s="16">
        <v>192</v>
      </c>
      <c r="C113" s="18">
        <v>534</v>
      </c>
      <c r="D113" s="18">
        <v>669</v>
      </c>
      <c r="E113" s="18">
        <v>377</v>
      </c>
      <c r="F113" s="34">
        <f>Q113</f>
        <v>178</v>
      </c>
      <c r="G113" s="34">
        <f>E113</f>
        <v>377</v>
      </c>
      <c r="H113" s="34">
        <f>G113</f>
        <v>377</v>
      </c>
      <c r="I113" s="34">
        <f>H113</f>
        <v>377</v>
      </c>
      <c r="J113" s="34">
        <f>I113</f>
        <v>377</v>
      </c>
      <c r="K113" s="34">
        <f>J113</f>
        <v>377</v>
      </c>
      <c r="L113" s="28"/>
      <c r="M113" t="s" s="29">
        <v>99</v>
      </c>
      <c r="N113" t="s" s="29">
        <v>99</v>
      </c>
      <c r="O113" s="28"/>
      <c r="P113" s="18">
        <v>706</v>
      </c>
      <c r="Q113" s="18">
        <v>178</v>
      </c>
    </row>
    <row r="114">
      <c r="B114" t="s" s="16">
        <v>193</v>
      </c>
      <c r="C114" s="18">
        <v>7903</v>
      </c>
      <c r="D114" s="18">
        <v>7961</v>
      </c>
      <c r="E114" s="18">
        <v>5942</v>
      </c>
      <c r="F114" s="34">
        <f>Q114</f>
        <v>5893</v>
      </c>
      <c r="G114" s="34">
        <f>G126-G108-G109</f>
        <v>6942</v>
      </c>
      <c r="H114" s="34">
        <f>H126-H108-H109</f>
        <v>6942</v>
      </c>
      <c r="I114" s="34">
        <f>I126-I108-I109</f>
        <v>5442</v>
      </c>
      <c r="J114" s="34">
        <f>J126-J108-J109</f>
        <v>6942</v>
      </c>
      <c r="K114" s="34">
        <f>K126-K108-K109</f>
        <v>6942</v>
      </c>
      <c r="L114" s="28"/>
      <c r="M114" t="s" s="29">
        <v>99</v>
      </c>
      <c r="N114" t="s" s="29">
        <v>99</v>
      </c>
      <c r="O114" s="28"/>
      <c r="P114" s="18">
        <v>7996</v>
      </c>
      <c r="Q114" s="18">
        <v>5893</v>
      </c>
    </row>
    <row r="115">
      <c r="B115" t="s" s="16">
        <v>194</v>
      </c>
      <c r="C115" s="18">
        <v>2566</v>
      </c>
      <c r="D115" s="18">
        <v>2550</v>
      </c>
      <c r="E115" s="18">
        <v>2613</v>
      </c>
      <c r="F115" s="34">
        <f>Q115</f>
        <v>2706</v>
      </c>
      <c r="G115" s="34">
        <f>E115</f>
        <v>2613</v>
      </c>
      <c r="H115" s="34">
        <f>G115</f>
        <v>2613</v>
      </c>
      <c r="I115" s="34">
        <f>H115</f>
        <v>2613</v>
      </c>
      <c r="J115" s="34">
        <f>I115</f>
        <v>2613</v>
      </c>
      <c r="K115" s="34">
        <f>J115</f>
        <v>2613</v>
      </c>
      <c r="L115" s="28"/>
      <c r="M115" t="s" s="29">
        <v>99</v>
      </c>
      <c r="N115" t="s" s="29">
        <v>99</v>
      </c>
      <c r="O115" s="28"/>
      <c r="P115" s="18">
        <v>2555</v>
      </c>
      <c r="Q115" s="18">
        <v>2706</v>
      </c>
    </row>
    <row r="116">
      <c r="B116" t="s" s="16">
        <v>195</v>
      </c>
      <c r="C116" s="18">
        <v>2618</v>
      </c>
      <c r="D116" s="18">
        <v>2289</v>
      </c>
      <c r="E116" s="18">
        <v>2443</v>
      </c>
      <c r="F116" s="34">
        <f>Q116</f>
        <v>2566</v>
      </c>
      <c r="G116" s="34">
        <f>E116</f>
        <v>2443</v>
      </c>
      <c r="H116" s="34">
        <f>G116</f>
        <v>2443</v>
      </c>
      <c r="I116" s="34">
        <f>H116</f>
        <v>2443</v>
      </c>
      <c r="J116" s="34">
        <f>I116</f>
        <v>2443</v>
      </c>
      <c r="K116" s="34">
        <f>J116</f>
        <v>2443</v>
      </c>
      <c r="L116" s="28"/>
      <c r="M116" t="s" s="29">
        <v>99</v>
      </c>
      <c r="N116" t="s" s="29">
        <v>99</v>
      </c>
      <c r="O116" s="28"/>
      <c r="P116" s="18">
        <v>2404</v>
      </c>
      <c r="Q116" s="18">
        <v>2566</v>
      </c>
    </row>
    <row r="117">
      <c r="B117" t="s" s="16">
        <v>196</v>
      </c>
      <c r="C117" s="18">
        <v>14430</v>
      </c>
      <c r="D117" s="18">
        <v>13213</v>
      </c>
      <c r="E117" s="18">
        <v>14865</v>
      </c>
      <c r="F117" s="34">
        <f>Q117</f>
        <v>15220</v>
      </c>
      <c r="G117" s="34">
        <f>E117+G58+G72+G90+G91+G92+G93+G95</f>
        <v>14819.777375000001</v>
      </c>
      <c r="H117" s="34">
        <f>G117+H58+H72+H90+H91+H92+H93+H95</f>
        <v>14931.729731628151</v>
      </c>
      <c r="I117" s="34">
        <f>H117+I58+I72+I90+I91+I92+I93+I95</f>
        <v>14732.40637855403</v>
      </c>
      <c r="J117" s="34">
        <f>I117+J58+J72+J90+J91+J92+J93+J95</f>
        <v>14664.50972632135</v>
      </c>
      <c r="K117" s="34">
        <f>J117+K58+K72+K90+K91+K92+K93+K95</f>
        <v>14732.866867674209</v>
      </c>
      <c r="L117" s="28"/>
      <c r="M117" t="s" s="29">
        <v>99</v>
      </c>
      <c r="N117" t="s" s="29">
        <v>99</v>
      </c>
      <c r="O117" s="28"/>
      <c r="P117" s="18">
        <v>13468</v>
      </c>
      <c r="Q117" s="18">
        <v>15220</v>
      </c>
    </row>
    <row r="118">
      <c r="B118" t="s" s="36">
        <v>197</v>
      </c>
      <c r="C118" s="37">
        <f>SUM(C108:C117)</f>
        <v>38110</v>
      </c>
      <c r="D118" s="37">
        <f>SUM(D108:D117)</f>
        <v>36579</v>
      </c>
      <c r="E118" s="37">
        <f>SUM(E108:E117)</f>
        <v>38410</v>
      </c>
      <c r="F118" s="37">
        <f>SUM(F108:F117)</f>
        <v>37794</v>
      </c>
      <c r="G118" s="37">
        <f>SUM(G108:G117)</f>
        <v>36313.71098050001</v>
      </c>
      <c r="H118" s="37">
        <f>SUM(H108:H117)</f>
        <v>36611.48554746565</v>
      </c>
      <c r="I118" s="37">
        <f>SUM(I108:I117)</f>
        <v>36797.42250175903</v>
      </c>
      <c r="J118" s="37">
        <f>SUM(J108:J117)</f>
        <v>37165.13551365477</v>
      </c>
      <c r="K118" s="37">
        <f>SUM(K108:K117)</f>
        <v>37691.455220226206</v>
      </c>
      <c r="L118" s="38"/>
      <c r="M118" t="s" s="39">
        <v>99</v>
      </c>
      <c r="N118" t="s" s="39">
        <v>99</v>
      </c>
      <c r="O118" s="38"/>
      <c r="P118" s="37">
        <f>SUM(P108:P117)</f>
        <v>37334</v>
      </c>
      <c r="Q118" s="37">
        <f>SUM(Q108:Q117)</f>
        <v>37794</v>
      </c>
    </row>
    <row r="119">
      <c r="B119" t="s" s="44">
        <v>198</v>
      </c>
      <c r="C119" s="45">
        <f>C107-C118</f>
        <v>0</v>
      </c>
      <c r="D119" s="45">
        <f>D107-D118</f>
        <v>0</v>
      </c>
      <c r="E119" s="45">
        <f>E107-E118</f>
        <v>0</v>
      </c>
      <c r="F119" s="45">
        <f>F107-F118</f>
        <v>0</v>
      </c>
      <c r="G119" s="45">
        <f>G107-G118</f>
        <v>0</v>
      </c>
      <c r="H119" s="45">
        <f>H107-H118</f>
        <v>0</v>
      </c>
      <c r="I119" s="45">
        <f>I107-I118</f>
        <v>0</v>
      </c>
      <c r="J119" s="45">
        <f>J107-J118</f>
        <v>0</v>
      </c>
      <c r="K119" s="45">
        <f>K107-K118</f>
        <v>0</v>
      </c>
      <c r="L119" s="32"/>
      <c r="M119" t="s" s="31">
        <v>99</v>
      </c>
      <c r="N119" t="s" s="31">
        <v>99</v>
      </c>
      <c r="O119" s="32"/>
      <c r="P119" s="45">
        <f>P107-P118</f>
        <v>0</v>
      </c>
      <c r="Q119" s="45">
        <f>Q107-Q118</f>
        <v>0</v>
      </c>
    </row>
    <row r="120">
      <c r="B120" t="s" s="44">
        <v>199</v>
      </c>
      <c r="C120" t="s" s="45">
        <v>99</v>
      </c>
      <c r="D120" t="s" s="45">
        <v>99</v>
      </c>
      <c r="E120" t="s" s="45">
        <v>99</v>
      </c>
      <c r="F120" t="s" s="45">
        <v>99</v>
      </c>
      <c r="G120" s="45">
        <f>G98-E98-G96</f>
        <v>4.547473508864641e-13</v>
      </c>
      <c r="H120" s="45">
        <f>H98-G98-H96</f>
        <v>-4.547473508864641e-13</v>
      </c>
      <c r="I120" s="45">
        <f>I98-H98-I96</f>
        <v>-4.547473508864641e-13</v>
      </c>
      <c r="J120" s="45">
        <f>J98-I98-J96</f>
        <v>0</v>
      </c>
      <c r="K120" s="45">
        <f>K98-J98-K96</f>
        <v>0</v>
      </c>
      <c r="L120" s="32"/>
      <c r="M120" t="s" s="31">
        <v>99</v>
      </c>
      <c r="N120" t="s" s="31">
        <v>99</v>
      </c>
      <c r="O120" s="32"/>
      <c r="P120" t="s" s="45">
        <v>99</v>
      </c>
      <c r="Q120" t="s" s="45">
        <v>99</v>
      </c>
      <c r="S120" t="s">
        <v>200</v>
      </c>
    </row>
    <row r="121">
      <c r="B121" t="s" s="56">
        <v>201</v>
      </c>
      <c r="C121" s="56"/>
      <c r="D121" s="56"/>
      <c r="E121" s="56"/>
      <c r="F121" s="56"/>
      <c r="G121" s="56"/>
      <c r="H121" s="56"/>
      <c r="I121" s="56"/>
      <c r="J121" s="56"/>
      <c r="K121" s="56"/>
      <c r="M121" s="56"/>
      <c r="N121" s="56"/>
      <c r="P121" s="56"/>
      <c r="Q121" s="56"/>
      <c r="S121" s="56"/>
    </row>
    <row r="122">
      <c r="B122" t="s" s="16">
        <v>202</v>
      </c>
      <c r="C122" t="s" s="26">
        <v>98</v>
      </c>
      <c r="D122" s="26">
        <f>C126</f>
        <v>8909</v>
      </c>
      <c r="E122" s="26">
        <f>D126</f>
        <v>7961</v>
      </c>
      <c r="F122" t="s" s="26">
        <v>99</v>
      </c>
      <c r="G122" s="26">
        <f>E126</f>
        <v>7942</v>
      </c>
      <c r="H122" s="26">
        <f>G126</f>
        <v>6942</v>
      </c>
      <c r="I122" s="26">
        <f>H126</f>
        <v>6942</v>
      </c>
      <c r="J122" s="26">
        <f>I126</f>
        <v>6942</v>
      </c>
      <c r="K122" s="26">
        <f>J126</f>
        <v>6942</v>
      </c>
      <c r="L122" s="28"/>
      <c r="M122" t="s" s="29">
        <v>99</v>
      </c>
      <c r="N122" t="s" s="29">
        <v>99</v>
      </c>
      <c r="O122" s="28"/>
      <c r="P122" t="s" s="26">
        <v>99</v>
      </c>
      <c r="Q122" t="s" s="26">
        <v>99</v>
      </c>
    </row>
    <row r="123">
      <c r="B123" t="s" s="16">
        <v>203</v>
      </c>
      <c r="C123" s="34">
        <f>C88</f>
        <v>0</v>
      </c>
      <c r="D123" s="34">
        <f>D88</f>
        <v>0</v>
      </c>
      <c r="E123" s="34">
        <f>E88</f>
        <v>0</v>
      </c>
      <c r="F123" t="s" s="34">
        <v>99</v>
      </c>
      <c r="G123" s="34">
        <f>G88</f>
        <v>1000</v>
      </c>
      <c r="H123" s="34">
        <f>H88</f>
        <v>0</v>
      </c>
      <c r="I123" s="34">
        <f>I88</f>
        <v>0</v>
      </c>
      <c r="J123" s="34">
        <f>J88</f>
        <v>1500</v>
      </c>
      <c r="K123" s="34">
        <f>K88</f>
        <v>0</v>
      </c>
      <c r="L123" s="28"/>
      <c r="M123" t="s" s="29">
        <v>99</v>
      </c>
      <c r="N123" t="s" s="29">
        <v>99</v>
      </c>
      <c r="O123" s="28"/>
      <c r="P123" t="s" s="34">
        <v>99</v>
      </c>
      <c r="Q123" t="s" s="34">
        <v>99</v>
      </c>
    </row>
    <row r="124">
      <c r="B124" t="s" s="16">
        <v>204</v>
      </c>
      <c r="C124" s="34">
        <f>C89</f>
        <v>0</v>
      </c>
      <c r="D124" s="34">
        <f>D89</f>
        <v>-1000</v>
      </c>
      <c r="E124" s="34">
        <f>E89</f>
        <v>0</v>
      </c>
      <c r="F124" t="s" s="34">
        <v>99</v>
      </c>
      <c r="G124" s="34">
        <f>G89</f>
        <v>-2000</v>
      </c>
      <c r="H124" s="34">
        <f>H89</f>
        <v>0</v>
      </c>
      <c r="I124" s="34">
        <f>I89</f>
        <v>0</v>
      </c>
      <c r="J124" s="34">
        <f>J89</f>
        <v>-1500</v>
      </c>
      <c r="K124" s="34">
        <f>K89</f>
        <v>0</v>
      </c>
      <c r="L124" s="28"/>
      <c r="M124" t="s" s="29">
        <v>99</v>
      </c>
      <c r="N124" t="s" s="29">
        <v>99</v>
      </c>
      <c r="O124" s="28"/>
      <c r="P124" t="s" s="34">
        <v>99</v>
      </c>
      <c r="Q124" t="s" s="34">
        <v>99</v>
      </c>
    </row>
    <row r="125">
      <c r="B125" t="s" s="16">
        <v>205</v>
      </c>
      <c r="C125" t="s" s="34">
        <v>98</v>
      </c>
      <c r="D125" s="34">
        <f>D126-D122-D123-D124</f>
        <v>52</v>
      </c>
      <c r="E125" s="34">
        <f>E126-E122-E123-E124</f>
        <v>-19</v>
      </c>
      <c r="F125" t="s" s="34">
        <v>99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28"/>
      <c r="M125" t="s" s="29">
        <v>99</v>
      </c>
      <c r="N125" t="s" s="29">
        <v>99</v>
      </c>
      <c r="O125" s="28"/>
      <c r="P125" t="s" s="34">
        <v>99</v>
      </c>
      <c r="Q125" t="s" s="34">
        <v>99</v>
      </c>
    </row>
    <row r="126">
      <c r="B126" t="s" s="36">
        <v>206</v>
      </c>
      <c r="C126" s="37">
        <f>C108+C109+C114</f>
        <v>8909</v>
      </c>
      <c r="D126" s="37">
        <f>D108+D109+D114</f>
        <v>7961</v>
      </c>
      <c r="E126" s="37">
        <f>E108+E109+E114</f>
        <v>7942</v>
      </c>
      <c r="F126" s="37">
        <f>F108+F109+F114</f>
        <v>7893</v>
      </c>
      <c r="G126" s="37">
        <f>SUM(G122:G125)</f>
        <v>6942</v>
      </c>
      <c r="H126" s="37">
        <f>SUM(H122:H125)</f>
        <v>6942</v>
      </c>
      <c r="I126" s="37">
        <f>SUM(I122:I125)</f>
        <v>6942</v>
      </c>
      <c r="J126" s="37">
        <f>SUM(J122:J125)</f>
        <v>6942</v>
      </c>
      <c r="K126" s="37">
        <f>SUM(K122:K125)</f>
        <v>6942</v>
      </c>
      <c r="L126" s="38"/>
      <c r="M126" t="s" s="39">
        <v>99</v>
      </c>
      <c r="N126" t="s" s="39">
        <v>99</v>
      </c>
      <c r="O126" s="38"/>
      <c r="P126" s="37">
        <f>P108+P109+P114</f>
        <v>7996</v>
      </c>
      <c r="Q126" s="37">
        <f>Q108+Q109+Q114</f>
        <v>7893</v>
      </c>
      <c r="S126" t="s">
        <v>207</v>
      </c>
    </row>
    <row r="127">
      <c r="B127" t="s" s="30">
        <v>68</v>
      </c>
      <c r="C127" t="s" s="31">
        <v>98</v>
      </c>
      <c r="D127" t="s" s="31">
        <v>98</v>
      </c>
      <c r="E127" t="s" s="31">
        <v>98</v>
      </c>
      <c r="F127" t="s" s="31">
        <v>98</v>
      </c>
      <c r="G127" s="49">
        <f>Cases!C74</f>
        <v>0.032</v>
      </c>
      <c r="H127" s="49">
        <f>Cases!D74</f>
        <v>0.034</v>
      </c>
      <c r="I127" s="49">
        <f>Cases!E74</f>
        <v>0.035</v>
      </c>
      <c r="J127" s="49">
        <f>Cases!F74</f>
        <v>0.036</v>
      </c>
      <c r="K127" s="49">
        <f>Cases!G74</f>
        <v>0.037</v>
      </c>
      <c r="L127" s="32"/>
      <c r="M127" t="s" s="31">
        <v>99</v>
      </c>
      <c r="N127" t="s" s="31">
        <v>99</v>
      </c>
      <c r="O127" s="32"/>
      <c r="P127" t="s" s="31">
        <v>98</v>
      </c>
      <c r="Q127" t="s" s="31">
        <v>98</v>
      </c>
    </row>
    <row r="128">
      <c r="B128" t="s" s="16">
        <v>208</v>
      </c>
      <c r="C128" t="s" s="34">
        <v>98</v>
      </c>
      <c r="D128" t="s" s="34">
        <v>98</v>
      </c>
      <c r="E128" t="s" s="34">
        <v>98</v>
      </c>
      <c r="F128" t="s" s="34">
        <v>98</v>
      </c>
      <c r="G128" s="34">
        <f>G127*AVERAGE(G122,G126)</f>
        <v>238.144</v>
      </c>
      <c r="H128" s="34">
        <f>H127*AVERAGE(H122,H126)</f>
        <v>236.02800000000002</v>
      </c>
      <c r="I128" s="34">
        <f>I127*AVERAGE(I122,I126)</f>
        <v>242.97000000000003</v>
      </c>
      <c r="J128" s="34">
        <f>J127*AVERAGE(J122,J126)</f>
        <v>249.91199999999998</v>
      </c>
      <c r="K128" s="34">
        <f>K127*AVERAGE(K122,K126)</f>
        <v>256.854</v>
      </c>
      <c r="L128" s="28"/>
      <c r="M128" t="s" s="29">
        <v>99</v>
      </c>
      <c r="N128" t="s" s="29">
        <v>99</v>
      </c>
      <c r="O128" s="28"/>
      <c r="P128" t="s" s="34">
        <v>98</v>
      </c>
      <c r="Q128" t="s" s="34">
        <v>98</v>
      </c>
      <c r="S128" t="s">
        <v>209</v>
      </c>
    </row>
    <row r="129">
      <c r="B129" t="s" s="16">
        <v>210</v>
      </c>
      <c r="C129" s="34">
        <f>C98+C99</f>
        <v>11582</v>
      </c>
      <c r="D129" s="34">
        <f>D98+D99</f>
        <v>9151</v>
      </c>
      <c r="E129" s="34">
        <f>E98+E99</f>
        <v>9027</v>
      </c>
      <c r="F129" s="34">
        <f>F98+F99</f>
        <v>8368</v>
      </c>
      <c r="G129" s="34">
        <f>G98+G99</f>
        <v>8799.0416865</v>
      </c>
      <c r="H129" s="34">
        <f>H98+H99</f>
        <v>9139.38137577815</v>
      </c>
      <c r="I129" s="34">
        <f>I98+I99</f>
        <v>9052.699309174028</v>
      </c>
      <c r="J129" s="34">
        <f>J98+J99</f>
        <v>8710.250216071876</v>
      </c>
      <c r="K129" s="34">
        <f>K98+K99</f>
        <v>8474.37385716812</v>
      </c>
      <c r="L129" s="28"/>
      <c r="M129" t="s" s="29">
        <v>99</v>
      </c>
      <c r="N129" t="s" s="29">
        <v>99</v>
      </c>
      <c r="O129" s="28"/>
      <c r="P129" s="34">
        <f>P98+P99</f>
        <v>8575</v>
      </c>
      <c r="Q129" s="34">
        <f>Q98+Q99</f>
        <v>8368</v>
      </c>
    </row>
    <row r="130">
      <c r="B130" t="s" s="30">
        <v>70</v>
      </c>
      <c r="C130" t="s" s="31">
        <v>98</v>
      </c>
      <c r="D130" t="s" s="31">
        <v>98</v>
      </c>
      <c r="E130" t="s" s="31">
        <v>98</v>
      </c>
      <c r="F130" t="s" s="31">
        <v>98</v>
      </c>
      <c r="G130" s="49">
        <f>Cases!C75</f>
        <v>0.032</v>
      </c>
      <c r="H130" s="49">
        <f>Cases!D75</f>
        <v>0.03</v>
      </c>
      <c r="I130" s="49">
        <f>Cases!E75</f>
        <v>0.03</v>
      </c>
      <c r="J130" s="49">
        <f>Cases!F75</f>
        <v>0.03</v>
      </c>
      <c r="K130" s="49">
        <f>Cases!G75</f>
        <v>0.03</v>
      </c>
      <c r="L130" s="32"/>
      <c r="M130" t="s" s="31">
        <v>99</v>
      </c>
      <c r="N130" t="s" s="31">
        <v>99</v>
      </c>
      <c r="O130" s="32"/>
      <c r="P130" t="s" s="31">
        <v>98</v>
      </c>
      <c r="Q130" t="s" s="31">
        <v>98</v>
      </c>
    </row>
    <row r="131">
      <c r="B131" t="s" s="16">
        <v>211</v>
      </c>
      <c r="C131" t="s" s="34">
        <v>98</v>
      </c>
      <c r="D131" t="s" s="34">
        <v>98</v>
      </c>
      <c r="E131" t="s" s="34">
        <v>98</v>
      </c>
      <c r="F131" t="s" s="34">
        <v>98</v>
      </c>
      <c r="G131" s="34">
        <f>G130*E129</f>
        <v>288.86400000000003</v>
      </c>
      <c r="H131" s="34">
        <f>H130*G129</f>
        <v>263.971250595</v>
      </c>
      <c r="I131" s="34">
        <f>I130*H129</f>
        <v>274.1814412733445</v>
      </c>
      <c r="J131" s="34">
        <f>J130*I129</f>
        <v>271.58097927522084</v>
      </c>
      <c r="K131" s="34">
        <f>K130*J129</f>
        <v>261.30750648215627</v>
      </c>
      <c r="L131" s="28"/>
      <c r="M131" t="s" s="29">
        <v>99</v>
      </c>
      <c r="N131" t="s" s="29">
        <v>99</v>
      </c>
      <c r="O131" s="28"/>
      <c r="P131" t="s" s="34">
        <v>98</v>
      </c>
      <c r="Q131" t="s" s="34">
        <v>98</v>
      </c>
    </row>
    <row r="132">
      <c r="B132" t="s" s="149">
        <v>212</v>
      </c>
      <c r="C132" s="150">
        <f>C126-C129</f>
        <v>-2673</v>
      </c>
      <c r="D132" s="150">
        <f>D126-D129</f>
        <v>-1190</v>
      </c>
      <c r="E132" s="150">
        <f>E126-E129</f>
        <v>-1085</v>
      </c>
      <c r="F132" s="150">
        <f>F126-F129</f>
        <v>-475</v>
      </c>
      <c r="G132" s="150">
        <f>G126-G129</f>
        <v>-1857.0416865000007</v>
      </c>
      <c r="H132" s="150">
        <f>H126-H129</f>
        <v>-2197.38137577815</v>
      </c>
      <c r="I132" s="150">
        <f>I126-I129</f>
        <v>-2110.699309174028</v>
      </c>
      <c r="J132" s="150">
        <f>J126-J129</f>
        <v>-1768.250216071876</v>
      </c>
      <c r="K132" s="150">
        <f>K126-K129</f>
        <v>-1532.3738571681206</v>
      </c>
      <c r="L132" s="38"/>
      <c r="M132" t="s" s="151">
        <v>99</v>
      </c>
      <c r="N132" t="s" s="151">
        <v>99</v>
      </c>
      <c r="O132" s="38"/>
      <c r="P132" s="150">
        <f>P126-P129</f>
        <v>-579</v>
      </c>
      <c r="Q132" s="150">
        <f>Q126-Q129</f>
        <v>-475</v>
      </c>
    </row>
    <row r="133">
      <c r="B133" t="s" s="30">
        <v>213</v>
      </c>
      <c r="C133" s="50">
        <f>C132/C67</f>
        <v>-0.3436616096682952</v>
      </c>
      <c r="D133" s="50">
        <f>D132/D67</f>
        <v>-0.26136613222051397</v>
      </c>
      <c r="E133" s="50">
        <f>E132/E67</f>
        <v>-0.21778402248093134</v>
      </c>
      <c r="F133" s="50">
        <f>F132/F67</f>
        <v>-0.09522854851643946</v>
      </c>
      <c r="G133" s="50">
        <f>G132/G67</f>
        <v>-0.5723702071813435</v>
      </c>
      <c r="H133" s="50">
        <f>H132/H67</f>
        <v>-0.5398508824191738</v>
      </c>
      <c r="I133" s="50">
        <f>I132/I67</f>
        <v>-0.43134294445648497</v>
      </c>
      <c r="J133" s="50">
        <f>J132/J67</f>
        <v>-0.31176766460527355</v>
      </c>
      <c r="K133" s="50">
        <f>K132/K67</f>
        <v>-0.23770408476698432</v>
      </c>
      <c r="L133" s="32"/>
      <c r="M133" t="s" s="31">
        <v>99</v>
      </c>
      <c r="N133" t="s" s="31">
        <v>99</v>
      </c>
      <c r="O133" s="32"/>
      <c r="P133" t="s" s="50">
        <v>99</v>
      </c>
      <c r="Q133" t="s" s="50">
        <v>99</v>
      </c>
    </row>
    <row r="134">
      <c r="B134" t="s" s="56">
        <v>214</v>
      </c>
      <c r="C134" s="56"/>
      <c r="D134" s="56"/>
      <c r="E134" s="56"/>
      <c r="F134" s="56"/>
      <c r="G134" s="56"/>
      <c r="H134" s="56"/>
      <c r="I134" s="56"/>
      <c r="J134" s="56"/>
      <c r="K134" s="56"/>
      <c r="M134" s="56"/>
      <c r="N134" s="56"/>
      <c r="P134" s="56"/>
      <c r="Q134" s="56"/>
      <c r="S134" s="56"/>
    </row>
    <row r="135">
      <c r="B135" t="s" s="16">
        <v>215</v>
      </c>
      <c r="C135" s="18">
        <v>1532</v>
      </c>
      <c r="D135" s="34">
        <f>C138</f>
        <v>1503</v>
      </c>
      <c r="E135" s="34">
        <f>D138</f>
        <v>1476</v>
      </c>
      <c r="F135" t="s" s="34">
        <v>99</v>
      </c>
      <c r="G135" s="34">
        <f>E138</f>
        <v>1483</v>
      </c>
      <c r="H135" s="34">
        <f>G138</f>
        <v>1489</v>
      </c>
      <c r="I135" s="34">
        <f>H138</f>
        <v>1482.5</v>
      </c>
      <c r="J135" s="34">
        <f>I138</f>
        <v>1455.1666666666667</v>
      </c>
      <c r="K135" s="34">
        <f>J138</f>
        <v>1421.1666666666667</v>
      </c>
      <c r="L135" s="28"/>
      <c r="M135" t="s" s="29">
        <v>99</v>
      </c>
      <c r="N135" t="s" s="29">
        <v>99</v>
      </c>
      <c r="O135" s="28"/>
      <c r="P135" t="s" s="34">
        <v>99</v>
      </c>
      <c r="Q135" t="s" s="34">
        <v>99</v>
      </c>
      <c r="S135" t="s">
        <v>216</v>
      </c>
    </row>
    <row r="136">
      <c r="B136" t="s" s="16">
        <v>217</v>
      </c>
      <c r="C136" s="18">
        <v>12</v>
      </c>
      <c r="D136" s="18">
        <v>11</v>
      </c>
      <c r="E136" s="18">
        <v>9</v>
      </c>
      <c r="F136" t="s" s="34">
        <v>99</v>
      </c>
      <c r="G136" s="35">
        <f>Cases!C76</f>
        <v>6</v>
      </c>
      <c r="H136" s="35">
        <f>Cases!D76</f>
        <v>6</v>
      </c>
      <c r="I136" s="35">
        <f>Cases!E76</f>
        <v>6</v>
      </c>
      <c r="J136" s="35">
        <f>Cases!F76</f>
        <v>6</v>
      </c>
      <c r="K136" s="35">
        <f>Cases!G76</f>
        <v>6</v>
      </c>
      <c r="L136" s="28"/>
      <c r="M136" t="s" s="29">
        <v>99</v>
      </c>
      <c r="N136" t="s" s="29">
        <v>99</v>
      </c>
      <c r="O136" s="28"/>
      <c r="P136" t="s" s="34">
        <v>99</v>
      </c>
      <c r="Q136" t="s" s="34">
        <v>99</v>
      </c>
      <c r="S136" t="s">
        <v>218</v>
      </c>
    </row>
    <row r="137">
      <c r="B137" t="s" s="16">
        <v>219</v>
      </c>
      <c r="C137" s="18">
        <v>-41</v>
      </c>
      <c r="D137" s="18">
        <v>-38</v>
      </c>
      <c r="E137" s="18">
        <v>-2</v>
      </c>
      <c r="F137" t="s" s="34">
        <v>99</v>
      </c>
      <c r="G137" s="148">
        <f>G91/Cases!C79</f>
        <v>0</v>
      </c>
      <c r="H137" s="148">
        <f>H91/Cases!D79</f>
        <v>-12.5</v>
      </c>
      <c r="I137" s="148">
        <f>I91/Cases!E79</f>
        <v>-33.333333333333336</v>
      </c>
      <c r="J137" s="148">
        <f>J91/Cases!F79</f>
        <v>-40</v>
      </c>
      <c r="K137" s="148">
        <f>K91/Cases!G79</f>
        <v>-45.45454545454545</v>
      </c>
      <c r="L137" s="28"/>
      <c r="M137" t="s" s="29">
        <v>99</v>
      </c>
      <c r="N137" t="s" s="29">
        <v>99</v>
      </c>
      <c r="O137" s="28"/>
      <c r="P137" t="s" s="34">
        <v>99</v>
      </c>
      <c r="Q137" t="s" s="34">
        <v>99</v>
      </c>
      <c r="S137" t="s">
        <v>220</v>
      </c>
    </row>
    <row r="138">
      <c r="B138" t="s" s="36">
        <v>221</v>
      </c>
      <c r="C138" s="51">
        <f>SUM(C135:C137)</f>
        <v>1503</v>
      </c>
      <c r="D138" s="51">
        <f>SUM(D135:D137)</f>
        <v>1476</v>
      </c>
      <c r="E138" s="51">
        <f>SUM(E135:E137)</f>
        <v>1483</v>
      </c>
      <c r="F138" t="s" s="51">
        <v>99</v>
      </c>
      <c r="G138" s="51">
        <f>SUM(G135:G137)</f>
        <v>1489</v>
      </c>
      <c r="H138" s="51">
        <f>SUM(H135:H137)</f>
        <v>1482.5</v>
      </c>
      <c r="I138" s="51">
        <f>SUM(I135:I137)</f>
        <v>1455.1666666666667</v>
      </c>
      <c r="J138" s="51">
        <f>SUM(J135:J137)</f>
        <v>1421.1666666666667</v>
      </c>
      <c r="K138" s="51">
        <f>SUM(K135:K137)</f>
        <v>1381.7121212121212</v>
      </c>
      <c r="L138" s="38"/>
      <c r="M138" t="s" s="39">
        <v>99</v>
      </c>
      <c r="N138" t="s" s="39">
        <v>99</v>
      </c>
      <c r="O138" s="38"/>
      <c r="P138" t="s" s="51">
        <v>99</v>
      </c>
      <c r="Q138" t="s" s="51">
        <v>99</v>
      </c>
      <c r="S138" t="s">
        <v>222</v>
      </c>
    </row>
    <row r="139">
      <c r="B139" t="s" s="16">
        <v>84</v>
      </c>
      <c r="C139" t="s" s="34">
        <v>99</v>
      </c>
      <c r="D139" t="s" s="34">
        <v>99</v>
      </c>
      <c r="E139" t="s" s="34">
        <v>99</v>
      </c>
      <c r="F139" t="s" s="34">
        <v>99</v>
      </c>
      <c r="G139" s="35">
        <f>Cases!C82</f>
        <v>1</v>
      </c>
      <c r="H139" s="35">
        <f>Cases!D82</f>
        <v>1</v>
      </c>
      <c r="I139" s="35">
        <f>Cases!E82</f>
        <v>1</v>
      </c>
      <c r="J139" s="35">
        <f>Cases!F82</f>
        <v>1</v>
      </c>
      <c r="K139" s="35">
        <f>Cases!G82</f>
        <v>1</v>
      </c>
      <c r="L139" s="28"/>
      <c r="M139" t="s" s="29">
        <v>99</v>
      </c>
      <c r="N139" t="s" s="29">
        <v>99</v>
      </c>
      <c r="O139" s="28"/>
      <c r="P139" t="s" s="34">
        <v>99</v>
      </c>
      <c r="Q139" t="s" s="34">
        <v>99</v>
      </c>
      <c r="S139" t="s">
        <v>223</v>
      </c>
    </row>
    <row r="140">
      <c r="B140" t="s" s="16">
        <v>80</v>
      </c>
      <c r="C140" s="19">
        <v>1.45</v>
      </c>
      <c r="D140" s="19">
        <v>1.57</v>
      </c>
      <c r="E140" s="19">
        <v>1.63</v>
      </c>
      <c r="F140" t="s" s="52">
        <v>99</v>
      </c>
      <c r="G140" s="53">
        <f>Cases!C80</f>
        <v>1.67</v>
      </c>
      <c r="H140" s="53">
        <f>Cases!D80</f>
        <v>1.71</v>
      </c>
      <c r="I140" s="53">
        <f>Cases!E80</f>
        <v>1.75</v>
      </c>
      <c r="J140" s="53">
        <f>Cases!F80</f>
        <v>1.79</v>
      </c>
      <c r="K140" s="53">
        <f>Cases!G80</f>
        <v>1.83</v>
      </c>
      <c r="L140" s="28"/>
      <c r="M140" t="s" s="29">
        <v>99</v>
      </c>
      <c r="N140" t="s" s="29">
        <v>99</v>
      </c>
      <c r="O140" s="28"/>
      <c r="P140" s="19">
        <v>0.4</v>
      </c>
      <c r="Q140" s="19">
        <v>0.41</v>
      </c>
      <c r="S140" t="s">
        <v>224</v>
      </c>
    </row>
  </sheetData>
  <conditionalFormatting sqref="K2">
    <cfRule type="expression" dxfId="0" priority="1">
      <formula>$K$2&lt;&gt;TRUE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9"/>
  <sheetViews>
    <sheetView showGridLines="0" workbookViewId="0">
      <selection activeCell="A1" sqref="A1"/>
    </sheetView>
  </sheetViews>
  <cols>
    <col min="1" max="1" width="2.21875" customWidth="1"/>
    <col min="2" max="2" width="47.50390625" customWidth="1"/>
    <col min="3" max="7" width="14.7890625" customWidth="1"/>
    <col min="8" max="8" width="1.64453125" customWidth="1"/>
    <col min="9" max="9" width="62.7890625" customWidth="1"/>
  </cols>
  <sheetData>
    <row r="1" ht="8" customHeight="1"/>
    <row r="2">
      <c r="B2" t="s" s="146">
        <v>225</v>
      </c>
      <c r="C2" s="2"/>
      <c r="D2" s="2"/>
      <c r="E2" s="2"/>
      <c r="F2" t="str" s="203">
        <f>Cases!$D$5</f>
        <v>Base Case</v>
      </c>
      <c r="G2" s="2"/>
      <c r="H2" s="2"/>
      <c r="I2" s="2"/>
    </row>
    <row r="3">
      <c r="B3" t="s" s="4">
        <v>226</v>
      </c>
    </row>
    <row r="5">
      <c r="B5" t="s" s="5">
        <v>227</v>
      </c>
      <c r="C5" s="46">
        <f>C13</f>
        <v>34.36</v>
      </c>
    </row>
    <row r="6">
      <c r="B6" t="s" s="5">
        <v>228</v>
      </c>
      <c r="C6" s="13">
        <f>E53</f>
        <v>0.22187650799751282</v>
      </c>
    </row>
    <row r="7">
      <c r="B7" t="s" s="5">
        <v>229</v>
      </c>
      <c r="C7" s="54">
        <f>E52</f>
        <v>1.671403367700684</v>
      </c>
    </row>
    <row r="8">
      <c r="B8" t="s" s="5">
        <v>230</v>
      </c>
      <c r="C8" s="13">
        <f>G53</f>
        <v>0.23235265612602235</v>
      </c>
    </row>
    <row r="9">
      <c r="B9" t="s" s="5">
        <v>231</v>
      </c>
      <c r="C9" s="46">
        <f>C115</f>
        <v>39.30104891584579</v>
      </c>
    </row>
    <row r="10">
      <c r="B10" t="s" s="5">
        <v>87</v>
      </c>
      <c r="C10" t="b" s="55">
        <f>AND(Model!K2,ROUND(C56,4)=0)</f>
        <v>1</v>
      </c>
    </row>
    <row r="12">
      <c r="B12" t="s" s="56">
        <v>232</v>
      </c>
      <c r="C12" s="56"/>
      <c r="D12" s="56"/>
      <c r="E12" s="56"/>
      <c r="F12" s="56"/>
      <c r="G12" s="56"/>
      <c r="I12" t="s" s="56">
        <v>8</v>
      </c>
    </row>
    <row r="13">
      <c r="B13" t="s" s="16">
        <v>227</v>
      </c>
      <c r="C13" s="19">
        <v>34.36</v>
      </c>
      <c r="I13" t="s">
        <v>233</v>
      </c>
    </row>
    <row r="14">
      <c r="B14" t="s" s="16">
        <v>234</v>
      </c>
      <c r="C14" s="18">
        <v>1485.308829</v>
      </c>
      <c r="I14" t="s">
        <v>235</v>
      </c>
    </row>
    <row r="15">
      <c r="B15" t="s" s="16">
        <v>84</v>
      </c>
      <c r="C15" s="35">
        <f>Cases!C82</f>
        <v>1</v>
      </c>
      <c r="I15" t="s">
        <v>236</v>
      </c>
    </row>
    <row r="16">
      <c r="B16" t="s" s="16">
        <v>138</v>
      </c>
      <c r="C16" s="34">
        <f>C14+C15</f>
        <v>1486.308829</v>
      </c>
    </row>
    <row r="17">
      <c r="B17" t="s" s="16">
        <v>237</v>
      </c>
      <c r="C17" s="34">
        <f>C13*C16</f>
        <v>51069.57136444</v>
      </c>
    </row>
    <row r="18">
      <c r="B18" t="s" s="16">
        <v>238</v>
      </c>
      <c r="C18" s="35">
        <f>Model!Q126</f>
        <v>7893</v>
      </c>
      <c r="I18" t="s">
        <v>239</v>
      </c>
    </row>
    <row r="19">
      <c r="B19" t="s" s="16">
        <v>240</v>
      </c>
      <c r="C19" s="137">
        <f>-Model!Q129</f>
        <v>-8368</v>
      </c>
      <c r="I19" t="s">
        <v>239</v>
      </c>
    </row>
    <row r="20">
      <c r="B20" t="s" s="149">
        <v>241</v>
      </c>
      <c r="C20" s="150">
        <f>SUM(C17:C19)</f>
        <v>50594.57136444</v>
      </c>
    </row>
    <row r="22">
      <c r="B22" t="s" s="101">
        <v>463</v>
      </c>
      <c r="C22" t="str" s="181">
        <f>Model!F5</f>
        <v>LTM</v>
      </c>
      <c r="D22" s="179">
        <f>Model!G5</f>
        <v>46538</v>
      </c>
      <c r="E22" s="179">
        <f>Model!H5</f>
        <v>46904</v>
      </c>
      <c r="F22" s="179">
        <f>Model!I5</f>
        <v>47269</v>
      </c>
      <c r="G22" s="179">
        <f>Model!J5</f>
        <v>47634</v>
      </c>
      <c r="H22" s="144"/>
      <c r="I22" s="144"/>
    </row>
    <row r="23">
      <c r="B23" t="s" s="101">
        <v>464</v>
      </c>
      <c r="C23" s="180">
        <f>Model!F6</f>
        <v>46265</v>
      </c>
      <c r="D23" s="180">
        <f>Model!G6</f>
        <v>46538</v>
      </c>
      <c r="E23" s="180">
        <f>Model!H6</f>
        <v>46904</v>
      </c>
      <c r="F23" s="180">
        <f>Model!I6</f>
        <v>47269</v>
      </c>
      <c r="G23" s="180">
        <f>Model!J6</f>
        <v>47634</v>
      </c>
      <c r="H23" s="60"/>
      <c r="I23" s="60"/>
    </row>
    <row r="24">
      <c r="B24" t="s" s="56">
        <v>242</v>
      </c>
      <c r="C24" s="56"/>
      <c r="D24" s="56"/>
      <c r="E24" s="56"/>
      <c r="F24" s="56"/>
      <c r="G24" s="56"/>
      <c r="I24" s="56"/>
    </row>
    <row r="25">
      <c r="B25" t="s" s="16">
        <v>147</v>
      </c>
      <c r="C25" s="27">
        <f>Model!F67</f>
        <v>4988</v>
      </c>
      <c r="D25" s="27">
        <f>Model!G67</f>
        <v>3244.4765000000007</v>
      </c>
      <c r="E25" s="27">
        <f>Model!H67</f>
        <v>4070.348771000001</v>
      </c>
      <c r="F25" s="27">
        <f>Model!I67</f>
        <v>4893.320584700003</v>
      </c>
      <c r="G25" s="27">
        <f>Model!J67</f>
        <v>5671.692150341001</v>
      </c>
    </row>
    <row r="26">
      <c r="B26" t="s" s="16">
        <v>243</v>
      </c>
      <c r="C26" s="53">
        <f>Model!F65</f>
        <v>2.2897270761294855</v>
      </c>
      <c r="D26" s="53">
        <f>Model!G65</f>
        <v>1.278680144586416</v>
      </c>
      <c r="E26" s="53">
        <f>Model!H65</f>
        <v>1.7185706114869015</v>
      </c>
      <c r="F26" s="53">
        <f>Model!I65</f>
        <v>2.1887753579266653</v>
      </c>
      <c r="G26" s="53">
        <f>Model!J65</f>
        <v>2.635845985709776</v>
      </c>
    </row>
    <row r="27">
      <c r="B27" t="s" s="16">
        <v>159</v>
      </c>
      <c r="C27" s="35">
        <f>Model!F82</f>
        <v>2105</v>
      </c>
      <c r="D27" s="35">
        <f>Model!G82</f>
        <v>3143.6616865</v>
      </c>
      <c r="E27" s="35">
        <f>Model!H82</f>
        <v>3270.97218927815</v>
      </c>
      <c r="F27" s="35">
        <f>Model!I82</f>
        <v>3873.776266729212</v>
      </c>
      <c r="G27" s="35">
        <f>Model!J82</f>
        <v>4121.869240231183</v>
      </c>
    </row>
    <row r="28">
      <c r="B28" t="s" s="12">
        <v>244</v>
      </c>
      <c r="C28" s="54">
        <f>$C$20/C25</f>
        <v>10.143258092309543</v>
      </c>
      <c r="D28" s="54">
        <f>$C$20/D25</f>
        <v>15.594063129888594</v>
      </c>
      <c r="E28" s="54">
        <f>$C$20/E25</f>
        <v>12.430033446988858</v>
      </c>
      <c r="F28" s="54">
        <f>$C$20/F25</f>
        <v>10.339516998464108</v>
      </c>
      <c r="G28" s="54">
        <f>$C$20/G25</f>
        <v>8.920542586465679</v>
      </c>
    </row>
    <row r="29">
      <c r="B29" t="s" s="12">
        <v>245</v>
      </c>
      <c r="C29" s="54">
        <f>$C$13/C26</f>
        <v>15.0061552567573</v>
      </c>
      <c r="D29" s="54">
        <f>$C$13/D26</f>
        <v>26.87145815587338</v>
      </c>
      <c r="E29" s="54">
        <f>$C$13/E26</f>
        <v>19.99335946416065</v>
      </c>
      <c r="F29" s="54">
        <f>$C$13/F26</f>
        <v>15.698276150435</v>
      </c>
      <c r="G29" s="54">
        <f>$C$13/G26</f>
        <v>13.035663003939739</v>
      </c>
    </row>
    <row r="30">
      <c r="B30" t="s" s="44">
        <v>246</v>
      </c>
      <c r="C30" s="31">
        <f>C27/$C$17</f>
        <v>0.04121828211516422</v>
      </c>
      <c r="D30" s="31">
        <f>D27/$C$17</f>
        <v>0.06155645333434201</v>
      </c>
      <c r="E30" s="31">
        <f>E27/$C$17</f>
        <v>0.06404933704917963</v>
      </c>
      <c r="F30" s="31">
        <f>F27/$C$17</f>
        <v>0.07585292304659015</v>
      </c>
      <c r="G30" s="31">
        <f>G27/$C$17</f>
        <v>0.08071086422121923</v>
      </c>
    </row>
    <row r="32">
      <c r="B32" t="s" s="56">
        <v>247</v>
      </c>
      <c r="C32" t="s" s="23">
        <v>248</v>
      </c>
      <c r="D32" t="s" s="23">
        <v>6</v>
      </c>
      <c r="E32" t="s" s="23">
        <v>4</v>
      </c>
      <c r="F32" t="s" s="23">
        <v>5</v>
      </c>
      <c r="G32" t="s" s="23">
        <v>249</v>
      </c>
    </row>
    <row r="33">
      <c r="B33" t="s">
        <v>250</v>
      </c>
      <c r="C33" t="s" s="7">
        <v>251</v>
      </c>
      <c r="D33" s="139">
        <v>0.25</v>
      </c>
      <c r="E33" s="139">
        <v>0.5</v>
      </c>
      <c r="F33" s="139">
        <v>0.25</v>
      </c>
      <c r="G33" s="29">
        <f>SUM(D33:F33)</f>
        <v>1</v>
      </c>
    </row>
    <row r="34">
      <c r="B34" t="s" s="16">
        <v>252</v>
      </c>
      <c r="C34" t="s" s="7">
        <v>253</v>
      </c>
      <c r="D34" s="182">
        <f>Model!$E$8*(1+Cases!$C14)*(1+Cases!$D14)*(1+Cases!$E14)*(1+Cases!$F14)</f>
        <v>20686.902336</v>
      </c>
      <c r="E34" s="182">
        <f>Model!$E$8*(1+Cases!$C13)*(1+Cases!$D13)*(1+Cases!$E13)*(1+Cases!$F13)</f>
        <v>23047.554348</v>
      </c>
      <c r="F34" s="182">
        <f>Model!$E$8*(1+Cases!$C12)*(1+Cases!$D12)*(1+Cases!$E12)*(1+Cases!$F12)</f>
        <v>24428.929176000005</v>
      </c>
    </row>
    <row r="35">
      <c r="B35" t="s" s="16">
        <v>254</v>
      </c>
      <c r="C35" t="s" s="7">
        <v>253</v>
      </c>
      <c r="D35" s="137">
        <f>Model!$E$10*(1+Cases!$C18)*(1+Cases!$D18)*(1+Cases!$E18)*(1+Cases!$F18)</f>
        <v>11755.247448</v>
      </c>
      <c r="E35" s="137">
        <f>Model!$E$10*(1+Cases!$C17)*(1+Cases!$D17)*(1+Cases!$E17)*(1+Cases!$F17)</f>
        <v>13134.332988</v>
      </c>
      <c r="F35" s="137">
        <f>Model!$E$10*(1+Cases!$C16)*(1+Cases!$D16)*(1+Cases!$E16)*(1+Cases!$F16)</f>
        <v>13942.2625104</v>
      </c>
    </row>
    <row r="36">
      <c r="B36" t="s" s="16">
        <v>255</v>
      </c>
      <c r="C36" t="s" s="7">
        <v>253</v>
      </c>
      <c r="D36" s="137">
        <f>Model!$E$12*(1+Cases!$C22)*(1+Cases!$D22)*(1+Cases!$E22)*(1+Cases!$F22)</f>
        <v>3757.2821999999996</v>
      </c>
      <c r="E36" s="137">
        <f>Model!$E$12*(1+Cases!$C21)*(1+Cases!$D21)*(1+Cases!$E21)*(1+Cases!$F21)</f>
        <v>4505.51548125</v>
      </c>
      <c r="F36" s="137">
        <f>Model!$E$12*(1+Cases!$C20)*(1+Cases!$D20)*(1+Cases!$E20)*(1+Cases!$F20)</f>
        <v>5411.4405984</v>
      </c>
    </row>
    <row r="37">
      <c r="B37" t="s" s="16">
        <v>256</v>
      </c>
      <c r="C37" t="s" s="7">
        <v>253</v>
      </c>
      <c r="D37" s="137">
        <f>Model!$E$14*(1+Cases!$C26)*(1+Cases!$D26)*(1+Cases!$E26)*(1+Cases!$F26)</f>
        <v>5968.595178</v>
      </c>
      <c r="E37" s="137">
        <f>Model!$E$14*(1+Cases!$C25)*(1+Cases!$D25)*(1+Cases!$E25)*(1+Cases!$F25)</f>
        <v>6727.498003800001</v>
      </c>
      <c r="F37" s="137">
        <f>Model!$E$14*(1+Cases!$C24)*(1+Cases!$D24)*(1+Cases!$E24)*(1+Cases!$F24)</f>
        <v>7204.791585600001</v>
      </c>
    </row>
    <row r="38">
      <c r="B38" t="s" s="16">
        <v>257</v>
      </c>
      <c r="C38" t="s" s="7">
        <v>253</v>
      </c>
      <c r="D38" s="137">
        <f>Model!$E$19*(1+Cases!$C30)*(1+Cases!$D30)*(1+Cases!$E30)*(1+Cases!$F30)</f>
        <v>652.4505</v>
      </c>
      <c r="E38" s="137">
        <f>Model!$E$19*(1+Cases!$C29)*(1+Cases!$D29)*(1+Cases!$E29)*(1+Cases!$F29)</f>
        <v>796.3241999999999</v>
      </c>
      <c r="F38" s="137">
        <f>Model!$E$19*(1+Cases!$C28)*(1+Cases!$D28)*(1+Cases!$E28)*(1+Cases!$F28)</f>
        <v>943.1916000000001</v>
      </c>
    </row>
    <row r="39">
      <c r="B39" t="s" s="36">
        <v>258</v>
      </c>
      <c r="C39" t="s" s="57">
        <v>253</v>
      </c>
      <c r="D39" s="150">
        <f>D34*Cases!$F$35+D35*Cases!$F$39+D36*Cases!$F$43+D37*Cases!$F$47+D38*Cases!$F$51</f>
        <v>8616.776713620002</v>
      </c>
      <c r="E39" s="150">
        <f>E34*Cases!$F$34+E35*Cases!$F$38+E36*Cases!$F$42+E37*Cases!$F$46+E38*Cases!$F$50</f>
        <v>10991.692150341</v>
      </c>
      <c r="F39" s="150">
        <f>F34*Cases!$F$33+F35*Cases!$F$37+F36*Cases!$F$41+F37*Cases!$F$45+F38*Cases!$F$49</f>
        <v>12970.550401656</v>
      </c>
    </row>
    <row r="40">
      <c r="B40" t="s" s="16">
        <v>259</v>
      </c>
      <c r="C40" t="s" s="7">
        <v>253</v>
      </c>
      <c r="D40" s="137">
        <f>Model!$J$33+Model!$J$38</f>
        <v>-6150</v>
      </c>
      <c r="E40" s="137">
        <f>Model!$J$33+Model!$J$38</f>
        <v>-6150</v>
      </c>
      <c r="F40" s="137">
        <f>Model!$J$33+Model!$J$38</f>
        <v>-6150</v>
      </c>
    </row>
    <row r="41">
      <c r="B41" t="s" s="36">
        <v>260</v>
      </c>
      <c r="C41" t="s" s="57">
        <v>253</v>
      </c>
      <c r="D41" s="37">
        <f>D39+D40</f>
        <v>2466.776713620002</v>
      </c>
      <c r="E41" s="37">
        <f>E39+E40</f>
        <v>4841.692150340999</v>
      </c>
      <c r="F41" s="37">
        <f>F39+F40</f>
        <v>6820.550401656001</v>
      </c>
    </row>
    <row r="42">
      <c r="B42" t="s" s="16">
        <v>261</v>
      </c>
      <c r="C42" t="s" s="7">
        <v>253</v>
      </c>
      <c r="D42" s="137">
        <f>-Model!$J$54</f>
        <v>21.668979275220863</v>
      </c>
      <c r="E42" s="137">
        <f>-Model!$J$54</f>
        <v>21.668979275220863</v>
      </c>
      <c r="F42" s="137">
        <f>-Model!$J$54</f>
        <v>21.668979275220863</v>
      </c>
    </row>
    <row r="43">
      <c r="B43" t="s" s="36">
        <v>262</v>
      </c>
      <c r="C43" t="s" s="57">
        <v>253</v>
      </c>
      <c r="D43" s="37">
        <f>D41+D42</f>
        <v>2488.4456928952227</v>
      </c>
      <c r="E43" s="37">
        <f>E41+E42</f>
        <v>4863.36112961622</v>
      </c>
      <c r="F43" s="37">
        <f>F41+F42</f>
        <v>6842.219380931221</v>
      </c>
    </row>
    <row r="44">
      <c r="B44" t="s" s="16">
        <v>263</v>
      </c>
      <c r="C44" t="s" s="7">
        <v>253</v>
      </c>
      <c r="D44" s="148">
        <f>-D43*Model!$J$57</f>
        <v>-547.458052436949</v>
      </c>
      <c r="E44" s="148">
        <f>-E43*Model!$J$57</f>
        <v>-1069.9394485155683</v>
      </c>
      <c r="F44" s="148">
        <f>-F43*Model!$J$57</f>
        <v>-1505.2882638048686</v>
      </c>
    </row>
    <row r="45">
      <c r="B45" t="s" s="149">
        <v>264</v>
      </c>
      <c r="C45" t="s" s="154">
        <v>253</v>
      </c>
      <c r="D45" s="150">
        <f>D43+D44</f>
        <v>1940.9876404582737</v>
      </c>
      <c r="E45" s="150">
        <f>E43+E44</f>
        <v>3793.4216811006518</v>
      </c>
      <c r="F45" s="150">
        <f>F43+F44</f>
        <v>5336.931117126353</v>
      </c>
    </row>
    <row r="46">
      <c r="B46" t="s" s="16">
        <v>265</v>
      </c>
      <c r="C46" t="s" s="7">
        <v>266</v>
      </c>
      <c r="D46" s="35">
        <f>Model!$J$59</f>
        <v>1439.1666666666667</v>
      </c>
      <c r="E46" s="35">
        <f>Model!$J$59</f>
        <v>1439.1666666666667</v>
      </c>
      <c r="F46" s="35">
        <f>Model!$J$59</f>
        <v>1439.1666666666667</v>
      </c>
    </row>
    <row r="47">
      <c r="B47" t="s" s="5">
        <v>267</v>
      </c>
      <c r="C47" t="s" s="60">
        <v>268</v>
      </c>
      <c r="D47" s="46">
        <f>D45/D46</f>
        <v>1.348688574724915</v>
      </c>
      <c r="E47" s="46">
        <f>E45/E46</f>
        <v>2.6358459857097754</v>
      </c>
      <c r="F47" s="46">
        <f>F45/F46</f>
        <v>3.7083481995087566</v>
      </c>
    </row>
    <row r="48">
      <c r="B48" t="s" s="16">
        <v>269</v>
      </c>
      <c r="C48" t="s" s="7">
        <v>270</v>
      </c>
      <c r="D48" s="155">
        <v>16</v>
      </c>
      <c r="E48" s="155">
        <v>20</v>
      </c>
      <c r="F48" s="155">
        <v>24</v>
      </c>
    </row>
    <row r="49">
      <c r="B49" t="s" s="5">
        <v>271</v>
      </c>
      <c r="C49" t="s" s="60">
        <v>268</v>
      </c>
      <c r="D49" s="46">
        <f>D47*D48</f>
        <v>21.57901719559864</v>
      </c>
      <c r="E49" s="46">
        <f>E47*E48</f>
        <v>52.716919714195505</v>
      </c>
      <c r="F49" s="46">
        <f>F47*F48</f>
        <v>89.00035678821015</v>
      </c>
      <c r="G49" s="46">
        <f>G63</f>
        <v>54.00330335304995</v>
      </c>
    </row>
    <row r="50">
      <c r="B50" t="s" s="16">
        <v>272</v>
      </c>
      <c r="C50" t="s" s="7">
        <v>268</v>
      </c>
      <c r="D50" s="52">
        <f>$C$13</f>
        <v>34.36</v>
      </c>
      <c r="E50" s="52">
        <f>$C$13</f>
        <v>34.36</v>
      </c>
      <c r="F50" s="52">
        <f>$C$13</f>
        <v>34.36</v>
      </c>
      <c r="G50" s="52">
        <f>$C$13</f>
        <v>34.36</v>
      </c>
    </row>
    <row r="51">
      <c r="B51" t="s" s="16">
        <v>273</v>
      </c>
      <c r="C51" t="s" s="7">
        <v>268</v>
      </c>
      <c r="D51" s="52">
        <f>SUM(D60:D62)</f>
        <v>4.7125</v>
      </c>
      <c r="E51" s="52">
        <f>SUM(E60:E62)</f>
        <v>4.7125</v>
      </c>
      <c r="F51" s="52">
        <f>SUM(F60:F62)</f>
        <v>4.7125</v>
      </c>
      <c r="G51" s="52">
        <f>SUM(G60:G62)</f>
        <v>4.7125</v>
      </c>
    </row>
    <row r="52">
      <c r="B52" t="s" s="149">
        <v>274</v>
      </c>
      <c r="C52" t="s" s="154">
        <v>270</v>
      </c>
      <c r="D52" s="156">
        <f>SUMIF(D59:D63,"&gt;0")/-D59</f>
        <v>0.7651780324679466</v>
      </c>
      <c r="E52" s="156">
        <f>SUMIF(E59:E63,"&gt;0")/-E59</f>
        <v>1.671403367700684</v>
      </c>
      <c r="F52" s="156">
        <f>SUMIF(F59:F63,"&gt;0")/-F59</f>
        <v>2.727382327945581</v>
      </c>
      <c r="G52" s="157">
        <f>SUMIF(G59:G63,"&gt;0")/-G59</f>
        <v>1.7088417739537238</v>
      </c>
    </row>
    <row r="53">
      <c r="B53" t="s" s="5">
        <v>275</v>
      </c>
      <c r="C53" t="s" s="60">
        <v>251</v>
      </c>
      <c r="D53" s="158">
        <f>XIRR(D59:D63,$C$59:$C$63)</f>
        <v>-0.10150469578802584</v>
      </c>
      <c r="E53" s="158">
        <f>XIRR(E59:E63,$C$59:$C$63)</f>
        <v>0.22187650799751282</v>
      </c>
      <c r="F53" s="158">
        <f>XIRR(F59:F63,$C$59:$C$63)</f>
        <v>0.47372604012489306</v>
      </c>
      <c r="G53" s="159">
        <f>XIRR(G59:G63,$C$59:$C$63)</f>
        <v>0.23235265612602235</v>
      </c>
    </row>
    <row r="54">
      <c r="B54" t="s" s="44">
        <v>276</v>
      </c>
      <c r="C54" t="s" s="68">
        <v>268</v>
      </c>
      <c r="D54" s="160">
        <f>INDEX(D47:F47,MATCH(Cases!$D$5,D55:F55,0))</f>
        <v>2.6358459857097754</v>
      </c>
      <c r="E54" s="4"/>
      <c r="F54" s="4"/>
    </row>
    <row r="55">
      <c r="B55" t="s" s="44">
        <v>277</v>
      </c>
      <c r="C55" t="s" s="68">
        <v>278</v>
      </c>
      <c r="D55" t="str" s="70">
        <f>Cases!$E$6&amp;" Case"</f>
        <v>Downside Case</v>
      </c>
      <c r="E55" t="str" s="70">
        <f>Cases!$C$6&amp;" Case"</f>
        <v>Base Case</v>
      </c>
      <c r="F55" t="str" s="70">
        <f>Cases!$D$6&amp;" Case"</f>
        <v>Upside Case</v>
      </c>
    </row>
    <row r="56">
      <c r="B56" t="s" s="44">
        <v>279</v>
      </c>
      <c r="C56" s="160">
        <f>D54-Model!J65</f>
        <v>0</v>
      </c>
      <c r="D56" s="4"/>
      <c r="E56" s="4"/>
      <c r="F56" s="4"/>
    </row>
    <row r="58">
      <c r="B58" t="s" s="56">
        <v>280</v>
      </c>
      <c r="C58" t="s" s="23">
        <v>281</v>
      </c>
      <c r="D58" t="s" s="23">
        <v>6</v>
      </c>
      <c r="E58" t="s" s="23">
        <v>4</v>
      </c>
      <c r="F58" t="s" s="23">
        <v>5</v>
      </c>
      <c r="G58" t="s" s="23">
        <v>249</v>
      </c>
    </row>
    <row r="59">
      <c r="B59" t="s" s="16">
        <v>282</v>
      </c>
      <c r="C59" s="73">
        <f>DATE(2026,10,7)</f>
        <v>46302</v>
      </c>
      <c r="D59" s="52">
        <f>-$C$13</f>
        <v>-34.36</v>
      </c>
      <c r="E59" s="52">
        <f>-$C$13</f>
        <v>-34.36</v>
      </c>
      <c r="F59" s="52">
        <f>-$C$13</f>
        <v>-34.36</v>
      </c>
      <c r="G59" s="52">
        <f>SUMPRODUCT($D$33:$F$33,D59:F59)</f>
        <v>-34.36</v>
      </c>
    </row>
    <row r="60">
      <c r="B60" t="s" s="16">
        <v>283</v>
      </c>
      <c r="C60" s="74">
        <f>Model!G6</f>
        <v>46538</v>
      </c>
      <c r="D60" s="161">
        <f>Model!$G$140*$C$65</f>
        <v>1.2525</v>
      </c>
      <c r="E60" s="161">
        <f>Model!$G$140*$C$65</f>
        <v>1.2525</v>
      </c>
      <c r="F60" s="161">
        <f>Model!$G$140*$C$65</f>
        <v>1.2525</v>
      </c>
      <c r="G60" s="52">
        <f>SUMPRODUCT($D$33:$F$33,D60:F60)</f>
        <v>1.2525</v>
      </c>
    </row>
    <row r="61">
      <c r="B61" t="s" s="16">
        <v>284</v>
      </c>
      <c r="C61" s="74">
        <f>Model!H6</f>
        <v>46904</v>
      </c>
      <c r="D61" s="53">
        <f>Model!$H$140</f>
        <v>1.71</v>
      </c>
      <c r="E61" s="53">
        <f>Model!$H$140</f>
        <v>1.71</v>
      </c>
      <c r="F61" s="53">
        <f>Model!$H$140</f>
        <v>1.71</v>
      </c>
      <c r="G61" s="52">
        <f>SUMPRODUCT($D$33:$F$33,D61:F61)</f>
        <v>1.71</v>
      </c>
    </row>
    <row r="62">
      <c r="B62" t="s" s="16">
        <v>285</v>
      </c>
      <c r="C62" s="74">
        <f>Model!I6</f>
        <v>47269</v>
      </c>
      <c r="D62" s="53">
        <f>Model!$I$140</f>
        <v>1.75</v>
      </c>
      <c r="E62" s="53">
        <f>Model!$I$140</f>
        <v>1.75</v>
      </c>
      <c r="F62" s="53">
        <f>Model!$I$140</f>
        <v>1.75</v>
      </c>
      <c r="G62" s="52">
        <f>SUMPRODUCT($D$33:$F$33,D62:F62)</f>
        <v>1.75</v>
      </c>
    </row>
    <row r="63">
      <c r="B63" t="s" s="16">
        <v>286</v>
      </c>
      <c r="C63" s="74">
        <f>Model!I6</f>
        <v>47269</v>
      </c>
      <c r="D63" s="52">
        <f>D49</f>
        <v>21.57901719559864</v>
      </c>
      <c r="E63" s="52">
        <f>E49</f>
        <v>52.716919714195505</v>
      </c>
      <c r="F63" s="52">
        <f>F49</f>
        <v>89.00035678821015</v>
      </c>
      <c r="G63" s="52">
        <f>SUMPRODUCT($D$33:$F$33,D63:F63)</f>
        <v>54.00330335304995</v>
      </c>
    </row>
    <row r="64">
      <c r="B64" t="s" s="36">
        <v>287</v>
      </c>
      <c r="C64" s="36"/>
      <c r="D64" s="75">
        <f>SUM(D59:D63)</f>
        <v>-8.06848280440136</v>
      </c>
      <c r="E64" s="75">
        <f>SUM(E59:E63)</f>
        <v>23.069419714195504</v>
      </c>
      <c r="F64" s="75">
        <f>SUM(F59:F63)</f>
        <v>59.352856788210154</v>
      </c>
      <c r="G64" s="75">
        <f>SUM(G59:G63)</f>
        <v>24.35580335304995</v>
      </c>
    </row>
    <row r="65">
      <c r="B65" t="s" s="16">
        <v>288</v>
      </c>
      <c r="C65" s="139">
        <v>0.75</v>
      </c>
      <c r="I65" t="s">
        <v>289</v>
      </c>
    </row>
    <row r="67">
      <c r="B67" t="s" s="76">
        <v>290</v>
      </c>
      <c r="C67" s="76"/>
      <c r="D67" s="76"/>
      <c r="E67" s="76"/>
      <c r="F67" s="76"/>
      <c r="G67" s="76"/>
    </row>
    <row r="68">
      <c r="B68" t="s" s="5">
        <v>291</v>
      </c>
      <c r="C68" s="162">
        <v>-0.1</v>
      </c>
      <c r="D68" s="13">
        <f>C68+$C$76</f>
        <v>-0.05</v>
      </c>
      <c r="E68" s="13">
        <f>D68+$C$76</f>
        <v>0</v>
      </c>
      <c r="F68" s="13">
        <f>E68+$C$76</f>
        <v>0.05</v>
      </c>
      <c r="G68" s="13">
        <f>F68+$C$76</f>
        <v>0.1</v>
      </c>
    </row>
    <row r="69">
      <c r="B69" t="s" s="5">
        <v>292</v>
      </c>
      <c r="C69" s="163">
        <f>Model!$J$65*(1+C68)</f>
        <v>2.3722613871387983</v>
      </c>
      <c r="D69" s="163">
        <f>Model!$J$65*(1+D68)</f>
        <v>2.504053686424287</v>
      </c>
      <c r="E69" s="163">
        <f>Model!$J$65*(1+E68)</f>
        <v>2.635845985709776</v>
      </c>
      <c r="F69" s="163">
        <f>Model!$J$65*(1+F68)</f>
        <v>2.7676382849952645</v>
      </c>
      <c r="G69" s="163">
        <f>Model!$J$65*(1+G68)</f>
        <v>2.8994305842807537</v>
      </c>
    </row>
    <row r="70">
      <c r="B70" s="164">
        <v>16</v>
      </c>
      <c r="C70" s="29">
        <f>RATE($C$77,$C$78,-$C$13,$B70*C$69)</f>
        <v>0.08851460653388547</v>
      </c>
      <c r="D70" s="29">
        <f>RATE($C$77,$C$78,-$C$13,$B70*D$69)</f>
        <v>0.10912297085846756</v>
      </c>
      <c r="E70" s="29">
        <f>RATE($C$77,$C$78,-$C$13,$B70*E$69)</f>
        <v>0.12910117278670918</v>
      </c>
      <c r="F70" s="29">
        <f>RATE($C$77,$C$78,-$C$13,$B70*F$69)</f>
        <v>0.14849717982352917</v>
      </c>
      <c r="G70" s="29">
        <f>RATE($C$77,$C$78,-$C$13,$B70*G$69)</f>
        <v>0.16735331629087122</v>
      </c>
      <c r="I70" t="s">
        <v>293</v>
      </c>
    </row>
    <row r="71">
      <c r="B71" s="54">
        <f>B70+$C$75</f>
        <v>18</v>
      </c>
      <c r="C71" s="29">
        <f>RATE($C$77,$C$78,-$C$13,$B71*C$69)</f>
        <v>0.13400301300970088</v>
      </c>
      <c r="D71" s="29">
        <f>RATE($C$77,$C$78,-$C$13,$B71*D$69)</f>
        <v>0.15562938379348934</v>
      </c>
      <c r="E71" s="29">
        <f>RATE($C$77,$C$78,-$C$13,$B71*E$69)</f>
        <v>0.1765908361088214</v>
      </c>
      <c r="F71" s="29">
        <f>RATE($C$77,$C$78,-$C$13,$B71*F$69)</f>
        <v>0.19693824087663378</v>
      </c>
      <c r="G71" s="29">
        <f>RATE($C$77,$C$78,-$C$13,$B71*G$69)</f>
        <v>0.2167164555050956</v>
      </c>
    </row>
    <row r="72">
      <c r="B72" s="54">
        <f>B71+$C$75</f>
        <v>20</v>
      </c>
      <c r="C72" s="29">
        <f>RATE($C$77,$C$78,-$C$13,$B72*C$69)</f>
        <v>0.17659083610882145</v>
      </c>
      <c r="D72" s="29">
        <f>RATE($C$77,$C$78,-$C$13,$B72*D$69)</f>
        <v>0.1991631600226032</v>
      </c>
      <c r="E72" s="81">
        <f>RATE($C$77,$C$78,-$C$13,$B72*E$69)</f>
        <v>0.221038408022192</v>
      </c>
      <c r="F72" s="29">
        <f>RATE($C$77,$C$78,-$C$13,$B72*F$69)</f>
        <v>0.2422701303457102</v>
      </c>
      <c r="G72" s="29">
        <f>RATE($C$77,$C$78,-$C$13,$B72*G$69)</f>
        <v>0.26290552248581023</v>
      </c>
    </row>
    <row r="73">
      <c r="B73" s="54">
        <f>B72+$C$75</f>
        <v>22</v>
      </c>
      <c r="C73" s="29">
        <f>RATE($C$77,$C$78,-$C$13,$B73*C$69)</f>
        <v>0.2167164555050955</v>
      </c>
      <c r="D73" s="29">
        <f>RATE($C$77,$C$78,-$C$13,$B73*D$69)</f>
        <v>0.24017452676466897</v>
      </c>
      <c r="E73" s="29">
        <f>RATE($C$77,$C$78,-$C$13,$B73*E$69)</f>
        <v>0.26290552248581006</v>
      </c>
      <c r="F73" s="29">
        <f>RATE($C$77,$C$78,-$C$13,$B73*F$69)</f>
        <v>0.28496548652493436</v>
      </c>
      <c r="G73" s="29">
        <f>RATE($C$77,$C$78,-$C$13,$B73*G$69)</f>
        <v>0.3064037908782199</v>
      </c>
    </row>
    <row r="74">
      <c r="B74" s="54">
        <f>B73+$C$75</f>
        <v>24</v>
      </c>
      <c r="C74" s="29">
        <f>RATE($C$77,$C$78,-$C$13,$B74*C$69)</f>
        <v>0.25472013777488356</v>
      </c>
      <c r="D74" s="29">
        <f>RATE($C$77,$C$78,-$C$13,$B74*D$69)</f>
        <v>0.27901275219889327</v>
      </c>
      <c r="E74" s="29">
        <f>RATE($C$77,$C$78,-$C$13,$B74*E$69)</f>
        <v>0.3025501162629081</v>
      </c>
      <c r="F74" s="29">
        <f>RATE($C$77,$C$78,-$C$13,$B74*F$69)</f>
        <v>0.32539061075905856</v>
      </c>
      <c r="G74" s="29">
        <f>RATE($C$77,$C$78,-$C$13,$B74*G$69)</f>
        <v>0.34758564784757384</v>
      </c>
    </row>
    <row r="75">
      <c r="B75" t="s" s="16">
        <v>294</v>
      </c>
      <c r="C75" s="155">
        <v>2</v>
      </c>
    </row>
    <row r="76">
      <c r="B76" t="s" s="16">
        <v>295</v>
      </c>
      <c r="C76" s="139">
        <v>0.05</v>
      </c>
    </row>
    <row r="77">
      <c r="B77" t="s" s="16">
        <v>296</v>
      </c>
      <c r="C77" s="82">
        <f>YEARFRAC(C59,C63)</f>
        <v>2.65</v>
      </c>
    </row>
    <row r="78">
      <c r="B78" t="s" s="16">
        <v>297</v>
      </c>
      <c r="C78" s="52">
        <f>E51/C77</f>
        <v>1.778301886792453</v>
      </c>
    </row>
    <row r="80">
      <c r="B80" t="s" s="101">
        <v>463</v>
      </c>
      <c r="C80" s="179">
        <f>Model!G5</f>
        <v>46538</v>
      </c>
      <c r="D80" s="179">
        <f>Model!H5</f>
        <v>46904</v>
      </c>
      <c r="E80" s="179">
        <f>Model!I5</f>
        <v>47269</v>
      </c>
      <c r="F80" s="179">
        <f>Model!J5</f>
        <v>47634</v>
      </c>
      <c r="G80" s="179">
        <f>Model!K5</f>
        <v>47999</v>
      </c>
      <c r="H80" s="144"/>
      <c r="I80" s="144"/>
    </row>
    <row r="81">
      <c r="B81" t="s" s="101">
        <v>464</v>
      </c>
      <c r="C81" s="180">
        <f>Model!G6</f>
        <v>46538</v>
      </c>
      <c r="D81" s="180">
        <f>Model!H6</f>
        <v>46904</v>
      </c>
      <c r="E81" s="180">
        <f>Model!I6</f>
        <v>47269</v>
      </c>
      <c r="F81" s="180">
        <f>Model!J6</f>
        <v>47634</v>
      </c>
      <c r="G81" s="180">
        <f>Model!K6</f>
        <v>47999</v>
      </c>
      <c r="H81" s="60"/>
      <c r="I81" s="60"/>
    </row>
    <row r="82">
      <c r="B82" t="s" s="56">
        <v>298</v>
      </c>
      <c r="C82" s="56"/>
      <c r="D82" s="56"/>
      <c r="E82" s="56"/>
      <c r="F82" s="56"/>
      <c r="G82" s="56"/>
      <c r="I82" s="56"/>
    </row>
    <row r="83">
      <c r="B83" t="s" s="16">
        <v>144</v>
      </c>
      <c r="C83" s="27">
        <f>Model!G63</f>
        <v>2484.4765000000007</v>
      </c>
      <c r="D83" s="27">
        <f>Model!H63</f>
        <v>3290.348771000001</v>
      </c>
      <c r="E83" s="27">
        <f>Model!I63</f>
        <v>4093.3205847000027</v>
      </c>
      <c r="F83" s="27">
        <f>Model!J63</f>
        <v>4841.692150341001</v>
      </c>
      <c r="G83" s="27">
        <f>Model!K63</f>
        <v>5586.560893853677</v>
      </c>
    </row>
    <row r="84">
      <c r="B84" t="s" s="16">
        <v>299</v>
      </c>
      <c r="C84" s="148">
        <f>-C83*Model!G57</f>
        <v>-621.1191250000002</v>
      </c>
      <c r="D84" s="148">
        <f>-D83*Model!H57</f>
        <v>-756.7802173300003</v>
      </c>
      <c r="E84" s="148">
        <f>-E83*Model!I57</f>
        <v>-900.5305286340007</v>
      </c>
      <c r="F84" s="148">
        <f>-F83*Model!J57</f>
        <v>-1065.1722730750203</v>
      </c>
      <c r="G84" s="148">
        <f>-G83*Model!K57</f>
        <v>-1229.043396647809</v>
      </c>
    </row>
    <row r="85">
      <c r="B85" t="s" s="36">
        <v>300</v>
      </c>
      <c r="C85" s="37">
        <f>C83+C84</f>
        <v>1863.3573750000005</v>
      </c>
      <c r="D85" s="37">
        <f>D83+D84</f>
        <v>2533.5685536700007</v>
      </c>
      <c r="E85" s="37">
        <f>E83+E84</f>
        <v>3192.790056066002</v>
      </c>
      <c r="F85" s="37">
        <f>F83+F84</f>
        <v>3776.519877265981</v>
      </c>
      <c r="G85" s="37">
        <f>G83+G84</f>
        <v>4357.5174972058685</v>
      </c>
    </row>
    <row r="86">
      <c r="B86" t="s" s="16">
        <v>301</v>
      </c>
      <c r="C86" s="35">
        <f>Model!G66</f>
        <v>760</v>
      </c>
      <c r="D86" s="35">
        <f>Model!H66</f>
        <v>780</v>
      </c>
      <c r="E86" s="35">
        <f>Model!I66</f>
        <v>800</v>
      </c>
      <c r="F86" s="35">
        <f>Model!J66</f>
        <v>830</v>
      </c>
      <c r="G86" s="35">
        <f>Model!K66</f>
        <v>860</v>
      </c>
    </row>
    <row r="87">
      <c r="B87" t="s" s="16">
        <v>302</v>
      </c>
      <c r="C87" s="35">
        <f>Model!G81</f>
        <v>-750</v>
      </c>
      <c r="D87" s="35">
        <f>Model!H81</f>
        <v>-800</v>
      </c>
      <c r="E87" s="35">
        <f>Model!I81</f>
        <v>-850</v>
      </c>
      <c r="F87" s="35">
        <f>Model!J81</f>
        <v>-900</v>
      </c>
      <c r="G87" s="35">
        <f>Model!K81</f>
        <v>-950</v>
      </c>
    </row>
    <row r="88">
      <c r="B88" t="s" s="16">
        <v>303</v>
      </c>
      <c r="C88" s="137">
        <f>SUM(Model!G76:G79)</f>
        <v>807.2643114999998</v>
      </c>
      <c r="D88" s="137">
        <f>SUM(Model!H76:H79)</f>
        <v>248.38733264999905</v>
      </c>
      <c r="E88" s="137">
        <f>SUM(Model!I76:I79)</f>
        <v>162.64128647000098</v>
      </c>
      <c r="F88" s="137">
        <f>SUM(Model!J76:J79)</f>
        <v>-204.5524408694705</v>
      </c>
      <c r="G88" s="137">
        <f>SUM(Model!K76:K79)</f>
        <v>-214.23350025661512</v>
      </c>
    </row>
    <row r="89">
      <c r="B89" t="s" s="16">
        <v>304</v>
      </c>
      <c r="C89" s="137">
        <f>-Model!G62*(1-Model!G57)</f>
        <v>-225</v>
      </c>
      <c r="D89" s="137">
        <f>-Model!H62*(1-Model!H57)</f>
        <v>-192.5</v>
      </c>
      <c r="E89" s="137">
        <f>-Model!I62*(1-Model!I57)</f>
        <v>-156</v>
      </c>
      <c r="F89" s="137">
        <f>-Model!J62*(1-Model!J57)</f>
        <v>-117</v>
      </c>
      <c r="G89" s="137">
        <f>-Model!K62*(1-Model!K57)</f>
        <v>-78</v>
      </c>
    </row>
    <row r="90">
      <c r="B90" t="s" s="149">
        <v>305</v>
      </c>
      <c r="C90" s="150">
        <f>SUM(C85:C89)</f>
        <v>2455.6216865000006</v>
      </c>
      <c r="D90" s="150">
        <f>SUM(D85:D89)</f>
        <v>2569.45588632</v>
      </c>
      <c r="E90" s="150">
        <f>SUM(E85:E89)</f>
        <v>3149.431342536003</v>
      </c>
      <c r="F90" s="150">
        <f>SUM(F85:F89)</f>
        <v>3384.96743639651</v>
      </c>
      <c r="G90" s="150">
        <f>SUM(G85:G89)</f>
        <v>3975.2839969492534</v>
      </c>
    </row>
    <row r="91">
      <c r="B91" t="s" s="16">
        <v>306</v>
      </c>
      <c r="C91" s="82">
        <f>YEARFRAC($C$59,C81)</f>
        <v>0.65</v>
      </c>
      <c r="D91" s="82">
        <f>YEARFRAC(C81,D81)</f>
        <v>1</v>
      </c>
      <c r="E91" s="82">
        <f>YEARFRAC(D81,E81)</f>
        <v>1</v>
      </c>
      <c r="F91" s="82">
        <f>YEARFRAC(E81,F81)</f>
        <v>1</v>
      </c>
      <c r="G91" s="82">
        <f>YEARFRAC(F81,G81)</f>
        <v>1</v>
      </c>
    </row>
    <row r="92">
      <c r="B92" t="s" s="16">
        <v>307</v>
      </c>
      <c r="C92" s="82">
        <f>C91/2</f>
        <v>0.325</v>
      </c>
      <c r="D92" s="82">
        <f>C92+(C91+D91)/2</f>
        <v>1.15</v>
      </c>
      <c r="E92" s="82">
        <f>D92+(D91+E91)/2</f>
        <v>2.15</v>
      </c>
      <c r="F92" s="82">
        <f>E92+(E91+F91)/2</f>
        <v>3.15</v>
      </c>
      <c r="G92" s="82">
        <f>F92+(F91+G91)/2</f>
        <v>4.15</v>
      </c>
    </row>
    <row r="93">
      <c r="B93" t="s" s="16">
        <v>308</v>
      </c>
      <c r="C93" s="83">
        <f>1/(1+$C$105)^C92</f>
        <v>0.9705634004945927</v>
      </c>
      <c r="D93" s="83">
        <f>1/(1+$C$105)^D92</f>
        <v>0.8996728308779389</v>
      </c>
      <c r="E93" s="83">
        <f>1/(1+$C$105)^E92</f>
        <v>0.820650380950674</v>
      </c>
      <c r="F93" s="83">
        <f>1/(1+$C$105)^F92</f>
        <v>0.748568840405338</v>
      </c>
      <c r="G93" s="83">
        <f>1/(1+$C$105)^G92</f>
        <v>0.6828185568824746</v>
      </c>
    </row>
    <row r="94">
      <c r="B94" t="s" s="16">
        <v>309</v>
      </c>
      <c r="C94" s="34">
        <f>C90*C91*C93</f>
        <v>1549.1687473455097</v>
      </c>
      <c r="D94" s="34">
        <f>D90*D91*D93</f>
        <v>2311.669651061498</v>
      </c>
      <c r="E94" s="34">
        <f>E90*E91*E93</f>
        <v>2584.5820310301633</v>
      </c>
      <c r="F94" s="34">
        <f>F90*F91*F93</f>
        <v>2533.881148673165</v>
      </c>
      <c r="G94" s="34">
        <f>G90*G91*G93</f>
        <v>2714.397681994885</v>
      </c>
    </row>
    <row r="96">
      <c r="B96" t="s" s="56">
        <v>310</v>
      </c>
      <c r="C96" s="56"/>
      <c r="D96" s="56"/>
      <c r="E96" s="56"/>
      <c r="F96" s="56"/>
      <c r="G96" s="56"/>
      <c r="I96" s="56"/>
    </row>
    <row r="97">
      <c r="B97" t="s" s="16">
        <v>311</v>
      </c>
      <c r="C97" s="139">
        <v>0.0425</v>
      </c>
      <c r="I97" t="s">
        <v>312</v>
      </c>
    </row>
    <row r="98">
      <c r="B98" t="s" s="16">
        <v>313</v>
      </c>
      <c r="C98" s="139">
        <v>0.055</v>
      </c>
      <c r="I98" t="s">
        <v>312</v>
      </c>
    </row>
    <row r="99">
      <c r="B99" t="s" s="16">
        <v>314</v>
      </c>
      <c r="C99" s="165">
        <v>1.15</v>
      </c>
      <c r="I99" t="s">
        <v>312</v>
      </c>
    </row>
    <row r="100">
      <c r="B100" t="s" s="16">
        <v>315</v>
      </c>
      <c r="C100" s="29">
        <f>C97+C99*C98</f>
        <v>0.10575000000000001</v>
      </c>
    </row>
    <row r="101">
      <c r="B101" t="s" s="16">
        <v>316</v>
      </c>
      <c r="C101" s="139">
        <v>0.045</v>
      </c>
      <c r="I101" t="s">
        <v>317</v>
      </c>
    </row>
    <row r="102">
      <c r="B102" t="s" s="16">
        <v>318</v>
      </c>
      <c r="C102" s="166">
        <f>C101*(1-Model!$J$57)</f>
        <v>0.0351</v>
      </c>
    </row>
    <row r="103">
      <c r="B103" t="s" s="16">
        <v>319</v>
      </c>
      <c r="C103" s="29">
        <f>C17/(C17+C18)</f>
        <v>0.8661354174801097</v>
      </c>
    </row>
    <row r="104">
      <c r="B104" t="s" s="16">
        <v>320</v>
      </c>
      <c r="C104" s="29">
        <f>1-C103</f>
        <v>0.1338645825198903</v>
      </c>
    </row>
    <row r="105">
      <c r="B105" t="s" s="36">
        <v>321</v>
      </c>
      <c r="C105" s="39">
        <f>C100*C103+C102*C104</f>
        <v>0.09629246724496976</v>
      </c>
    </row>
    <row r="106">
      <c r="B106" t="s" s="16">
        <v>322</v>
      </c>
      <c r="C106" s="167">
        <v>2</v>
      </c>
    </row>
    <row r="107">
      <c r="B107" t="s" s="16">
        <v>323</v>
      </c>
      <c r="C107" s="139">
        <v>0.03</v>
      </c>
      <c r="I107" t="s">
        <v>312</v>
      </c>
    </row>
    <row r="108">
      <c r="B108" t="s" s="16">
        <v>324</v>
      </c>
      <c r="C108" s="155">
        <v>11</v>
      </c>
      <c r="I108" t="s">
        <v>325</v>
      </c>
    </row>
    <row r="109">
      <c r="B109" t="s" s="16">
        <v>326</v>
      </c>
      <c r="C109" s="148">
        <f>IF(C106=1,G90*(1+C107)/(C105-C107),C108*Model!K67)</f>
        <v>70912.16983239044</v>
      </c>
    </row>
    <row r="110">
      <c r="B110" t="s" s="16">
        <v>327</v>
      </c>
      <c r="C110" s="34">
        <f>C109/(1+C105)^(G92+G91/2)</f>
        <v>46244.79673247726</v>
      </c>
    </row>
    <row r="111">
      <c r="B111" t="s" s="16">
        <v>328</v>
      </c>
      <c r="C111" s="34">
        <f>SUM(C94:G94)</f>
        <v>11693.699260105222</v>
      </c>
    </row>
    <row r="112">
      <c r="B112" t="s" s="36">
        <v>241</v>
      </c>
      <c r="C112" s="37">
        <f>C110+C111</f>
        <v>57938.49599258248</v>
      </c>
    </row>
    <row r="113">
      <c r="B113" t="s" s="16">
        <v>329</v>
      </c>
      <c r="C113" s="137">
        <f>-Model!Q132</f>
        <v>475</v>
      </c>
    </row>
    <row r="114">
      <c r="B114" t="s" s="149">
        <v>330</v>
      </c>
      <c r="C114" s="150">
        <f>C112+C113</f>
        <v>58413.49599258248</v>
      </c>
    </row>
    <row r="115">
      <c r="B115" t="s" s="5">
        <v>331</v>
      </c>
      <c r="C115" s="168">
        <f>C114/C16</f>
        <v>39.30104891584579</v>
      </c>
    </row>
    <row r="116">
      <c r="B116" t="s" s="44">
        <v>332</v>
      </c>
      <c r="C116" s="31">
        <f>C115/C13-1</f>
        <v>0.14380235494312554</v>
      </c>
    </row>
    <row r="117">
      <c r="B117" t="s" s="44">
        <v>333</v>
      </c>
      <c r="C117" s="31">
        <f>(C109*C105-G90)/(C109+G90)</f>
        <v>0.03809748693563097</v>
      </c>
    </row>
    <row r="119">
      <c r="B119" t="s" s="76">
        <v>334</v>
      </c>
      <c r="C119" s="76"/>
      <c r="D119" s="76"/>
      <c r="E119" s="76"/>
      <c r="F119" s="76"/>
      <c r="G119" s="76"/>
    </row>
    <row r="120">
      <c r="B120" t="s" s="5">
        <v>335</v>
      </c>
      <c r="C120" s="169">
        <v>30</v>
      </c>
      <c r="D120" s="169">
        <v>32</v>
      </c>
      <c r="E120" s="46">
        <f>$C$13</f>
        <v>34.36</v>
      </c>
      <c r="F120" s="88">
        <v>37.15</v>
      </c>
      <c r="G120" s="169">
        <v>40</v>
      </c>
      <c r="I120" t="s" s="89">
        <v>336</v>
      </c>
    </row>
    <row r="121">
      <c r="B121" t="s" s="5">
        <v>337</v>
      </c>
      <c r="C121" s="90">
        <f>C120/$C$13-1</f>
        <v>-0.1268917345750873</v>
      </c>
      <c r="D121" s="90">
        <f>D120/$C$13-1</f>
        <v>-0.06868451688009314</v>
      </c>
      <c r="E121" s="90">
        <f>E120/$C$13-1</f>
        <v>0</v>
      </c>
      <c r="F121" s="90">
        <f>F120/$C$13-1</f>
        <v>0.08119906868451676</v>
      </c>
      <c r="G121" s="90">
        <f>G120/$C$13-1</f>
        <v>0.1641443538998837</v>
      </c>
    </row>
    <row r="122">
      <c r="B122" s="54">
        <f>B70</f>
        <v>16</v>
      </c>
      <c r="C122" s="29">
        <f>RATE($C$77,$C$78,-C$120,$B122*$E$69)</f>
        <v>0.19084498044580578</v>
      </c>
      <c r="D122" s="29">
        <f>RATE($C$77,$C$78,-D$120,$B122*$E$69)</f>
        <v>0.16104673710075806</v>
      </c>
      <c r="E122" s="29">
        <f>RATE($C$77,$C$78,-E$120,$B122*$E$69)</f>
        <v>0.12910117278670918</v>
      </c>
      <c r="F122" s="29">
        <f>RATE($C$77,$C$78,-F$120,$B122*$E$69)</f>
        <v>0.09511274725043842</v>
      </c>
      <c r="G122" s="29">
        <f>RATE($C$77,$C$78,-G$120,$B122*$E$69)</f>
        <v>0.06392199331046587</v>
      </c>
    </row>
    <row r="123">
      <c r="B123" s="54">
        <f>B71</f>
        <v>18</v>
      </c>
      <c r="C123" s="29">
        <f>RATE($C$77,$C$78,-C$120,$B123*$E$69)</f>
        <v>0.24080581067654797</v>
      </c>
      <c r="D123" s="29">
        <f>RATE($C$77,$C$78,-D$120,$B123*$E$69)</f>
        <v>0.20981678956560268</v>
      </c>
      <c r="E123" s="29">
        <f>RATE($C$77,$C$78,-E$120,$B123*$E$69)</f>
        <v>0.1765908361088214</v>
      </c>
      <c r="F123" s="29">
        <f>RATE($C$77,$C$78,-F$120,$B123*$E$69)</f>
        <v>0.1412358555077182</v>
      </c>
      <c r="G123" s="29">
        <f>RATE($C$77,$C$78,-G$120,$B123*$E$69)</f>
        <v>0.10878717166546198</v>
      </c>
    </row>
    <row r="124">
      <c r="B124" s="54">
        <f>B72</f>
        <v>20</v>
      </c>
      <c r="C124" s="29">
        <f>RATE($C$77,$C$78,-C$120,$B124*$E$69)</f>
        <v>0.287567946862754</v>
      </c>
      <c r="D124" s="29">
        <f>RATE($C$77,$C$78,-D$120,$B124*$E$69)</f>
        <v>0.25546358577060535</v>
      </c>
      <c r="E124" s="81">
        <f>RATE($C$77,$C$78,-E$120,$B124*$E$69)</f>
        <v>0.221038408022192</v>
      </c>
      <c r="F124" s="29">
        <f>RATE($C$77,$C$78,-F$120,$B124*$E$69)</f>
        <v>0.18440355563333538</v>
      </c>
      <c r="G124" s="29">
        <f>RATE($C$77,$C$78,-G$120,$B124*$E$69)</f>
        <v>0.15077678544347883</v>
      </c>
    </row>
    <row r="125">
      <c r="B125" s="54">
        <f>B73</f>
        <v>22</v>
      </c>
      <c r="C125" s="29">
        <f>RATE($C$77,$C$78,-C$120,$B125*$E$69)</f>
        <v>0.3316165872493339</v>
      </c>
      <c r="D125" s="29">
        <f>RATE($C$77,$C$78,-D$120,$B125*$E$69)</f>
        <v>0.2984609756358794</v>
      </c>
      <c r="E125" s="29">
        <f>RATE($C$77,$C$78,-E$120,$B125*$E$69)</f>
        <v>0.26290552248581006</v>
      </c>
      <c r="F125" s="29">
        <f>RATE($C$77,$C$78,-F$120,$B125*$E$69)</f>
        <v>0.22506442820974157</v>
      </c>
      <c r="G125" s="29">
        <f>RATE($C$77,$C$78,-G$120,$B125*$E$69)</f>
        <v>0.19032738568340937</v>
      </c>
    </row>
    <row r="126">
      <c r="B126" s="54">
        <f>B74</f>
        <v>24</v>
      </c>
      <c r="C126" s="29">
        <f>RATE($C$77,$C$78,-C$120,$B126*$E$69)</f>
        <v>0.3733279774081854</v>
      </c>
      <c r="D126" s="29">
        <f>RATE($C$77,$C$78,-D$120,$B126*$E$69)</f>
        <v>0.3391763868278446</v>
      </c>
      <c r="E126" s="29">
        <f>RATE($C$77,$C$78,-E$120,$B126*$E$69)</f>
        <v>0.3025501162629081</v>
      </c>
      <c r="F126" s="29">
        <f>RATE($C$77,$C$78,-F$120,$B126*$E$69)</f>
        <v>0.26356626980551406</v>
      </c>
      <c r="G126" s="29">
        <f>RATE($C$77,$C$78,-G$120,$B126*$E$69)</f>
        <v>0.22777742527965822</v>
      </c>
    </row>
    <row r="128">
      <c r="B128" t="s" s="76">
        <v>338</v>
      </c>
      <c r="C128" s="76"/>
      <c r="D128" s="76"/>
      <c r="E128" s="76"/>
      <c r="F128" s="76"/>
      <c r="G128" s="76"/>
    </row>
    <row r="129">
      <c r="B129" t="s" s="5">
        <v>339</v>
      </c>
      <c r="C129" s="91">
        <f>C120</f>
        <v>30</v>
      </c>
      <c r="D129" s="91">
        <f>D120</f>
        <v>32</v>
      </c>
      <c r="E129" s="91">
        <f>E120</f>
        <v>34.36</v>
      </c>
      <c r="F129" s="91">
        <f>F120</f>
        <v>37.15</v>
      </c>
      <c r="G129" s="91">
        <f>G120</f>
        <v>40</v>
      </c>
    </row>
    <row r="130">
      <c r="B130" s="54">
        <f>B70</f>
        <v>16</v>
      </c>
      <c r="C130" s="92">
        <f>($B130*$E$69+$E$51)/C$129</f>
        <v>1.5628678590452136</v>
      </c>
      <c r="D130" s="92">
        <f>($B130*$E$69+$E$51)/D$129</f>
        <v>1.4651886178548879</v>
      </c>
      <c r="E130" s="92">
        <f>($B130*$E$69+$E$51)/E$129</f>
        <v>1.3645528454993134</v>
      </c>
      <c r="F130" s="92">
        <f>($B130*$E$69+$E$51)/F$129</f>
        <v>1.2620736412208995</v>
      </c>
      <c r="G130" s="92">
        <f>($B130*$E$69+$E$51)/G$129</f>
        <v>1.1721508942839103</v>
      </c>
    </row>
    <row r="131">
      <c r="B131" s="54">
        <f>B71</f>
        <v>18</v>
      </c>
      <c r="C131" s="92">
        <f>($B131*$E$69+$E$51)/C$129</f>
        <v>1.7385909247591986</v>
      </c>
      <c r="D131" s="92">
        <f>($B131*$E$69+$E$51)/D$129</f>
        <v>1.6299289919617488</v>
      </c>
      <c r="E131" s="92">
        <f>($B131*$E$69+$E$51)/E$129</f>
        <v>1.5179781065999989</v>
      </c>
      <c r="F131" s="92">
        <f>($B131*$E$69+$E$51)/F$129</f>
        <v>1.4039765206669168</v>
      </c>
      <c r="G131" s="92">
        <f>($B131*$E$69+$E$51)/G$129</f>
        <v>1.303943193569399</v>
      </c>
    </row>
    <row r="132">
      <c r="B132" s="54">
        <f>B72</f>
        <v>20</v>
      </c>
      <c r="C132" s="92">
        <f>($B132*$E$69+$E$51)/C$129</f>
        <v>1.9143139904731836</v>
      </c>
      <c r="D132" s="92">
        <f>($B132*$E$69+$E$51)/D$129</f>
        <v>1.7946693660686097</v>
      </c>
      <c r="E132" s="93">
        <f>($B132*$E$69+$E$51)/E$129</f>
        <v>1.6714033677006843</v>
      </c>
      <c r="F132" s="92">
        <f>($B132*$E$69+$E$51)/F$129</f>
        <v>1.5458794001129343</v>
      </c>
      <c r="G132" s="92">
        <f>($B132*$E$69+$E$51)/G$129</f>
        <v>1.4357354928548878</v>
      </c>
    </row>
    <row r="133">
      <c r="B133" s="54">
        <f>B73</f>
        <v>22</v>
      </c>
      <c r="C133" s="92">
        <f>($B133*$E$69+$E$51)/C$129</f>
        <v>2.090037056187169</v>
      </c>
      <c r="D133" s="92">
        <f>($B133*$E$69+$E$51)/D$129</f>
        <v>1.9594097401754709</v>
      </c>
      <c r="E133" s="92">
        <f>($B133*$E$69+$E$51)/E$129</f>
        <v>1.82482862880137</v>
      </c>
      <c r="F133" s="92">
        <f>($B133*$E$69+$E$51)/F$129</f>
        <v>1.687782279558952</v>
      </c>
      <c r="G133" s="92">
        <f>($B133*$E$69+$E$51)/G$129</f>
        <v>1.5675277921403767</v>
      </c>
    </row>
    <row r="134">
      <c r="B134" s="54">
        <f>B74</f>
        <v>24</v>
      </c>
      <c r="C134" s="92">
        <f>($B134*$E$69+$E$51)/C$129</f>
        <v>2.265760121901154</v>
      </c>
      <c r="D134" s="92">
        <f>($B134*$E$69+$E$51)/D$129</f>
        <v>2.124150114282332</v>
      </c>
      <c r="E134" s="92">
        <f>($B134*$E$69+$E$51)/E$129</f>
        <v>1.9782538899020552</v>
      </c>
      <c r="F134" s="92">
        <f>($B134*$E$69+$E$51)/F$129</f>
        <v>1.8296851590049696</v>
      </c>
      <c r="G134" s="92">
        <f>($B134*$E$69+$E$51)/G$129</f>
        <v>1.6993200914258655</v>
      </c>
    </row>
    <row r="136">
      <c r="B136" t="s" s="76">
        <v>340</v>
      </c>
      <c r="C136" s="76"/>
      <c r="D136" s="76"/>
      <c r="E136" s="76"/>
      <c r="F136" s="76"/>
      <c r="G136" s="76"/>
    </row>
    <row r="137">
      <c r="B137" t="s" s="5">
        <v>292</v>
      </c>
      <c r="C137" s="91">
        <f>C69</f>
        <v>2.3722613871387983</v>
      </c>
      <c r="D137" s="91">
        <f>D69</f>
        <v>2.504053686424287</v>
      </c>
      <c r="E137" s="91">
        <f>E69</f>
        <v>2.635845985709776</v>
      </c>
      <c r="F137" s="91">
        <f>F69</f>
        <v>2.7676382849952645</v>
      </c>
      <c r="G137" s="91">
        <f>G69</f>
        <v>2.8994305842807537</v>
      </c>
    </row>
    <row r="138">
      <c r="B138" s="54">
        <f>B70</f>
        <v>16</v>
      </c>
      <c r="C138" s="92">
        <f>($B138*C$137+$E$51)/$C$13</f>
        <v>1.2418126366187652</v>
      </c>
      <c r="D138" s="92">
        <f>($B138*D$137+$E$51)/$C$13</f>
        <v>1.3031827410590393</v>
      </c>
      <c r="E138" s="92">
        <f>($B138*E$137+$E$51)/$C$13</f>
        <v>1.3645528454993134</v>
      </c>
      <c r="F138" s="92">
        <f>($B138*F$137+$E$51)/$C$13</f>
        <v>1.4259229499395876</v>
      </c>
      <c r="G138" s="92">
        <f>($B138*G$137+$E$51)/$C$13</f>
        <v>1.487293054379862</v>
      </c>
    </row>
    <row r="139">
      <c r="B139" s="54">
        <f>B71</f>
        <v>18</v>
      </c>
      <c r="C139" s="92">
        <f>($B139*C$137+$E$51)/$C$13</f>
        <v>1.3798953716093822</v>
      </c>
      <c r="D139" s="92">
        <f>($B139*D$137+$E$51)/$C$13</f>
        <v>1.4489367391046903</v>
      </c>
      <c r="E139" s="92">
        <f>($B139*E$137+$E$51)/$C$13</f>
        <v>1.5179781065999989</v>
      </c>
      <c r="F139" s="92">
        <f>($B139*F$137+$E$51)/$C$13</f>
        <v>1.5870194740953074</v>
      </c>
      <c r="G139" s="92">
        <f>($B139*G$137+$E$51)/$C$13</f>
        <v>1.656060841590616</v>
      </c>
    </row>
    <row r="140">
      <c r="B140" s="54">
        <f>B72</f>
        <v>20</v>
      </c>
      <c r="C140" s="92">
        <f>($B140*C$137+$E$51)/$C$13</f>
        <v>1.517978106599999</v>
      </c>
      <c r="D140" s="92">
        <f>($B140*D$137+$E$51)/$C$13</f>
        <v>1.5946907371503416</v>
      </c>
      <c r="E140" s="93">
        <f>($B140*E$137+$E$51)/$C$13</f>
        <v>1.6714033677006843</v>
      </c>
      <c r="F140" s="92">
        <f>($B140*F$137+$E$51)/$C$13</f>
        <v>1.748115998251027</v>
      </c>
      <c r="G140" s="92">
        <f>($B140*G$137+$E$51)/$C$13</f>
        <v>1.82482862880137</v>
      </c>
    </row>
    <row r="141">
      <c r="B141" s="54">
        <f>B73</f>
        <v>22</v>
      </c>
      <c r="C141" s="92">
        <f>($B141*C$137+$E$51)/$C$13</f>
        <v>1.656060841590616</v>
      </c>
      <c r="D141" s="92">
        <f>($B141*D$137+$E$51)/$C$13</f>
        <v>1.7404447351959929</v>
      </c>
      <c r="E141" s="92">
        <f>($B141*E$137+$E$51)/$C$13</f>
        <v>1.82482862880137</v>
      </c>
      <c r="F141" s="92">
        <f>($B141*F$137+$E$51)/$C$13</f>
        <v>1.909212522406747</v>
      </c>
      <c r="G141" s="92">
        <f>($B141*G$137+$E$51)/$C$13</f>
        <v>1.9935964160121242</v>
      </c>
    </row>
    <row r="142">
      <c r="B142" s="54">
        <f>B74</f>
        <v>24</v>
      </c>
      <c r="C142" s="92">
        <f>($B142*C$137+$E$51)/$C$13</f>
        <v>1.7941435765812328</v>
      </c>
      <c r="D142" s="92">
        <f>($B142*D$137+$E$51)/$C$13</f>
        <v>1.8861987332416443</v>
      </c>
      <c r="E142" s="94">
        <f>($B142*E$137+$E$51)/$C$13</f>
        <v>1.9782538899020552</v>
      </c>
      <c r="F142" s="92">
        <f>($B142*F$137+$E$51)/$C$13</f>
        <v>2.0703090465624667</v>
      </c>
      <c r="G142" s="92">
        <f>($B142*G$137+$E$51)/$C$13</f>
        <v>2.1623642032228783</v>
      </c>
    </row>
    <row r="144">
      <c r="B144" t="s" s="76">
        <v>341</v>
      </c>
      <c r="C144" s="76"/>
      <c r="D144" s="76"/>
      <c r="E144" s="76"/>
      <c r="F144" s="76"/>
      <c r="G144" s="76"/>
    </row>
    <row r="145">
      <c r="B145" t="s">
        <v>342</v>
      </c>
      <c r="C145" s="134">
        <f>INDEX(D48:F48,MATCH(Cases!$D$5,D55:F55,0))</f>
        <v>20</v>
      </c>
    </row>
    <row r="146">
      <c r="B146" t="s" s="5">
        <v>343</v>
      </c>
      <c r="C146" s="91">
        <f>C69</f>
        <v>2.3722613871387983</v>
      </c>
      <c r="D146" s="91">
        <f>D69</f>
        <v>2.504053686424287</v>
      </c>
      <c r="E146" s="91">
        <f>E69</f>
        <v>2.635845985709776</v>
      </c>
      <c r="F146" s="91">
        <f>F69</f>
        <v>2.7676382849952645</v>
      </c>
      <c r="G146" s="91">
        <f>G69</f>
        <v>2.8994305842807537</v>
      </c>
    </row>
    <row r="147">
      <c r="B147" s="46">
        <f>C120</f>
        <v>30</v>
      </c>
      <c r="C147" s="29">
        <f>RATE($C$77,$C$78,-$B147,$C$145*C$146)</f>
        <v>0.24080581067654794</v>
      </c>
      <c r="D147" s="29">
        <f>RATE($C$77,$C$78,-$B147,$C$145*D$146)</f>
        <v>0.2645533739411011</v>
      </c>
      <c r="E147" s="29">
        <f>RATE($C$77,$C$78,-$B147,$C$145*E$146)</f>
        <v>0.287567946862754</v>
      </c>
      <c r="F147" s="29">
        <f>RATE($C$77,$C$78,-$B147,$C$145*F$146)</f>
        <v>0.30990581506076265</v>
      </c>
      <c r="G147" s="29">
        <f>RATE($C$77,$C$78,-$B147,$C$145*G$146)</f>
        <v>0.33161658724933396</v>
      </c>
    </row>
    <row r="148">
      <c r="B148" s="46">
        <f>D120</f>
        <v>32</v>
      </c>
      <c r="C148" s="29">
        <f>RATE($C$77,$C$78,-$B148,$C$145*C$146)</f>
        <v>0.2098167895656028</v>
      </c>
      <c r="D148" s="29">
        <f>RATE($C$77,$C$78,-$B148,$C$145*D$146)</f>
        <v>0.23299803236622493</v>
      </c>
      <c r="E148" s="29">
        <f>RATE($C$77,$C$78,-$B148,$C$145*E$146)</f>
        <v>0.25546358577060535</v>
      </c>
      <c r="F148" s="29">
        <f>RATE($C$77,$C$78,-$B148,$C$145*F$146)</f>
        <v>0.27726841803741753</v>
      </c>
      <c r="G148" s="29">
        <f>RATE($C$77,$C$78,-$B148,$C$145*G$146)</f>
        <v>0.29846097563587953</v>
      </c>
    </row>
    <row r="149">
      <c r="B149" s="46">
        <f>E120</f>
        <v>34.36</v>
      </c>
      <c r="C149" s="29">
        <f>RATE($C$77,$C$78,-$B149,$C$145*C$146)</f>
        <v>0.17659083610882145</v>
      </c>
      <c r="D149" s="29">
        <f>RATE($C$77,$C$78,-$B149,$C$145*D$146)</f>
        <v>0.1991631600226032</v>
      </c>
      <c r="E149" s="81">
        <f>RATE($C$77,$C$78,-$B149,$C$145*E$146)</f>
        <v>0.221038408022192</v>
      </c>
      <c r="F149" s="29">
        <f>RATE($C$77,$C$78,-$B149,$C$145*F$146)</f>
        <v>0.2422701303457102</v>
      </c>
      <c r="G149" s="29">
        <f>RATE($C$77,$C$78,-$B149,$C$145*G$146)</f>
        <v>0.26290552248581023</v>
      </c>
    </row>
    <row r="150">
      <c r="B150" s="46">
        <f>F120</f>
        <v>37.15</v>
      </c>
      <c r="C150" s="29">
        <f>RATE($C$77,$C$78,-$B150,$C$145*C$146)</f>
        <v>0.14123585550771836</v>
      </c>
      <c r="D150" s="29">
        <f>RATE($C$77,$C$78,-$B150,$C$145*D$146)</f>
        <v>0.16315830453103186</v>
      </c>
      <c r="E150" s="29">
        <f>RATE($C$77,$C$78,-$B150,$C$145*E$146)</f>
        <v>0.18440355563333538</v>
      </c>
      <c r="F150" s="29">
        <f>RATE($C$77,$C$78,-$B150,$C$145*F$146)</f>
        <v>0.2050236438915838</v>
      </c>
      <c r="G150" s="29">
        <f>RATE($C$77,$C$78,-$B150,$C$145*G$146)</f>
        <v>0.22506442820974165</v>
      </c>
    </row>
    <row r="151">
      <c r="B151" s="46">
        <f>G120</f>
        <v>40</v>
      </c>
      <c r="C151" s="29">
        <f>RATE($C$77,$C$78,-$B151,$C$145*C$146)</f>
        <v>0.10878717166546206</v>
      </c>
      <c r="D151" s="29">
        <f>RATE($C$77,$C$78,-$B151,$C$145*D$146)</f>
        <v>0.13011142321234528</v>
      </c>
      <c r="E151" s="96">
        <f>RATE($C$77,$C$78,-$B151,$C$145*E$146)</f>
        <v>0.15077678544347883</v>
      </c>
      <c r="F151" s="29">
        <f>RATE($C$77,$C$78,-$B151,$C$145*F$146)</f>
        <v>0.17083389717442587</v>
      </c>
      <c r="G151" s="29">
        <f>RATE($C$77,$C$78,-$B151,$C$145*G$146)</f>
        <v>0.19032738568340948</v>
      </c>
    </row>
    <row r="153">
      <c r="B153" t="s" s="76">
        <v>344</v>
      </c>
      <c r="C153" s="76"/>
      <c r="D153" s="76"/>
      <c r="E153" s="76"/>
      <c r="F153" s="76"/>
      <c r="G153" s="76"/>
    </row>
    <row r="154">
      <c r="B154" t="s" s="5">
        <v>343</v>
      </c>
      <c r="C154" s="91">
        <f>C69</f>
        <v>2.3722613871387983</v>
      </c>
      <c r="D154" s="91">
        <f>D69</f>
        <v>2.504053686424287</v>
      </c>
      <c r="E154" s="91">
        <f>E69</f>
        <v>2.635845985709776</v>
      </c>
      <c r="F154" s="91">
        <f>F69</f>
        <v>2.7676382849952645</v>
      </c>
      <c r="G154" s="91">
        <f>G69</f>
        <v>2.8994305842807537</v>
      </c>
    </row>
    <row r="155">
      <c r="B155" s="46">
        <f>C120</f>
        <v>30</v>
      </c>
      <c r="C155" s="92">
        <f>($C$145*C$154+$E$51)/$B155</f>
        <v>1.7385909247591989</v>
      </c>
      <c r="D155" s="92">
        <f>($C$145*D$154+$E$51)/$B155</f>
        <v>1.8264524576161913</v>
      </c>
      <c r="E155" s="92">
        <f>($C$145*E$154+$E$51)/$B155</f>
        <v>1.9143139904731836</v>
      </c>
      <c r="F155" s="92">
        <f>($C$145*F$154+$E$51)/$B155</f>
        <v>2.0021755233301763</v>
      </c>
      <c r="G155" s="92">
        <f>($C$145*G$154+$E$51)/$B155</f>
        <v>2.0900370561871693</v>
      </c>
    </row>
    <row r="156">
      <c r="B156" s="46">
        <f>D120</f>
        <v>32</v>
      </c>
      <c r="C156" s="92">
        <f>($C$145*C$154+$E$51)/$B156</f>
        <v>1.629928991961749</v>
      </c>
      <c r="D156" s="92">
        <f>($C$145*D$154+$E$51)/$B156</f>
        <v>1.7122991790151794</v>
      </c>
      <c r="E156" s="92">
        <f>($C$145*E$154+$E$51)/$B156</f>
        <v>1.7946693660686097</v>
      </c>
      <c r="F156" s="92">
        <f>($C$145*F$154+$E$51)/$B156</f>
        <v>1.8770395531220403</v>
      </c>
      <c r="G156" s="92">
        <f>($C$145*G$154+$E$51)/$B156</f>
        <v>1.959409740175471</v>
      </c>
    </row>
    <row r="157">
      <c r="B157" s="46">
        <f>E120</f>
        <v>34.36</v>
      </c>
      <c r="C157" s="92">
        <f>($C$145*C$154+$E$51)/$B157</f>
        <v>1.517978106599999</v>
      </c>
      <c r="D157" s="92">
        <f>($C$145*D$154+$E$51)/$B157</f>
        <v>1.5946907371503416</v>
      </c>
      <c r="E157" s="93">
        <f>($C$145*E$154+$E$51)/$B157</f>
        <v>1.6714033677006843</v>
      </c>
      <c r="F157" s="92">
        <f>($C$145*F$154+$E$51)/$B157</f>
        <v>1.748115998251027</v>
      </c>
      <c r="G157" s="92">
        <f>($C$145*G$154+$E$51)/$B157</f>
        <v>1.82482862880137</v>
      </c>
    </row>
    <row r="158">
      <c r="B158" s="46">
        <f>F120</f>
        <v>37.15</v>
      </c>
      <c r="C158" s="92">
        <f>($C$145*C$154+$E$51)/$B158</f>
        <v>1.403976520666917</v>
      </c>
      <c r="D158" s="92">
        <f>($C$145*D$154+$E$51)/$B158</f>
        <v>1.4749279603899257</v>
      </c>
      <c r="E158" s="92">
        <f>($C$145*E$154+$E$51)/$B158</f>
        <v>1.5458794001129343</v>
      </c>
      <c r="F158" s="92">
        <f>($C$145*F$154+$E$51)/$B158</f>
        <v>1.6168308398359432</v>
      </c>
      <c r="G158" s="92">
        <f>($C$145*G$154+$E$51)/$B158</f>
        <v>1.6877822795589523</v>
      </c>
    </row>
    <row r="159">
      <c r="B159" s="46">
        <f>G120</f>
        <v>40</v>
      </c>
      <c r="C159" s="92">
        <f>($C$145*C$154+$E$51)/$B159</f>
        <v>1.3039431935693993</v>
      </c>
      <c r="D159" s="92">
        <f>($C$145*D$154+$E$51)/$B159</f>
        <v>1.3698393432121434</v>
      </c>
      <c r="E159" s="94">
        <f>($C$145*E$154+$E$51)/$B159</f>
        <v>1.4357354928548878</v>
      </c>
      <c r="F159" s="92">
        <f>($C$145*F$154+$E$51)/$B159</f>
        <v>1.5016316424976321</v>
      </c>
      <c r="G159" s="92">
        <f>($C$145*G$154+$E$51)/$B159</f>
        <v>1.567527792140377</v>
      </c>
    </row>
  </sheetData>
  <conditionalFormatting sqref="C10">
    <cfRule type="expression" dxfId="0" priority="1">
      <formula>$C$10&lt;&gt;TRUE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41"/>
  <sheetViews>
    <sheetView showGridLines="0" workbookViewId="0">
      <selection activeCell="A1" sqref="A1"/>
    </sheetView>
  </sheetViews>
  <cols>
    <col min="1" max="1" width="2.21875" customWidth="1"/>
    <col min="2" max="2" width="28.50390625" customWidth="1"/>
    <col min="3" max="17" width="12.9296875" customWidth="1"/>
    <col min="18" max="18" width="47.50390625" customWidth="1"/>
    <col min="20" max="31" width="11.7890625" customWidth="1"/>
    <col min="33" max="33" width="17.07421875" customWidth="1"/>
  </cols>
  <sheetData>
    <row r="1" ht="8" customHeight="1"/>
    <row r="2">
      <c r="B2" t="s" s="146">
        <v>345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B3" t="s" s="4">
        <v>346</v>
      </c>
    </row>
    <row r="5" ht="27" customHeight="1">
      <c r="B5" t="s" s="97">
        <v>347</v>
      </c>
      <c r="C5" t="s" s="97">
        <v>348</v>
      </c>
      <c r="D5" t="s" s="98">
        <v>349</v>
      </c>
      <c r="E5" t="s" s="98">
        <v>350</v>
      </c>
      <c r="F5" t="s" s="98">
        <v>351</v>
      </c>
      <c r="G5" t="s" s="98">
        <v>193</v>
      </c>
      <c r="H5" t="s" s="98">
        <v>352</v>
      </c>
      <c r="I5" t="s" s="98">
        <v>241</v>
      </c>
      <c r="J5" t="s" s="98">
        <v>353</v>
      </c>
      <c r="K5" t="s" s="98">
        <v>354</v>
      </c>
      <c r="L5" t="s" s="98">
        <v>355</v>
      </c>
      <c r="M5" t="s" s="98">
        <v>356</v>
      </c>
      <c r="N5" t="s" s="98">
        <v>357</v>
      </c>
      <c r="O5" t="s" s="98">
        <v>358</v>
      </c>
      <c r="P5" t="s" s="97">
        <v>8</v>
      </c>
    </row>
    <row r="6">
      <c r="B6" t="s">
        <v>359</v>
      </c>
      <c r="C6" t="s" s="89">
        <v>360</v>
      </c>
      <c r="D6" s="17">
        <v>9702</v>
      </c>
      <c r="E6" s="17">
        <v>0</v>
      </c>
      <c r="F6" s="17">
        <v>0</v>
      </c>
      <c r="G6" s="17">
        <v>0</v>
      </c>
      <c r="H6" s="17">
        <v>1389.7</v>
      </c>
      <c r="I6" s="26">
        <f>D6+E6+F6+G6-H6</f>
        <v>8312.3</v>
      </c>
      <c r="J6" s="17">
        <v>11094</v>
      </c>
      <c r="K6" s="17">
        <v>2518.4</v>
      </c>
      <c r="L6" s="17">
        <v>1418</v>
      </c>
      <c r="M6" s="92">
        <f>I6/J6</f>
        <v>0.7492608617270596</v>
      </c>
      <c r="N6" s="92">
        <f>IF(K6&gt;0,I6/K6,"n.m.")</f>
        <v>3.300627382465057</v>
      </c>
      <c r="O6" s="92">
        <f>IF(L6&gt;0,D6/L6,"n.m.")</f>
        <v>6.842031029619182</v>
      </c>
      <c r="P6" t="s">
        <v>361</v>
      </c>
    </row>
    <row r="7">
      <c r="B7" t="s">
        <v>362</v>
      </c>
      <c r="C7" t="s" s="89">
        <v>363</v>
      </c>
      <c r="D7" s="18">
        <v>10965</v>
      </c>
      <c r="E7" s="18">
        <v>0</v>
      </c>
      <c r="F7" s="18">
        <v>0</v>
      </c>
      <c r="G7" s="18">
        <v>0</v>
      </c>
      <c r="H7" s="18">
        <v>1602.6</v>
      </c>
      <c r="I7" s="34">
        <f>D7+E7+F7+G7-H7</f>
        <v>9362.4</v>
      </c>
      <c r="J7" s="18">
        <v>5527.3</v>
      </c>
      <c r="K7" s="18">
        <v>1329.2</v>
      </c>
      <c r="L7" s="18">
        <v>1014.8</v>
      </c>
      <c r="M7" s="92">
        <f>I7/J7</f>
        <v>1.6938469053606642</v>
      </c>
      <c r="N7" s="92">
        <f>IF(K7&gt;0,I7/K7,"n.m.")</f>
        <v>7.0436352693349376</v>
      </c>
      <c r="O7" s="92">
        <f>IF(L7&gt;0,D7/L7,"n.m.")</f>
        <v>10.805084745762713</v>
      </c>
      <c r="P7" t="s">
        <v>364</v>
      </c>
    </row>
    <row r="8">
      <c r="B8" t="s">
        <v>365</v>
      </c>
      <c r="C8" t="s" s="89">
        <v>366</v>
      </c>
      <c r="D8" s="18">
        <v>15129.5</v>
      </c>
      <c r="E8" s="18">
        <v>147.4</v>
      </c>
      <c r="F8" s="18">
        <v>0</v>
      </c>
      <c r="G8" s="18">
        <v>0</v>
      </c>
      <c r="H8" s="18">
        <v>720.4</v>
      </c>
      <c r="I8" s="34">
        <f>D8+E8+F8+G8-H8</f>
        <v>14556.5</v>
      </c>
      <c r="J8" s="18">
        <v>7435.5</v>
      </c>
      <c r="K8" s="18">
        <v>1396.9</v>
      </c>
      <c r="L8" s="18">
        <v>567.8</v>
      </c>
      <c r="M8" s="92">
        <f>I8/J8</f>
        <v>1.95770291170735</v>
      </c>
      <c r="N8" s="92">
        <f>IF(K8&gt;0,I8/K8,"n.m.")</f>
        <v>10.420574128427232</v>
      </c>
      <c r="O8" s="92">
        <f>IF(L8&gt;0,D8/L8,"n.m.")</f>
        <v>26.645825995068687</v>
      </c>
      <c r="P8" t="s">
        <v>364</v>
      </c>
    </row>
    <row r="9">
      <c r="B9" t="s">
        <v>367</v>
      </c>
      <c r="C9" t="s" s="89">
        <v>368</v>
      </c>
      <c r="D9" s="18">
        <v>5523.3</v>
      </c>
      <c r="E9" s="18">
        <v>0</v>
      </c>
      <c r="F9" s="18">
        <v>0</v>
      </c>
      <c r="G9" s="18">
        <v>1307.7</v>
      </c>
      <c r="H9" s="18">
        <v>170.3</v>
      </c>
      <c r="I9" s="34">
        <f>D9+E9+F9+G9-H9</f>
        <v>6660.7</v>
      </c>
      <c r="J9" s="18">
        <v>4054.9</v>
      </c>
      <c r="K9" s="18">
        <v>922.1</v>
      </c>
      <c r="L9" s="18">
        <v>593.4</v>
      </c>
      <c r="M9" s="92">
        <f>I9/J9</f>
        <v>1.642629904559915</v>
      </c>
      <c r="N9" s="92">
        <f>IF(K9&gt;0,I9/K9,"n.m.")</f>
        <v>7.223403101615877</v>
      </c>
      <c r="O9" s="92">
        <f>IF(L9&gt;0,D9/L9,"n.m.")</f>
        <v>9.30788675429727</v>
      </c>
      <c r="P9" t="s">
        <v>364</v>
      </c>
    </row>
    <row r="10">
      <c r="B10" t="s">
        <v>369</v>
      </c>
      <c r="C10" t="s" s="89">
        <v>370</v>
      </c>
      <c r="D10" s="18">
        <v>5653.3</v>
      </c>
      <c r="E10" s="18">
        <v>9.7</v>
      </c>
      <c r="F10" s="18">
        <v>499.4</v>
      </c>
      <c r="G10" s="18">
        <v>3003.4</v>
      </c>
      <c r="H10" s="18">
        <v>670.1</v>
      </c>
      <c r="I10" s="34">
        <f>D10+E10+F10+G10-H10</f>
        <v>8495.699999999999</v>
      </c>
      <c r="J10" s="18">
        <v>9513.9</v>
      </c>
      <c r="K10" s="18">
        <v>1281.5</v>
      </c>
      <c r="L10" s="18">
        <v>274.2</v>
      </c>
      <c r="M10" s="92">
        <f>I10/J10</f>
        <v>0.8929776432377888</v>
      </c>
      <c r="N10" s="92">
        <f>IF(K10&gt;0,I10/K10,"n.m.")</f>
        <v>6.629496683573936</v>
      </c>
      <c r="O10" s="92">
        <f>IF(L10&gt;0,D10/L10,"n.m.")</f>
        <v>20.617432530999274</v>
      </c>
      <c r="P10" t="s">
        <v>371</v>
      </c>
    </row>
    <row r="11">
      <c r="B11" t="s">
        <v>372</v>
      </c>
      <c r="C11" t="s" s="89">
        <v>373</v>
      </c>
      <c r="D11" s="18">
        <v>2018.9</v>
      </c>
      <c r="E11" s="18">
        <v>0</v>
      </c>
      <c r="F11" s="18">
        <v>0</v>
      </c>
      <c r="G11" s="18">
        <v>591.2</v>
      </c>
      <c r="H11" s="18">
        <v>396</v>
      </c>
      <c r="I11" s="34">
        <f>D11+E11+F11+G11-H11</f>
        <v>2214.1000000000004</v>
      </c>
      <c r="J11" s="18">
        <v>4930.2</v>
      </c>
      <c r="K11" s="18">
        <v>-13.6</v>
      </c>
      <c r="L11" s="18">
        <v>-491.9</v>
      </c>
      <c r="M11" s="92">
        <f>I11/J11</f>
        <v>0.4490892864386841</v>
      </c>
      <c r="N11" t="str" s="92">
        <f>IF(K11&gt;0,I11/K11,"n.m.")</f>
        <v>n.m.</v>
      </c>
      <c r="O11" t="str" s="92">
        <f>IF(L11&gt;0,D11/L11,"n.m.")</f>
        <v>n.m.</v>
      </c>
      <c r="P11" t="s">
        <v>364</v>
      </c>
    </row>
    <row r="12">
      <c r="B12" t="s" s="36">
        <v>374</v>
      </c>
      <c r="C12" t="s" s="99">
        <v>99</v>
      </c>
      <c r="D12" t="s" s="51">
        <v>99</v>
      </c>
      <c r="E12" t="s" s="51">
        <v>99</v>
      </c>
      <c r="F12" t="s" s="51">
        <v>99</v>
      </c>
      <c r="G12" t="s" s="51">
        <v>99</v>
      </c>
      <c r="H12" t="s" s="51">
        <v>99</v>
      </c>
      <c r="I12" t="s" s="51">
        <v>99</v>
      </c>
      <c r="J12" t="s" s="51">
        <v>99</v>
      </c>
      <c r="K12" t="s" s="51">
        <v>99</v>
      </c>
      <c r="L12" t="s" s="51">
        <v>99</v>
      </c>
      <c r="M12" s="100">
        <f>MEDIAN(M6:M11)</f>
        <v>1.267803773898852</v>
      </c>
      <c r="N12" s="100">
        <f>MEDIAN(N6:N11)</f>
        <v>7.0436352693349376</v>
      </c>
      <c r="O12" s="100">
        <f>MEDIAN(O6:O11)</f>
        <v>10.805084745762713</v>
      </c>
      <c r="P12" t="s">
        <v>375</v>
      </c>
    </row>
    <row r="13">
      <c r="B13" t="s" s="5">
        <v>376</v>
      </c>
      <c r="C13" t="s" s="101">
        <v>99</v>
      </c>
      <c r="D13" t="s" s="102">
        <v>99</v>
      </c>
      <c r="E13" t="s" s="102">
        <v>99</v>
      </c>
      <c r="F13" t="s" s="102">
        <v>99</v>
      </c>
      <c r="G13" t="s" s="102">
        <v>99</v>
      </c>
      <c r="H13" t="s" s="102">
        <v>99</v>
      </c>
      <c r="I13" t="s" s="102">
        <v>99</v>
      </c>
      <c r="J13" t="s" s="102">
        <v>99</v>
      </c>
      <c r="K13" t="s" s="102">
        <v>99</v>
      </c>
      <c r="L13" t="s" s="102">
        <v>99</v>
      </c>
      <c r="M13" s="54">
        <f>AVERAGE(M6:M11)</f>
        <v>1.2309179188385768</v>
      </c>
      <c r="N13" s="54">
        <f>AVERAGE(N6:N11)</f>
        <v>6.923547313083408</v>
      </c>
      <c r="O13" s="54">
        <f>AVERAGE(O6:O11)</f>
        <v>14.843652211149424</v>
      </c>
      <c r="P13" t="s">
        <v>375</v>
      </c>
    </row>
    <row r="14">
      <c r="B14" t="s" s="149">
        <v>377</v>
      </c>
      <c r="C14" t="s" s="170">
        <v>378</v>
      </c>
      <c r="D14" s="152">
        <f>Valuation!C17</f>
        <v>51069.57136444</v>
      </c>
      <c r="E14" s="152">
        <f>Model!Q109</f>
        <v>0</v>
      </c>
      <c r="F14" s="152">
        <f>Model!Q108</f>
        <v>2000</v>
      </c>
      <c r="G14" s="152">
        <f>Model!Q114</f>
        <v>5893</v>
      </c>
      <c r="H14" s="152">
        <f>Model!Q129</f>
        <v>8368</v>
      </c>
      <c r="I14" s="150">
        <f>D14+E14+F14+G14-H14</f>
        <v>50594.57136444</v>
      </c>
      <c r="J14" s="152">
        <f>Model!F22</f>
        <v>45891</v>
      </c>
      <c r="K14" s="152">
        <f>Model!F67</f>
        <v>4988</v>
      </c>
      <c r="L14" s="152">
        <f>Model!F58</f>
        <v>3093</v>
      </c>
      <c r="M14" s="156">
        <f>I14/J14</f>
        <v>1.102494418610185</v>
      </c>
      <c r="N14" s="156">
        <f>IF(K14&gt;0,I14/K14,"n.m.")</f>
        <v>10.143258092309543</v>
      </c>
      <c r="O14" s="156">
        <f>IF(L14&gt;0,D14/L14,"n.m.")</f>
        <v>16.511338947442614</v>
      </c>
      <c r="P14" t="s">
        <v>379</v>
      </c>
    </row>
    <row r="17">
      <c r="B17" t="s" s="5">
        <v>380</v>
      </c>
    </row>
    <row r="19">
      <c r="B19" t="s" s="204">
        <v>347</v>
      </c>
      <c r="C19" t="s" s="204">
        <v>348</v>
      </c>
      <c r="D19" t="s" s="205">
        <v>349</v>
      </c>
      <c r="E19" t="s" s="205">
        <v>381</v>
      </c>
      <c r="F19" t="s" s="205">
        <v>382</v>
      </c>
      <c r="G19" t="s" s="205">
        <v>241</v>
      </c>
      <c r="H19" t="s" s="205">
        <v>353</v>
      </c>
      <c r="I19" t="s" s="205">
        <v>10</v>
      </c>
      <c r="J19" t="s" s="205">
        <v>38</v>
      </c>
      <c r="K19" t="s" s="205">
        <v>354</v>
      </c>
      <c r="L19" t="s" s="205">
        <v>383</v>
      </c>
      <c r="M19" t="s" s="205">
        <v>355</v>
      </c>
      <c r="N19" t="s" s="205">
        <v>356</v>
      </c>
      <c r="O19" t="s" s="205">
        <v>357</v>
      </c>
      <c r="P19" t="s" s="205">
        <v>358</v>
      </c>
      <c r="Q19" t="s" s="205">
        <v>384</v>
      </c>
      <c r="R19" t="s" s="204">
        <v>8</v>
      </c>
      <c r="T19" t="s" s="97">
        <v>385</v>
      </c>
      <c r="U19" t="s" s="97">
        <v>386</v>
      </c>
      <c r="V19" t="s" s="98">
        <v>387</v>
      </c>
      <c r="W19" t="s" s="98">
        <v>388</v>
      </c>
      <c r="X19" t="s" s="98">
        <v>389</v>
      </c>
      <c r="Y19" t="s" s="98">
        <v>390</v>
      </c>
      <c r="Z19" t="s" s="98">
        <v>350</v>
      </c>
      <c r="AA19" t="s" s="98">
        <v>193</v>
      </c>
      <c r="AB19" t="s" s="98">
        <v>382</v>
      </c>
      <c r="AC19" t="s" s="98">
        <v>353</v>
      </c>
      <c r="AD19" t="s" s="98">
        <v>354</v>
      </c>
      <c r="AE19" t="s" s="98">
        <v>355</v>
      </c>
      <c r="AG19" t="s" s="97">
        <v>391</v>
      </c>
      <c r="AH19" t="s" s="97">
        <v>392</v>
      </c>
    </row>
    <row r="20">
      <c r="B20" t="s" s="211">
        <v>393</v>
      </c>
      <c r="C20" s="211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171"/>
      <c r="AG20" t="s">
        <v>394</v>
      </c>
      <c r="AH20" s="107">
        <v>1.1187</v>
      </c>
    </row>
    <row r="21">
      <c r="B21" t="s" s="89">
        <v>395</v>
      </c>
      <c r="C21" t="s" s="89">
        <v>396</v>
      </c>
      <c r="D21" s="147">
        <f>V21*W21*X21</f>
        <v>29331.294584625</v>
      </c>
      <c r="E21" s="148">
        <f>(Z21+AA21)*Y21</f>
        <v>3410.9163</v>
      </c>
      <c r="F21" s="148">
        <f>AB21*Y21</f>
        <v>1296.5733</v>
      </c>
      <c r="G21" s="148">
        <f>D21+E21-F21</f>
        <v>31445.637584625</v>
      </c>
      <c r="H21" s="148">
        <f>AC21*Y21</f>
        <v>29132.0667</v>
      </c>
      <c r="I21" s="193">
        <v>0.0625510037538763</v>
      </c>
      <c r="J21" s="193">
        <v>0.51576360354825</v>
      </c>
      <c r="K21" s="148">
        <f>IF(ISNUMBER(AD21),AD21*Y21,"n.d.")</f>
        <v>3727.5084</v>
      </c>
      <c r="L21" s="166">
        <f>IF(ISNUMBER(K21),K21/H21,"n.m.")</f>
        <v>0.12795207557313468</v>
      </c>
      <c r="M21" s="148">
        <f>AE21*Y21</f>
        <v>1619.8776</v>
      </c>
      <c r="N21" s="196">
        <f>G21/H21</f>
        <v>1.0794166410660113</v>
      </c>
      <c r="O21" s="196">
        <f>IF(AND(ISNUMBER(K21),K21&gt;0),G21/K21,"n.m.")</f>
        <v>8.43610106542617</v>
      </c>
      <c r="P21" s="196">
        <f>IF(M21&gt;0,D21/M21,"n.m.")</f>
        <v>18.10710549033149</v>
      </c>
      <c r="Q21" s="196">
        <f>IF(AND(ISNUMBER(K21),K21&gt;0),(E21-F21)/K21,"n.m.")</f>
        <v>0.5672268907563025</v>
      </c>
      <c r="R21" t="s">
        <v>397</v>
      </c>
      <c r="T21" t="s">
        <v>395</v>
      </c>
      <c r="U21" t="s" s="109">
        <v>398</v>
      </c>
      <c r="V21" s="110">
        <v>146.75</v>
      </c>
      <c r="W21" s="111">
        <f>AH20</f>
        <v>1.1187</v>
      </c>
      <c r="X21" s="110">
        <v>178.665</v>
      </c>
      <c r="Y21" s="111">
        <f>AH20</f>
        <v>1.1187</v>
      </c>
      <c r="Z21" s="112">
        <v>560</v>
      </c>
      <c r="AA21" s="112">
        <v>2489</v>
      </c>
      <c r="AB21" s="112">
        <v>1159</v>
      </c>
      <c r="AC21" s="112">
        <v>26041</v>
      </c>
      <c r="AD21" s="112">
        <v>3332</v>
      </c>
      <c r="AE21" s="112">
        <v>1448</v>
      </c>
      <c r="AG21" t="s">
        <v>399</v>
      </c>
      <c r="AH21" s="107">
        <v>0.8338</v>
      </c>
    </row>
    <row r="22">
      <c r="B22" t="s" s="89">
        <v>400</v>
      </c>
      <c r="C22" t="s" s="89">
        <v>401</v>
      </c>
      <c r="D22" s="147">
        <f>V22*W22*X22</f>
        <v>3787.7022909</v>
      </c>
      <c r="E22" s="148">
        <f>(Z22+AA22)*Y22</f>
        <v>1651.6486800000002</v>
      </c>
      <c r="F22" s="148">
        <f>AB22*Y22</f>
        <v>416.71575</v>
      </c>
      <c r="G22" s="148">
        <f>D22+E22-F22</f>
        <v>5022.635220900001</v>
      </c>
      <c r="H22" s="148">
        <f>AC22*Y22</f>
        <v>7643.405879999999</v>
      </c>
      <c r="I22" s="193">
        <v>-0.178778336017692</v>
      </c>
      <c r="J22" s="193">
        <v>0.455345120309115</v>
      </c>
      <c r="K22" t="str" s="148">
        <f>IF(ISNUMBER(AD22),AD22*Y22,"n.d.")</f>
        <v>n.d.</v>
      </c>
      <c r="L22" t="str" s="166">
        <f>IF(ISNUMBER(K22),K22/H22,"n.m.")</f>
        <v>n.m.</v>
      </c>
      <c r="M22" s="148">
        <f>AE22*Y22</f>
        <v>-519.74802</v>
      </c>
      <c r="N22" s="196">
        <f>G22/H22</f>
        <v>0.6571200456647739</v>
      </c>
      <c r="O22" t="str" s="196">
        <f>IF(AND(ISNUMBER(K22),K22&gt;0),G22/K22,"n.m.")</f>
        <v>n.m.</v>
      </c>
      <c r="P22" t="str" s="196">
        <f>IF(M22&gt;0,D22/M22,"n.m.")</f>
        <v>n.m.</v>
      </c>
      <c r="Q22" t="str" s="196">
        <f>IF(AND(ISNUMBER(K22),K22&gt;0),(E22-F22)/K22,"n.m.")</f>
        <v>n.m.</v>
      </c>
      <c r="R22" t="s">
        <v>397</v>
      </c>
      <c r="T22" t="s">
        <v>400</v>
      </c>
      <c r="U22" t="s" s="109">
        <v>398</v>
      </c>
      <c r="V22" s="110">
        <v>23</v>
      </c>
      <c r="W22" s="111">
        <f>AH20</f>
        <v>1.1187</v>
      </c>
      <c r="X22" s="110">
        <v>147.209</v>
      </c>
      <c r="Y22" s="111">
        <f>AH20</f>
        <v>1.1187</v>
      </c>
      <c r="Z22" s="112">
        <v>932.3</v>
      </c>
      <c r="AA22" s="112">
        <v>544.1</v>
      </c>
      <c r="AB22" s="112">
        <v>372.5</v>
      </c>
      <c r="AC22" s="112">
        <v>6832.4</v>
      </c>
      <c r="AD22" t="s" s="112">
        <v>98</v>
      </c>
      <c r="AE22" s="112">
        <v>-464.6</v>
      </c>
      <c r="AG22" t="s">
        <v>402</v>
      </c>
      <c r="AH22" s="111">
        <f>1/AH21</f>
        <v>1.1993283761093787</v>
      </c>
    </row>
    <row r="23">
      <c r="B23" t="str" s="89">
        <f>B11</f>
        <v>Under Armour</v>
      </c>
      <c r="C23" t="str" s="89">
        <f>C11</f>
        <v>UAA</v>
      </c>
      <c r="D23" s="147">
        <f>D11</f>
        <v>2018.9</v>
      </c>
      <c r="E23" s="148">
        <f>SUM(E11:G11)</f>
        <v>591.2</v>
      </c>
      <c r="F23" s="148">
        <f>H11</f>
        <v>396</v>
      </c>
      <c r="G23" s="148">
        <f>D23+E23-F23</f>
        <v>2214.1000000000004</v>
      </c>
      <c r="H23" s="148">
        <f>J11</f>
        <v>4930.2</v>
      </c>
      <c r="I23" s="193">
        <v>-0.0360692770053764</v>
      </c>
      <c r="J23" s="193">
        <v>0.467766101736856</v>
      </c>
      <c r="K23" s="148">
        <f>K11</f>
        <v>-13.6</v>
      </c>
      <c r="L23" s="166">
        <f>IF(ISNUMBER(K23),K23/H23,"n.m.")</f>
        <v>-0.002758508782605168</v>
      </c>
      <c r="M23" s="148">
        <f>L11</f>
        <v>-491.9</v>
      </c>
      <c r="N23" s="196">
        <f>G23/H23</f>
        <v>0.4490892864386841</v>
      </c>
      <c r="O23" t="str" s="196">
        <f>IF(AND(ISNUMBER(K23),K23&gt;0),G23/K23,"n.m.")</f>
        <v>n.m.</v>
      </c>
      <c r="P23" t="str" s="196">
        <f>IF(M23&gt;0,D23/M23,"n.m.")</f>
        <v>n.m.</v>
      </c>
      <c r="Q23" t="str" s="196">
        <f>IF(AND(ISNUMBER(K23),K23&gt;0),(E23-F23)/K23,"n.m.")</f>
        <v>n.m.</v>
      </c>
      <c r="R23" t="s">
        <v>403</v>
      </c>
    </row>
    <row r="24">
      <c r="B24" t="s" s="212">
        <v>404</v>
      </c>
      <c r="C24" s="212"/>
      <c r="D24" s="207"/>
      <c r="E24" s="207"/>
      <c r="F24" s="207"/>
      <c r="G24" s="207"/>
      <c r="H24" s="207"/>
      <c r="I24" s="208">
        <f>MEDIAN(I21:I23)</f>
        <v>-0.0360692770053764</v>
      </c>
      <c r="J24" s="208">
        <f>MEDIAN(J21:J23)</f>
        <v>0.467766101736856</v>
      </c>
      <c r="K24" s="207"/>
      <c r="L24" s="208">
        <f>MEDIAN(L21:L23)</f>
        <v>0.06259678339526475</v>
      </c>
      <c r="M24" s="207"/>
      <c r="N24" s="209">
        <f>MEDIAN(N21:N23)</f>
        <v>0.6571200456647739</v>
      </c>
      <c r="O24" s="209">
        <f>MEDIAN(O21:O23)</f>
        <v>8.43610106542617</v>
      </c>
      <c r="P24" s="209">
        <f>MEDIAN(P21:P23)</f>
        <v>18.10710549033149</v>
      </c>
      <c r="Q24" s="209">
        <f>MEDIAN(Q21:Q23)</f>
        <v>0.5672268907563025</v>
      </c>
      <c r="R24" s="5"/>
    </row>
    <row r="25">
      <c r="B25" t="s" s="211">
        <v>405</v>
      </c>
      <c r="C25" s="211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171"/>
    </row>
    <row r="26">
      <c r="B26" t="s" s="89">
        <v>406</v>
      </c>
      <c r="C26" t="s" s="89">
        <v>407</v>
      </c>
      <c r="D26" s="147">
        <f>V26*W26*X26</f>
        <v>11102.622299999999</v>
      </c>
      <c r="E26" s="148">
        <f>(Z26+AA26)*Y26</f>
        <v>0</v>
      </c>
      <c r="F26" s="148">
        <f>AB26*Y26</f>
        <v>1539.5778364116095</v>
      </c>
      <c r="G26" s="148">
        <f>D26+E26-F26</f>
        <v>9563.04446358839</v>
      </c>
      <c r="H26" s="148">
        <f>AC26*Y26</f>
        <v>3862.317102422643</v>
      </c>
      <c r="I26" s="193">
        <v>0.184754617025973</v>
      </c>
      <c r="J26" s="193">
        <v>0.648211402310272</v>
      </c>
      <c r="K26" s="148">
        <f>IF(ISNUMBER(AD26),AD26*Y26,"n.d.")</f>
        <v>698.9685775965459</v>
      </c>
      <c r="L26" s="166">
        <f>IF(ISNUMBER(K26),K26/H26,"n.m.")</f>
        <v>0.1809713079120606</v>
      </c>
      <c r="M26" s="148">
        <f>AE26*Y26</f>
        <v>475.17390261453585</v>
      </c>
      <c r="N26" s="196">
        <f>G26/H26</f>
        <v>2.475986359998758</v>
      </c>
      <c r="O26" s="196">
        <f>IF(AND(ISNUMBER(K26),K26&gt;0),G26/K26,"n.m.")</f>
        <v>13.68165146489362</v>
      </c>
      <c r="P26" s="196">
        <f>IF(M26&gt;0,D26/M26,"n.m.")</f>
        <v>23.36538736431095</v>
      </c>
      <c r="Q26" s="196">
        <f>IF(AND(ISNUMBER(K26),K26&gt;0),(E26-F26)/K26,"n.m.")</f>
        <v>-2.20264241592313</v>
      </c>
      <c r="R26" t="s">
        <v>397</v>
      </c>
      <c r="T26" t="s">
        <v>406</v>
      </c>
      <c r="U26" t="s" s="109">
        <v>408</v>
      </c>
      <c r="V26" s="110">
        <v>33.22</v>
      </c>
      <c r="W26" s="172">
        <v>1</v>
      </c>
      <c r="X26" s="110">
        <v>334.215</v>
      </c>
      <c r="Y26" s="111">
        <f>AH22</f>
        <v>1.1993283761093787</v>
      </c>
      <c r="Z26" s="173">
        <v>0</v>
      </c>
      <c r="AA26" s="173">
        <v>0</v>
      </c>
      <c r="AB26" s="112">
        <v>1283.7</v>
      </c>
      <c r="AC26" s="112">
        <v>3220.4</v>
      </c>
      <c r="AD26" s="112">
        <v>582.8</v>
      </c>
      <c r="AE26" s="112">
        <v>396.2</v>
      </c>
    </row>
    <row r="27">
      <c r="B27" t="str" s="89">
        <f>B8</f>
        <v>Amer Sports</v>
      </c>
      <c r="C27" t="str" s="89">
        <f>C8</f>
        <v>AS</v>
      </c>
      <c r="D27" s="147">
        <f>D8</f>
        <v>15129.5</v>
      </c>
      <c r="E27" s="148">
        <f>SUM(E8:G8)</f>
        <v>147.4</v>
      </c>
      <c r="F27" s="148">
        <f>H8</f>
        <v>720.4</v>
      </c>
      <c r="G27" s="148">
        <f>D27+E27-F27</f>
        <v>14556.5</v>
      </c>
      <c r="H27" s="148">
        <f>J8</f>
        <v>7435.5</v>
      </c>
      <c r="I27" s="193">
        <v>0.30490865376178</v>
      </c>
      <c r="J27" s="193">
        <v>0.598117140743729</v>
      </c>
      <c r="K27" s="148">
        <f>K8</f>
        <v>1396.9</v>
      </c>
      <c r="L27" s="166">
        <f>IF(ISNUMBER(K27),K27/H27,"n.m.")</f>
        <v>0.18786900679174232</v>
      </c>
      <c r="M27" s="148">
        <f>L8</f>
        <v>567.8</v>
      </c>
      <c r="N27" s="196">
        <f>G27/H27</f>
        <v>1.95770291170735</v>
      </c>
      <c r="O27" s="196">
        <f>IF(AND(ISNUMBER(K27),K27&gt;0),G27/K27,"n.m.")</f>
        <v>10.420574128427232</v>
      </c>
      <c r="P27" s="196">
        <f>IF(M27&gt;0,D27/M27,"n.m.")</f>
        <v>26.645825995068687</v>
      </c>
      <c r="Q27" s="196">
        <f>IF(AND(ISNUMBER(K27),K27&gt;0),(E27-F27)/K27,"n.m.")</f>
        <v>-0.4101940010022192</v>
      </c>
      <c r="R27" t="s">
        <v>403</v>
      </c>
    </row>
    <row r="28">
      <c r="B28" t="str" s="89">
        <f>B7</f>
        <v>Deckers</v>
      </c>
      <c r="C28" t="str" s="89">
        <f>C7</f>
        <v>DECK</v>
      </c>
      <c r="D28" s="147">
        <f>D7</f>
        <v>10965</v>
      </c>
      <c r="E28" s="148">
        <f>SUM(E7:G7)</f>
        <v>0</v>
      </c>
      <c r="F28" s="148">
        <f>H7</f>
        <v>1602.6</v>
      </c>
      <c r="G28" s="148">
        <f>D28+E28-F28</f>
        <v>9362.4</v>
      </c>
      <c r="H28" s="148">
        <f>J7</f>
        <v>5527.3</v>
      </c>
      <c r="I28" s="193">
        <v>0.0634362147411591</v>
      </c>
      <c r="J28" s="193">
        <v>0.58925430020389</v>
      </c>
      <c r="K28" s="148">
        <f>K7</f>
        <v>1329.2</v>
      </c>
      <c r="L28" s="166">
        <f>IF(ISNUMBER(K28),K28/H28,"n.m.")</f>
        <v>0.2404790765835037</v>
      </c>
      <c r="M28" s="148">
        <f>L7</f>
        <v>1014.8</v>
      </c>
      <c r="N28" s="196">
        <f>G28/H28</f>
        <v>1.6938469053606642</v>
      </c>
      <c r="O28" s="196">
        <f>IF(AND(ISNUMBER(K28),K28&gt;0),G28/K28,"n.m.")</f>
        <v>7.0436352693349376</v>
      </c>
      <c r="P28" s="196">
        <f>IF(M28&gt;0,D28/M28,"n.m.")</f>
        <v>10.805084745762713</v>
      </c>
      <c r="Q28" s="196">
        <f>IF(AND(ISNUMBER(K28),K28&gt;0),(E28-F28)/K28,"n.m.")</f>
        <v>-1.2056876316581402</v>
      </c>
      <c r="R28" t="s">
        <v>403</v>
      </c>
    </row>
    <row r="29">
      <c r="B29" t="str" s="89">
        <f>B6</f>
        <v>Lululemon</v>
      </c>
      <c r="C29" t="str" s="89">
        <f>C6</f>
        <v>LULU</v>
      </c>
      <c r="D29" s="147">
        <f>D6</f>
        <v>9702</v>
      </c>
      <c r="E29" s="148">
        <f>SUM(E6:G6)</f>
        <v>0</v>
      </c>
      <c r="F29" s="148">
        <f>H6</f>
        <v>1389.7</v>
      </c>
      <c r="G29" s="148">
        <f>D29+E29-F29</f>
        <v>8312.3</v>
      </c>
      <c r="H29" s="148">
        <f>J6</f>
        <v>11094</v>
      </c>
      <c r="I29" s="193">
        <v>0.0174173122685947</v>
      </c>
      <c r="J29" s="193">
        <v>0.561071322175004</v>
      </c>
      <c r="K29" s="148">
        <f>K6</f>
        <v>2518.4</v>
      </c>
      <c r="L29" s="166">
        <f>IF(ISNUMBER(K29),K29/H29,"n.m.")</f>
        <v>0.22700558860645395</v>
      </c>
      <c r="M29" s="148">
        <f>L6</f>
        <v>1418</v>
      </c>
      <c r="N29" s="196">
        <f>G29/H29</f>
        <v>0.7492608617270596</v>
      </c>
      <c r="O29" s="196">
        <f>IF(AND(ISNUMBER(K29),K29&gt;0),G29/K29,"n.m.")</f>
        <v>3.300627382465057</v>
      </c>
      <c r="P29" s="196">
        <f>IF(M29&gt;0,D29/M29,"n.m.")</f>
        <v>6.842031029619182</v>
      </c>
      <c r="Q29" s="196">
        <f>IF(AND(ISNUMBER(K29),K29&gt;0),(E29-F29)/K29,"n.m.")</f>
        <v>-0.5518186149936467</v>
      </c>
      <c r="R29" t="s">
        <v>403</v>
      </c>
    </row>
    <row r="30">
      <c r="B30" t="s" s="212">
        <v>404</v>
      </c>
      <c r="C30" s="212"/>
      <c r="D30" s="207"/>
      <c r="E30" s="207"/>
      <c r="F30" s="207"/>
      <c r="G30" s="207"/>
      <c r="H30" s="207"/>
      <c r="I30" s="208">
        <f>MEDIAN(I26:I29)</f>
        <v>0.12409541588356605</v>
      </c>
      <c r="J30" s="208">
        <f>MEDIAN(J26:J29)</f>
        <v>0.5936857204738095</v>
      </c>
      <c r="K30" s="207"/>
      <c r="L30" s="208">
        <f>MEDIAN(L26:L29)</f>
        <v>0.20743729769909813</v>
      </c>
      <c r="M30" s="207"/>
      <c r="N30" s="209">
        <f>MEDIAN(N26:N29)</f>
        <v>1.8257749085340071</v>
      </c>
      <c r="O30" s="209">
        <f>MEDIAN(O26:O29)</f>
        <v>8.732104698881084</v>
      </c>
      <c r="P30" s="209">
        <f>MEDIAN(P26:P29)</f>
        <v>17.08523605503683</v>
      </c>
      <c r="Q30" s="209">
        <f>MEDIAN(Q26:Q29)</f>
        <v>-0.8787531233258934</v>
      </c>
      <c r="R30" s="5"/>
    </row>
    <row r="31">
      <c r="B31" t="s" s="211">
        <v>409</v>
      </c>
      <c r="C31" s="211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171"/>
    </row>
    <row r="32">
      <c r="B32" t="str" s="89">
        <f>B9</f>
        <v>Crocs</v>
      </c>
      <c r="C32" t="str" s="89">
        <f>C9</f>
        <v>CROX</v>
      </c>
      <c r="D32" s="147">
        <f>D9</f>
        <v>5523.3</v>
      </c>
      <c r="E32" s="148">
        <f>SUM(E9:G9)</f>
        <v>1307.7</v>
      </c>
      <c r="F32" s="148">
        <f>H9</f>
        <v>170.3</v>
      </c>
      <c r="G32" s="148">
        <f>D32+E32-F32</f>
        <v>6660.7</v>
      </c>
      <c r="H32" s="148">
        <f>J9</f>
        <v>4054.9</v>
      </c>
      <c r="I32" s="193">
        <v>-0.0202511477696144</v>
      </c>
      <c r="J32" s="193">
        <v>0.574697659552744</v>
      </c>
      <c r="K32" s="148">
        <f>K9</f>
        <v>922.1</v>
      </c>
      <c r="L32" s="166">
        <f>IF(ISNUMBER(K32),K32/H32,"n.m.")</f>
        <v>0.22740388172334705</v>
      </c>
      <c r="M32" s="148">
        <f>L9</f>
        <v>593.4</v>
      </c>
      <c r="N32" s="196">
        <f>G32/H32</f>
        <v>1.642629904559915</v>
      </c>
      <c r="O32" s="196">
        <f>IF(AND(ISNUMBER(K32),K32&gt;0),G32/K32,"n.m.")</f>
        <v>7.223403101615877</v>
      </c>
      <c r="P32" s="196">
        <f>IF(M32&gt;0,D32/M32,"n.m.")</f>
        <v>9.30788675429727</v>
      </c>
      <c r="Q32" s="196">
        <f>IF(AND(ISNUMBER(K32),K32&gt;0),(E32-F32)/K32,"n.m.")</f>
        <v>1.2334887756208655</v>
      </c>
      <c r="R32" t="s">
        <v>403</v>
      </c>
    </row>
    <row r="33">
      <c r="B33" t="s" s="89">
        <v>410</v>
      </c>
      <c r="C33" t="s" s="89">
        <v>411</v>
      </c>
      <c r="D33" s="147">
        <f>V33*W33*X33</f>
        <v>6100.163877520001</v>
      </c>
      <c r="E33" s="148">
        <f>(Z33+AA33)*Y33</f>
        <v>1887.7055670000002</v>
      </c>
      <c r="F33" s="148">
        <f>AB33*Y33</f>
        <v>775.9694745</v>
      </c>
      <c r="G33" s="148">
        <f>D33+E33-F33</f>
        <v>7211.899970020001</v>
      </c>
      <c r="H33" s="148">
        <f>AC33*Y33</f>
        <v>2535.0849513000003</v>
      </c>
      <c r="I33" s="193">
        <v>0.118037057411605</v>
      </c>
      <c r="J33" s="193">
        <v>0.56856253852987</v>
      </c>
      <c r="K33" s="148">
        <f>IF(ISNUMBER(AD33),AD33*Y33,"n.d.")</f>
        <v>757.8040239000001</v>
      </c>
      <c r="L33" s="166">
        <f>IF(ISNUMBER(K33),K33/H33,"n.m.")</f>
        <v>0.2989264811466754</v>
      </c>
      <c r="M33" s="148">
        <f>AE33*Y33</f>
        <v>375.76014299999997</v>
      </c>
      <c r="N33" s="196">
        <f>G33/H33</f>
        <v>2.844835620329691</v>
      </c>
      <c r="O33" s="196">
        <f>IF(AND(ISNUMBER(K33),K33&gt;0),G33/K33,"n.m.")</f>
        <v>9.516840426505421</v>
      </c>
      <c r="P33" s="196">
        <f>IF(M33&gt;0,D33/M33,"n.m.")</f>
        <v>16.23419617849145</v>
      </c>
      <c r="Q33" s="196">
        <f>IF(AND(ISNUMBER(K33),K33&gt;0),(E33-F33)/K33,"n.m.")</f>
        <v>1.4670496031130935</v>
      </c>
      <c r="R33" t="s">
        <v>397</v>
      </c>
      <c r="T33" t="s">
        <v>410</v>
      </c>
      <c r="U33" t="s" s="109">
        <v>408</v>
      </c>
      <c r="V33" s="110">
        <v>33.17</v>
      </c>
      <c r="W33" s="172">
        <v>1</v>
      </c>
      <c r="X33" s="110">
        <v>183.906056</v>
      </c>
      <c r="Y33" s="111">
        <f>AH20</f>
        <v>1.1187</v>
      </c>
      <c r="Z33" s="112">
        <v>9.126</v>
      </c>
      <c r="AA33" s="112">
        <v>1678.284</v>
      </c>
      <c r="AB33" s="112">
        <v>693.635</v>
      </c>
      <c r="AC33" s="112">
        <v>2266.099</v>
      </c>
      <c r="AD33" s="112">
        <v>677.397</v>
      </c>
      <c r="AE33" s="112">
        <v>335.89</v>
      </c>
    </row>
    <row r="34">
      <c r="B34" t="s" s="212">
        <v>404</v>
      </c>
      <c r="C34" s="212"/>
      <c r="D34" s="207"/>
      <c r="E34" s="207"/>
      <c r="F34" s="207"/>
      <c r="G34" s="207"/>
      <c r="H34" s="207"/>
      <c r="I34" s="208">
        <f>MEDIAN(I32:I33)</f>
        <v>0.0488929548209953</v>
      </c>
      <c r="J34" s="208">
        <f>MEDIAN(J32:J33)</f>
        <v>0.571630099041307</v>
      </c>
      <c r="K34" s="207"/>
      <c r="L34" s="208">
        <f>MEDIAN(L32:L33)</f>
        <v>0.2631651814350112</v>
      </c>
      <c r="M34" s="207"/>
      <c r="N34" s="209">
        <f>MEDIAN(N32:N33)</f>
        <v>2.243732762444803</v>
      </c>
      <c r="O34" s="209">
        <f>MEDIAN(O32:O33)</f>
        <v>8.370121764060649</v>
      </c>
      <c r="P34" s="209">
        <f>MEDIAN(P32:P33)</f>
        <v>12.771041466394362</v>
      </c>
      <c r="Q34" s="209">
        <f>MEDIAN(Q32:Q33)</f>
        <v>1.3502691893669794</v>
      </c>
      <c r="R34" s="5"/>
    </row>
    <row r="35">
      <c r="B35" t="s" s="211">
        <v>412</v>
      </c>
      <c r="C35" s="211"/>
      <c r="D35" s="206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171"/>
    </row>
    <row r="36">
      <c r="B36" t="str" s="89">
        <f>B10</f>
        <v>VF Corp</v>
      </c>
      <c r="C36" t="str" s="89">
        <f>C10</f>
        <v>VFC</v>
      </c>
      <c r="D36" s="147">
        <f>D10</f>
        <v>5653.3</v>
      </c>
      <c r="E36" s="148">
        <f>SUM(E10:G10)</f>
        <v>3512.5</v>
      </c>
      <c r="F36" s="148">
        <f>H10</f>
        <v>670.1</v>
      </c>
      <c r="G36" s="148">
        <f>D36+E36-F36</f>
        <v>8495.699999999999</v>
      </c>
      <c r="H36" s="148">
        <f>J10</f>
        <v>9513.9</v>
      </c>
      <c r="I36" s="193">
        <v>-0.0141188788870832</v>
      </c>
      <c r="J36" s="193">
        <v>0.559195993853511</v>
      </c>
      <c r="K36" s="148">
        <f>K10</f>
        <v>1281.5</v>
      </c>
      <c r="L36" s="166">
        <f>IF(ISNUMBER(K36),K36/H36,"n.m.")</f>
        <v>0.13469765290785063</v>
      </c>
      <c r="M36" s="148">
        <f>L10</f>
        <v>274.2</v>
      </c>
      <c r="N36" s="196">
        <f>G36/H36</f>
        <v>0.8929776432377888</v>
      </c>
      <c r="O36" s="196">
        <f>IF(AND(ISNUMBER(K36),K36&gt;0),G36/K36,"n.m.")</f>
        <v>6.629496683573936</v>
      </c>
      <c r="P36" s="196">
        <f>IF(M36&gt;0,D36/M36,"n.m.")</f>
        <v>20.617432530999274</v>
      </c>
      <c r="Q36" s="196">
        <f>IF(AND(ISNUMBER(K36),K36&gt;0),(E36-F36)/K36,"n.m.")</f>
        <v>2.2180257510729615</v>
      </c>
      <c r="R36" t="s">
        <v>403</v>
      </c>
    </row>
    <row r="37">
      <c r="B37" t="s" s="89">
        <v>413</v>
      </c>
      <c r="C37" t="s" s="89">
        <v>414</v>
      </c>
      <c r="D37" s="147">
        <f>V37*W37*X37</f>
        <v>2893.95125682</v>
      </c>
      <c r="E37" s="148">
        <f>(Z37+AA37)*Y37</f>
        <v>0</v>
      </c>
      <c r="F37" s="148">
        <f>AB37*Y37</f>
        <v>624.601</v>
      </c>
      <c r="G37" s="148">
        <f>D37+E37-F37</f>
        <v>2269.3502568199997</v>
      </c>
      <c r="H37" s="148">
        <f>AC37*Y37</f>
        <v>3407.028</v>
      </c>
      <c r="I37" s="193">
        <v>-0.00147301302968827</v>
      </c>
      <c r="J37" s="193">
        <v>0.521554563097221</v>
      </c>
      <c r="K37" s="148">
        <f>IF(ISNUMBER(AD37),AD37*Y37,"n.d.")</f>
        <v>313.408</v>
      </c>
      <c r="L37" s="166">
        <f>IF(ISNUMBER(K37),K37/H37,"n.m.")</f>
        <v>0.09198867752187538</v>
      </c>
      <c r="M37" s="148">
        <f>AE37*Y37</f>
        <v>206.033</v>
      </c>
      <c r="N37" s="196">
        <f>G37/H37</f>
        <v>0.6660791331389116</v>
      </c>
      <c r="O37" s="196">
        <f>IF(AND(ISNUMBER(K37),K37&gt;0),G37/K37,"n.m.")</f>
        <v>7.24088171591025</v>
      </c>
      <c r="P37" s="196">
        <f>IF(M37&gt;0,D37/M37,"n.m.")</f>
        <v>14.046056975435974</v>
      </c>
      <c r="Q37" s="196">
        <f>IF(AND(ISNUMBER(K37),K37&gt;0),(E37-F37)/K37,"n.m.")</f>
        <v>-1.9929325352256482</v>
      </c>
      <c r="R37" t="s">
        <v>397</v>
      </c>
      <c r="T37" t="s">
        <v>413</v>
      </c>
      <c r="U37" t="s" s="109">
        <v>408</v>
      </c>
      <c r="V37" s="110">
        <v>56.53</v>
      </c>
      <c r="W37" s="172">
        <v>1</v>
      </c>
      <c r="X37" s="110">
        <v>51.193194</v>
      </c>
      <c r="Y37" s="172">
        <v>1</v>
      </c>
      <c r="Z37" s="173">
        <v>0</v>
      </c>
      <c r="AA37" s="173">
        <v>0</v>
      </c>
      <c r="AB37" s="112">
        <v>624.601</v>
      </c>
      <c r="AC37" s="112">
        <v>3407.028</v>
      </c>
      <c r="AD37" s="112">
        <v>313.408</v>
      </c>
      <c r="AE37" s="112">
        <v>206.033</v>
      </c>
    </row>
    <row r="38">
      <c r="B38" t="s" s="212">
        <v>404</v>
      </c>
      <c r="C38" s="212"/>
      <c r="D38" s="207"/>
      <c r="E38" s="207"/>
      <c r="F38" s="207"/>
      <c r="G38" s="207"/>
      <c r="H38" s="207"/>
      <c r="I38" s="208">
        <f>MEDIAN(I36:I37)</f>
        <v>-0.007795945958385735</v>
      </c>
      <c r="J38" s="208">
        <f>MEDIAN(J36:J37)</f>
        <v>0.540375278475366</v>
      </c>
      <c r="K38" s="207"/>
      <c r="L38" s="208">
        <f>MEDIAN(L36:L37)</f>
        <v>0.11334316521486301</v>
      </c>
      <c r="M38" s="207"/>
      <c r="N38" s="209">
        <f>MEDIAN(N36:N37)</f>
        <v>0.7795283881883502</v>
      </c>
      <c r="O38" s="209">
        <f>MEDIAN(O36:O37)</f>
        <v>6.9351891997420925</v>
      </c>
      <c r="P38" s="209">
        <f>MEDIAN(P36:P37)</f>
        <v>17.331744753217624</v>
      </c>
      <c r="Q38" s="209">
        <f>MEDIAN(Q36:Q37)</f>
        <v>0.11254660792365656</v>
      </c>
      <c r="R38" s="5"/>
    </row>
    <row r="39">
      <c r="B39" t="s" s="212">
        <v>374</v>
      </c>
      <c r="C39" s="212"/>
      <c r="D39" s="207"/>
      <c r="E39" s="207"/>
      <c r="F39" s="207"/>
      <c r="G39" s="207"/>
      <c r="H39" s="207"/>
      <c r="I39" s="208">
        <f>MEDIAN(I21:I23,I26:I29,I32:I33,I36:I37)</f>
        <v>0.0174173122685947</v>
      </c>
      <c r="J39" s="208">
        <f>MEDIAN(J21:J23,J26:J29,J32:J33,J36:J37)</f>
        <v>0.561071322175004</v>
      </c>
      <c r="K39" s="207"/>
      <c r="L39" s="208">
        <f>MEDIAN(L21:L23,L26:L29,L32:L33,L36:L37)</f>
        <v>0.18442015735190145</v>
      </c>
      <c r="M39" s="207"/>
      <c r="N39" s="209">
        <f>MEDIAN(N21:N23,N26:N29,N32:N33,N36:N37)</f>
        <v>1.0794166410660113</v>
      </c>
      <c r="O39" s="209">
        <f>MEDIAN(O21:O23,O26:O29,O32:O33,O36:O37)</f>
        <v>7.24088171591025</v>
      </c>
      <c r="P39" s="209">
        <f>MEDIAN(P21:P23,P26:P29,P32:P33,P36:P37)</f>
        <v>16.23419617849145</v>
      </c>
      <c r="Q39" s="209">
        <f>MEDIAN(Q21:Q23,Q26:Q29,Q32:Q33,Q36:Q37)</f>
        <v>-0.4101940010022192</v>
      </c>
      <c r="R39" t="s" s="5">
        <v>375</v>
      </c>
    </row>
    <row r="40">
      <c r="B40" t="s" s="212">
        <v>376</v>
      </c>
      <c r="C40" s="212"/>
      <c r="D40" s="207"/>
      <c r="E40" s="207"/>
      <c r="F40" s="207"/>
      <c r="G40" s="207"/>
      <c r="H40" s="207"/>
      <c r="I40" s="208">
        <f>AVERAGE(I21:I23,I26:I29,I32:I33,I36:I37)</f>
        <v>0.045492200568503074</v>
      </c>
      <c r="J40" s="208">
        <f>AVERAGE(J21:J23,J26:J29,J32:J33,J36:J37)</f>
        <v>0.5508672496418602</v>
      </c>
      <c r="K40" s="207"/>
      <c r="L40" s="208">
        <f>AVERAGE(L21:L23,L26:L29,L32:L33,L36:L37)</f>
        <v>0.17145352399840388</v>
      </c>
      <c r="M40" s="207"/>
      <c r="N40" s="209">
        <f>AVERAGE(N21:N23,N26:N29,N32:N33,N36:N37)</f>
        <v>1.3735404830208733</v>
      </c>
      <c r="O40" s="209">
        <f>AVERAGE(O21:O23,O26:O29,O32:O33,O36:O37)</f>
        <v>8.165912359794723</v>
      </c>
      <c r="P40" s="209">
        <f>AVERAGE(P21:P23,P26:P29,P32:P33,P36:P37)</f>
        <v>16.219000784924113</v>
      </c>
      <c r="Q40" s="209">
        <f>AVERAGE(Q21:Q23,Q26:Q29,Q32:Q33,Q36:Q37)</f>
        <v>-0.09749824202661794</v>
      </c>
      <c r="R40" t="s" s="5">
        <v>375</v>
      </c>
    </row>
    <row r="41">
      <c r="B41" t="s" s="170">
        <v>377</v>
      </c>
      <c r="C41" t="s" s="170">
        <v>378</v>
      </c>
      <c r="D41" s="152">
        <f>Valuation!C17</f>
        <v>51069.57136444</v>
      </c>
      <c r="E41" s="152">
        <f>Valuation!C18</f>
        <v>7893</v>
      </c>
      <c r="F41" s="152">
        <f>-Valuation!C19</f>
        <v>8368</v>
      </c>
      <c r="G41" s="150">
        <f>D41+E41-F41</f>
        <v>50594.57136444</v>
      </c>
      <c r="H41" s="152">
        <f>Model!F22</f>
        <v>45891</v>
      </c>
      <c r="I41" s="174">
        <v>-0.0118217054263566</v>
      </c>
      <c r="J41" s="175">
        <f>Model!F46</f>
        <v>0.43071626244797456</v>
      </c>
      <c r="K41" s="176">
        <f>Model!F67</f>
        <v>4988</v>
      </c>
      <c r="L41" s="151">
        <f>IF(ISNUMBER(K41),K41/H41,"n.m.")</f>
        <v>0.10869233618792355</v>
      </c>
      <c r="M41" s="176">
        <f>Model!F58</f>
        <v>3093</v>
      </c>
      <c r="N41" s="156">
        <f>G41/H41</f>
        <v>1.102494418610185</v>
      </c>
      <c r="O41" s="156">
        <f>IF(AND(ISNUMBER(K41),K41&gt;0),G41/K41,"n.m.")</f>
        <v>10.143258092309543</v>
      </c>
      <c r="P41" s="210">
        <f>IF(M41&gt;0,D41/M41,"n.m.")</f>
        <v>16.511338947442614</v>
      </c>
      <c r="Q41" s="210">
        <f>IF(AND(ISNUMBER(K41),K41&gt;0),(E41-F41)/K41,"n.m.")</f>
        <v>-0.09522854851643946</v>
      </c>
      <c r="R41" t="s" s="5">
        <v>415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9"/>
  <sheetViews>
    <sheetView showGridLines="0" workbookViewId="0">
      <selection activeCell="A1" sqref="A1"/>
    </sheetView>
  </sheetViews>
  <cols>
    <col min="1" max="1" width="2.21875" customWidth="1"/>
    <col min="2" max="2" width="28.50390625" customWidth="1"/>
    <col min="3" max="11" width="11.359375" customWidth="1"/>
  </cols>
  <sheetData>
    <row r="1" ht="8" customHeight="1"/>
    <row r="2">
      <c r="B2" t="s" s="178">
        <v>416</v>
      </c>
    </row>
    <row r="3">
      <c r="B3" t="s" s="4">
        <v>417</v>
      </c>
    </row>
    <row r="5">
      <c r="B5" t="s" s="5">
        <v>463</v>
      </c>
      <c r="C5" t="s" s="144">
        <v>418</v>
      </c>
      <c r="D5" t="s" s="144">
        <v>419</v>
      </c>
      <c r="E5" t="s" s="144">
        <v>420</v>
      </c>
      <c r="F5" t="s" s="144">
        <v>421</v>
      </c>
      <c r="G5" t="s" s="144">
        <v>422</v>
      </c>
      <c r="H5" t="s" s="144">
        <v>423</v>
      </c>
      <c r="I5" t="s" s="144">
        <v>424</v>
      </c>
      <c r="J5" t="s" s="144">
        <v>425</v>
      </c>
      <c r="K5" s="144"/>
    </row>
    <row r="6">
      <c r="B6" t="s">
        <v>426</v>
      </c>
      <c r="C6" s="183">
        <f>Model!C22/1000</f>
        <v>51.362</v>
      </c>
      <c r="D6" s="183">
        <f>Model!D22/1000</f>
        <v>46.309</v>
      </c>
      <c r="E6" s="183">
        <f>Model!E22/1000</f>
        <v>46.398</v>
      </c>
      <c r="F6" s="183">
        <f>Model!G22/1000</f>
        <v>42.78749</v>
      </c>
      <c r="G6" s="183">
        <f>Model!H22/1000</f>
        <v>43.8542085</v>
      </c>
      <c r="H6" s="183">
        <f>Model!I22/1000</f>
        <v>45.922313675000005</v>
      </c>
      <c r="I6" s="183">
        <f>Model!J22/1000</f>
        <v>48.25622502105</v>
      </c>
      <c r="J6" s="183">
        <f>Model!K22/1000</f>
        <v>50.7181347681405</v>
      </c>
    </row>
    <row r="7">
      <c r="B7" t="s">
        <v>427</v>
      </c>
      <c r="C7" s="121">
        <f>Model!C64</f>
        <v>0.1359370741014758</v>
      </c>
      <c r="D7" s="121">
        <f>Model!D64</f>
        <v>0.08158241378565721</v>
      </c>
      <c r="E7" s="121">
        <f>Model!E64</f>
        <v>0.09127548601232811</v>
      </c>
      <c r="F7" s="121">
        <f>Model!G64</f>
        <v>0.058065488300435494</v>
      </c>
      <c r="G7" s="121">
        <f>Model!H64</f>
        <v>0.07502925907327687</v>
      </c>
      <c r="H7" s="121">
        <f>Model!I64</f>
        <v>0.08913576553805903</v>
      </c>
      <c r="I7" s="121">
        <f>Model!J64</f>
        <v>0.10033300674118192</v>
      </c>
      <c r="J7" s="121">
        <f>Model!K64</f>
        <v>0.11014917877782396</v>
      </c>
    </row>
    <row r="8">
      <c r="B8" t="s">
        <v>243</v>
      </c>
      <c r="C8" s="122">
        <f>Model!C65</f>
        <v>3.9725963241255964</v>
      </c>
      <c r="D8" s="122">
        <f>Model!D65</f>
        <v>2.163888141973649</v>
      </c>
      <c r="E8" s="122">
        <f>Model!E65</f>
        <v>2.3057497532852023</v>
      </c>
      <c r="F8" s="122">
        <f>Model!G65</f>
        <v>1.278680144586416</v>
      </c>
      <c r="G8" s="122">
        <f>Model!H65</f>
        <v>1.7185706114869015</v>
      </c>
      <c r="H8" s="122">
        <f>Model!I65</f>
        <v>2.1887753579266653</v>
      </c>
      <c r="I8" s="122">
        <f>Model!J65</f>
        <v>2.635845985709776</v>
      </c>
      <c r="J8" s="122">
        <f>Model!K65</f>
        <v>3.109575537529723</v>
      </c>
    </row>
    <row r="9">
      <c r="B9" t="s">
        <v>428</v>
      </c>
      <c r="C9" s="183">
        <f>Model!C82/1000</f>
        <v>6.617</v>
      </c>
      <c r="D9" s="183">
        <f>Model!D82/1000</f>
        <v>3.268</v>
      </c>
      <c r="E9" s="183">
        <f>Model!E82/1000</f>
        <v>2.184</v>
      </c>
      <c r="F9" s="183">
        <f>Model!G82/1000</f>
        <v>3.1436616865</v>
      </c>
      <c r="G9" s="183">
        <f>Model!H82/1000</f>
        <v>3.27097218927815</v>
      </c>
      <c r="H9" s="183">
        <f>Model!I82/1000</f>
        <v>3.873776266729212</v>
      </c>
      <c r="I9" s="183">
        <f>Model!J82/1000</f>
        <v>4.121869240231183</v>
      </c>
      <c r="J9" s="183">
        <f>Model!K82/1000</f>
        <v>4.7187577320053355</v>
      </c>
    </row>
    <row r="10">
      <c r="B10" t="s">
        <v>429</v>
      </c>
      <c r="C10" s="183">
        <f>-Model!C92/1000</f>
        <v>2.169</v>
      </c>
      <c r="D10" s="183">
        <f>-Model!D92/1000</f>
        <v>2.3</v>
      </c>
      <c r="E10" s="183">
        <f>-Model!E92/1000</f>
        <v>2.407</v>
      </c>
      <c r="F10" s="183">
        <f>-Model!G92/1000</f>
        <v>2.48162</v>
      </c>
      <c r="G10" s="183">
        <f>-Model!H92/1000</f>
        <v>2.5406325</v>
      </c>
      <c r="H10" s="183">
        <f>-Model!I92/1000</f>
        <v>2.5704583333333333</v>
      </c>
      <c r="I10" s="183">
        <f>-Model!J92/1000</f>
        <v>2.5743183333333337</v>
      </c>
      <c r="J10" s="183">
        <f>-Model!K92/1000</f>
        <v>2.564634090909091</v>
      </c>
    </row>
    <row r="11">
      <c r="B11" t="s">
        <v>430</v>
      </c>
      <c r="C11" s="183">
        <f>-Model!C91/1000</f>
        <v>4.25</v>
      </c>
      <c r="D11" s="183">
        <f>-Model!D91/1000</f>
        <v>2.985</v>
      </c>
      <c r="E11" s="183">
        <f>-Model!E91/1000</f>
        <v>0.146</v>
      </c>
      <c r="F11" s="183">
        <f>-Model!G91/1000</f>
        <v>0</v>
      </c>
      <c r="G11" s="183">
        <f>-Model!H91/1000</f>
        <v>0.5</v>
      </c>
      <c r="H11" s="183">
        <f>-Model!I91/1000</f>
        <v>1.5</v>
      </c>
      <c r="I11" s="183">
        <f>-Model!J91/1000</f>
        <v>2</v>
      </c>
      <c r="J11" s="183">
        <f>-Model!K91/1000</f>
        <v>2.5</v>
      </c>
    </row>
    <row r="13">
      <c r="B13" t="s" s="56">
        <v>431</v>
      </c>
      <c r="C13" t="s" s="23">
        <v>418</v>
      </c>
      <c r="D13" t="s" s="23">
        <v>420</v>
      </c>
      <c r="E13" t="s" s="23">
        <v>425</v>
      </c>
      <c r="F13" s="28"/>
    </row>
    <row r="14">
      <c r="B14" t="s">
        <v>11</v>
      </c>
      <c r="C14" s="85">
        <f>Model!C26</f>
        <v>0.27210693587586465</v>
      </c>
      <c r="D14" s="85">
        <f>Model!E26</f>
        <v>0.26210326166447273</v>
      </c>
      <c r="E14" s="85">
        <f>Model!K26</f>
        <v>0.27</v>
      </c>
      <c r="F14" s="28"/>
    </row>
    <row r="15">
      <c r="B15" t="s">
        <v>13</v>
      </c>
      <c r="C15" s="85">
        <f>Model!C28</f>
        <v>0.24898949070331447</v>
      </c>
      <c r="D15" s="85">
        <f>Model!E28</f>
        <v>0.19225262488068723</v>
      </c>
      <c r="E15" s="85">
        <f>Model!K28</f>
        <v>0.2</v>
      </c>
      <c r="F15" s="28"/>
    </row>
    <row r="16">
      <c r="B16" t="s">
        <v>15</v>
      </c>
      <c r="C16" s="85">
        <f>Model!C30</f>
        <v>0.30603048376408215</v>
      </c>
      <c r="D16" s="85">
        <f>Model!E30</f>
        <v>0.2185736275012827</v>
      </c>
      <c r="E16" s="85">
        <f>Model!K30</f>
        <v>0.19</v>
      </c>
      <c r="F16" s="28"/>
    </row>
    <row r="17">
      <c r="B17" t="s">
        <v>17</v>
      </c>
      <c r="C17" s="85">
        <f>Model!C32</f>
        <v>0.28013077723287266</v>
      </c>
      <c r="D17" s="85">
        <f>Model!E32</f>
        <v>0.2221688290885792</v>
      </c>
      <c r="E17" s="85">
        <f>Model!K32</f>
        <v>0.225</v>
      </c>
      <c r="F17" s="28"/>
    </row>
    <row r="18">
      <c r="C18" s="28"/>
      <c r="D18" s="28"/>
      <c r="E18" s="28"/>
      <c r="F18" s="28"/>
    </row>
    <row r="19">
      <c r="B19" t="s" s="56">
        <v>432</v>
      </c>
      <c r="C19" t="s" s="23">
        <v>6</v>
      </c>
      <c r="D19" t="s" s="23">
        <v>4</v>
      </c>
      <c r="E19" t="s" s="23">
        <v>5</v>
      </c>
      <c r="F19" t="s" s="23">
        <v>249</v>
      </c>
    </row>
    <row r="20">
      <c r="B20" t="s">
        <v>433</v>
      </c>
      <c r="C20" s="85">
        <f>Valuation!D53</f>
        <v>-0.10150469578802584</v>
      </c>
      <c r="D20" s="85">
        <f>Valuation!E53</f>
        <v>0.22187650799751282</v>
      </c>
      <c r="E20" s="85">
        <f>Valuation!F53</f>
        <v>0.47372604012489306</v>
      </c>
      <c r="F20" s="85">
        <f>Valuation!G53</f>
        <v>0.23235265612602235</v>
      </c>
    </row>
    <row r="21">
      <c r="B21" t="s">
        <v>434</v>
      </c>
      <c r="C21" s="123">
        <f>Valuation!D52</f>
        <v>0.7651780324679466</v>
      </c>
      <c r="D21" s="123">
        <f>Valuation!E52</f>
        <v>1.671403367700684</v>
      </c>
      <c r="E21" s="123">
        <f>Valuation!F52</f>
        <v>2.727382327945581</v>
      </c>
      <c r="F21" s="123">
        <f>Valuation!G52</f>
        <v>1.7088417739537238</v>
      </c>
    </row>
    <row r="22">
      <c r="C22" s="28"/>
      <c r="D22" s="28"/>
      <c r="E22" s="28"/>
      <c r="F22" s="28"/>
    </row>
    <row r="23">
      <c r="B23" s="135"/>
      <c r="C23" s="136"/>
      <c r="D23" s="28"/>
      <c r="E23" s="28"/>
      <c r="F23" s="28"/>
    </row>
    <row r="24">
      <c r="B24" s="124"/>
      <c r="C24" s="95"/>
    </row>
    <row r="25">
      <c r="B25" s="124"/>
      <c r="C25" s="95"/>
    </row>
    <row r="26">
      <c r="B26" s="124"/>
      <c r="C26" s="95"/>
    </row>
    <row r="27">
      <c r="B27" s="124"/>
      <c r="C27" s="95"/>
    </row>
    <row r="28">
      <c r="B28" s="124"/>
      <c r="C28" s="95"/>
    </row>
    <row r="29">
      <c r="B29" s="124"/>
      <c r="C29" s="95"/>
    </row>
    <row r="30">
      <c r="B30" s="124"/>
      <c r="C30" s="95"/>
    </row>
    <row r="31">
      <c r="B31" s="124"/>
      <c r="C31" s="95"/>
    </row>
    <row r="32">
      <c r="B32" t="s" s="56">
        <v>462</v>
      </c>
      <c r="C32" t="s" s="213">
        <v>418</v>
      </c>
      <c r="D32" t="s" s="23">
        <v>419</v>
      </c>
      <c r="E32" t="s" s="23">
        <v>420</v>
      </c>
      <c r="F32" t="s" s="23">
        <v>421</v>
      </c>
      <c r="G32" t="s" s="23">
        <v>422</v>
      </c>
      <c r="H32" t="s" s="23">
        <v>423</v>
      </c>
      <c r="I32" t="s" s="23">
        <v>424</v>
      </c>
      <c r="J32" t="s" s="23">
        <v>425</v>
      </c>
      <c r="K32" t="s" s="23">
        <v>91</v>
      </c>
    </row>
    <row r="33">
      <c r="B33" t="s">
        <v>118</v>
      </c>
      <c r="C33" s="137">
        <f>Model!C43/1000</f>
        <v>51.362</v>
      </c>
      <c r="D33" s="137">
        <f>Model!D43/1000</f>
        <v>46.309</v>
      </c>
      <c r="E33" s="137">
        <f>Model!E43/1000</f>
        <v>46.398</v>
      </c>
      <c r="F33" s="137">
        <f>Model!G43/1000</f>
        <v>42.78749</v>
      </c>
      <c r="G33" s="137">
        <f>Model!H43/1000</f>
        <v>43.8542085</v>
      </c>
      <c r="H33" s="137">
        <f>Model!I43/1000</f>
        <v>45.922313675000005</v>
      </c>
      <c r="I33" s="137">
        <f>Model!J43/1000</f>
        <v>48.25622502105</v>
      </c>
      <c r="J33" s="137">
        <f>Model!K43/1000</f>
        <v>50.7181347681405</v>
      </c>
      <c r="K33" s="85">
        <f>Model!N43</f>
        <v>0.017964897701183924</v>
      </c>
    </row>
    <row r="34">
      <c r="B34" t="s">
        <v>97</v>
      </c>
      <c r="C34" t="s" s="123">
        <v>98</v>
      </c>
      <c r="D34" s="85">
        <f>Model!D23</f>
        <v>-0.09838012538452556</v>
      </c>
      <c r="E34" s="85">
        <f>Model!E23</f>
        <v>0.0019218726381480256</v>
      </c>
      <c r="F34" s="85">
        <f>Model!G23</f>
        <v>-0.077816069658175</v>
      </c>
      <c r="G34" s="85">
        <f>Model!H23</f>
        <v>0.02493061640213079</v>
      </c>
      <c r="H34" s="85">
        <f>Model!I23</f>
        <v>0.04715864784106194</v>
      </c>
      <c r="I34" s="85">
        <f>Model!J23</f>
        <v>0.05082303480106609</v>
      </c>
      <c r="J34" s="85">
        <f>Model!K23</f>
        <v>0.051017454142270546</v>
      </c>
      <c r="K34" t="s" s="28">
        <v>99</v>
      </c>
    </row>
    <row r="35">
      <c r="B35" t="s">
        <v>38</v>
      </c>
      <c r="C35" s="85">
        <f>Model!C46</f>
        <v>0.445601806783225</v>
      </c>
      <c r="D35" s="85">
        <f>Model!D46</f>
        <v>0.42734673605562634</v>
      </c>
      <c r="E35" s="85">
        <f>Model!E46</f>
        <v>0.42913487650329757</v>
      </c>
      <c r="F35" s="85">
        <f>Model!G46</f>
        <v>0.43</v>
      </c>
      <c r="G35" s="85">
        <f>Model!H46</f>
        <v>0.43500000000000005</v>
      </c>
      <c r="H35" s="85">
        <f>Model!I46</f>
        <v>0.44</v>
      </c>
      <c r="I35" s="85">
        <f>Model!J46</f>
        <v>0.445</v>
      </c>
      <c r="J35" s="85">
        <f>Model!K46</f>
        <v>0.45</v>
      </c>
      <c r="K35" t="s" s="28">
        <v>99</v>
      </c>
    </row>
    <row r="36">
      <c r="B36" t="s">
        <v>437</v>
      </c>
      <c r="C36" s="85">
        <f>Model!C48</f>
        <v>0.0834274366262996</v>
      </c>
      <c r="D36" s="85">
        <f>Model!D48</f>
        <v>0.10125461573344274</v>
      </c>
      <c r="E36" s="85">
        <f>Model!E48</f>
        <v>0.10246131298762878</v>
      </c>
      <c r="F36" s="85">
        <f>Model!G48</f>
        <v>0.10499999999999998</v>
      </c>
      <c r="G36" s="85">
        <f>Model!H48</f>
        <v>0.105</v>
      </c>
      <c r="H36" s="85">
        <f>Model!I48</f>
        <v>0.10499999999999998</v>
      </c>
      <c r="I36" s="85">
        <f>Model!J48</f>
        <v>0.105</v>
      </c>
      <c r="J36" s="85">
        <f>Model!K48</f>
        <v>0.105</v>
      </c>
      <c r="K36" t="s" s="28">
        <v>99</v>
      </c>
    </row>
    <row r="37">
      <c r="B37" t="s">
        <v>438</v>
      </c>
      <c r="C37" s="85">
        <f>Model!C50</f>
        <v>0.23930142907207663</v>
      </c>
      <c r="D37" s="85">
        <f>Model!D50</f>
        <v>0.24615085620505733</v>
      </c>
      <c r="E37" s="85">
        <f>Model!E50</f>
        <v>0.24483813957498168</v>
      </c>
      <c r="F37" s="85">
        <f>Model!G50</f>
        <v>0.27394590685268055</v>
      </c>
      <c r="G37" s="85">
        <f>Model!H50</f>
        <v>0.2606714480777826</v>
      </c>
      <c r="H37" s="85">
        <f>Model!I50</f>
        <v>0.25021941572339557</v>
      </c>
      <c r="I37" s="85">
        <f>Model!J50</f>
        <v>0.24277540051476418</v>
      </c>
      <c r="J37" s="85">
        <f>Model!K50</f>
        <v>0.23682250256371493</v>
      </c>
      <c r="K37" t="s" s="28">
        <v>99</v>
      </c>
    </row>
    <row r="38">
      <c r="B38" t="s" s="5">
        <v>144</v>
      </c>
      <c r="C38" s="184">
        <f>Model!C63/1000</f>
        <v>6.982</v>
      </c>
      <c r="D38" s="184">
        <f>Model!D63/1000</f>
        <v>3.778</v>
      </c>
      <c r="E38" s="184">
        <f>Model!E63/1000</f>
        <v>4.235</v>
      </c>
      <c r="F38" s="184">
        <f>Model!G63/1000</f>
        <v>2.484476500000001</v>
      </c>
      <c r="G38" s="184">
        <f>Model!H63/1000</f>
        <v>3.290348771000001</v>
      </c>
      <c r="H38" s="184">
        <f>Model!I63/1000</f>
        <v>4.0933205847000025</v>
      </c>
      <c r="I38" s="184">
        <f>Model!J63/1000</f>
        <v>4.841692150341001</v>
      </c>
      <c r="J38" s="184">
        <f>Model!K63/1000</f>
        <v>5.586560893853677</v>
      </c>
      <c r="K38" s="128">
        <f>Model!N63</f>
        <v>0.05695920282416855</v>
      </c>
    </row>
    <row r="39">
      <c r="B39" t="s" s="5">
        <v>109</v>
      </c>
      <c r="C39" s="128">
        <f>Model!C64</f>
        <v>0.1359370741014758</v>
      </c>
      <c r="D39" s="128">
        <f>Model!D64</f>
        <v>0.08158241378565721</v>
      </c>
      <c r="E39" s="128">
        <f>Model!E64</f>
        <v>0.09127548601232811</v>
      </c>
      <c r="F39" s="128">
        <f>Model!G64</f>
        <v>0.058065488300435494</v>
      </c>
      <c r="G39" s="128">
        <f>Model!H64</f>
        <v>0.07502925907327687</v>
      </c>
      <c r="H39" s="128">
        <f>Model!I64</f>
        <v>0.08913576553805903</v>
      </c>
      <c r="I39" s="128">
        <f>Model!J64</f>
        <v>0.10033300674118192</v>
      </c>
      <c r="J39" s="128">
        <f>Model!K64</f>
        <v>0.11014917877782396</v>
      </c>
      <c r="K39" t="s" s="38">
        <v>99</v>
      </c>
    </row>
    <row r="40">
      <c r="B40" t="s">
        <v>147</v>
      </c>
      <c r="C40" s="137">
        <f>Model!C67/1000</f>
        <v>7.778</v>
      </c>
      <c r="D40" s="137">
        <f>Model!D67/1000</f>
        <v>4.553</v>
      </c>
      <c r="E40" s="137">
        <f>Model!E67/1000</f>
        <v>4.982</v>
      </c>
      <c r="F40" s="137">
        <f>Model!G67/1000</f>
        <v>3.2444765000000007</v>
      </c>
      <c r="G40" s="137">
        <f>Model!H67/1000</f>
        <v>4.070348771000001</v>
      </c>
      <c r="H40" s="137">
        <f>Model!I67/1000</f>
        <v>4.893320584700002</v>
      </c>
      <c r="I40" s="137">
        <f>Model!J67/1000</f>
        <v>5.671692150341001</v>
      </c>
      <c r="J40" s="137">
        <f>Model!K67/1000</f>
        <v>6.446560893853677</v>
      </c>
      <c r="K40" s="85">
        <f>Model!N67</f>
        <v>0.05289453917243758</v>
      </c>
    </row>
    <row r="41">
      <c r="B41" t="s" s="5">
        <v>243</v>
      </c>
      <c r="C41" s="129">
        <f>Model!C65</f>
        <v>3.9725963241255964</v>
      </c>
      <c r="D41" s="129">
        <f>Model!D65</f>
        <v>2.163888141973649</v>
      </c>
      <c r="E41" s="129">
        <f>Model!E65</f>
        <v>2.3057497532852023</v>
      </c>
      <c r="F41" s="129">
        <f>Model!G65</f>
        <v>1.278680144586416</v>
      </c>
      <c r="G41" s="129">
        <f>Model!H65</f>
        <v>1.7185706114869015</v>
      </c>
      <c r="H41" s="129">
        <f>Model!I65</f>
        <v>2.1887753579266653</v>
      </c>
      <c r="I41" s="129">
        <f>Model!J65</f>
        <v>2.635845985709776</v>
      </c>
      <c r="J41" s="129">
        <f>Model!K65</f>
        <v>3.109575537529723</v>
      </c>
      <c r="K41" s="128">
        <f>Model!N65</f>
        <v>0.061641258283522404</v>
      </c>
    </row>
    <row r="42">
      <c r="B42" t="s">
        <v>159</v>
      </c>
      <c r="C42" s="137">
        <f>Model!C82/1000</f>
        <v>6.617</v>
      </c>
      <c r="D42" s="137">
        <f>Model!D82/1000</f>
        <v>3.268</v>
      </c>
      <c r="E42" s="137">
        <f>Model!E82/1000</f>
        <v>2.184</v>
      </c>
      <c r="F42" s="137">
        <f>Model!G82/1000</f>
        <v>3.1436616865</v>
      </c>
      <c r="G42" s="137">
        <f>Model!H82/1000</f>
        <v>3.27097218927815</v>
      </c>
      <c r="H42" s="137">
        <f>Model!I82/1000</f>
        <v>3.873776266729212</v>
      </c>
      <c r="I42" s="137">
        <f>Model!J82/1000</f>
        <v>4.121869240231183</v>
      </c>
      <c r="J42" s="137">
        <f>Model!K82/1000</f>
        <v>4.7187577320053355</v>
      </c>
      <c r="K42" s="85">
        <f>Model!N82</f>
        <v>0.1665812967555571</v>
      </c>
    </row>
    <row r="43">
      <c r="B43" t="s">
        <v>439</v>
      </c>
      <c r="C43" s="137">
        <f>Model!C132/1000</f>
        <v>-2.673</v>
      </c>
      <c r="D43" s="137">
        <f>Model!D132/1000</f>
        <v>-1.19</v>
      </c>
      <c r="E43" s="137">
        <f>Model!E132/1000</f>
        <v>-1.085</v>
      </c>
      <c r="F43" s="137">
        <f>Model!G132/1000</f>
        <v>-1.8570416865000006</v>
      </c>
      <c r="G43" s="137">
        <f>Model!H132/1000</f>
        <v>-2.19738137577815</v>
      </c>
      <c r="H43" s="137">
        <f>Model!I132/1000</f>
        <v>-2.1106993091740276</v>
      </c>
      <c r="I43" s="137">
        <f>Model!J132/1000</f>
        <v>-1.7682502160718758</v>
      </c>
      <c r="J43" s="137">
        <f>Model!K132/1000</f>
        <v>-1.5323738571681207</v>
      </c>
      <c r="K43" t="s" s="28">
        <v>99</v>
      </c>
    </row>
    <row r="44">
      <c r="C44" s="28"/>
      <c r="D44" s="28"/>
      <c r="E44" s="28"/>
      <c r="F44" s="28"/>
      <c r="G44" s="28"/>
      <c r="H44" s="28"/>
      <c r="I44" s="28"/>
      <c r="J44" s="28"/>
      <c r="K44" s="28"/>
    </row>
    <row r="45">
      <c r="C45" s="28"/>
      <c r="D45" s="28"/>
      <c r="E45" s="28"/>
      <c r="F45" s="28"/>
      <c r="G45" s="28"/>
      <c r="H45" s="28"/>
      <c r="I45" s="28"/>
      <c r="J45" s="28"/>
      <c r="K45" s="28"/>
    </row>
    <row r="46">
      <c r="B46" t="s" s="56">
        <v>440</v>
      </c>
      <c r="C46" t="s" s="23">
        <v>92</v>
      </c>
      <c r="D46" t="s" s="23">
        <v>93</v>
      </c>
      <c r="E46" t="s" s="23">
        <v>441</v>
      </c>
      <c r="F46" s="28"/>
      <c r="G46" s="28"/>
      <c r="H46" s="28"/>
      <c r="I46" s="28"/>
      <c r="J46" s="28"/>
      <c r="K46" s="28"/>
    </row>
    <row r="47">
      <c r="B47" t="s">
        <v>11</v>
      </c>
      <c r="C47" s="185">
        <f>Model!P8/1000</f>
        <v>5.02</v>
      </c>
      <c r="D47" s="185">
        <f>Model!Q8/1000</f>
        <v>5.127</v>
      </c>
      <c r="E47" s="29">
        <f>D47/C47-1</f>
        <v>0.02131474103585651</v>
      </c>
      <c r="F47" s="28"/>
      <c r="G47" s="28"/>
      <c r="H47" s="28"/>
      <c r="I47" s="28"/>
      <c r="J47" s="28"/>
      <c r="K47" s="28"/>
    </row>
    <row r="48">
      <c r="B48" t="s">
        <v>13</v>
      </c>
      <c r="C48" s="185">
        <f>Model!P10/1000</f>
        <v>3.331</v>
      </c>
      <c r="D48" s="185">
        <f>Model!Q10/1000</f>
        <v>3.176</v>
      </c>
      <c r="E48" s="29">
        <f>D48/C48-1</f>
        <v>-0.04653257280096057</v>
      </c>
      <c r="F48" s="28"/>
      <c r="G48" s="28"/>
      <c r="H48" s="28"/>
      <c r="I48" s="28"/>
      <c r="J48" s="28"/>
      <c r="K48" s="28"/>
    </row>
    <row r="49">
      <c r="B49" t="s">
        <v>15</v>
      </c>
      <c r="C49" s="185">
        <f>Model!P12/1000</f>
        <v>1.512</v>
      </c>
      <c r="D49" s="185">
        <f>Model!Q12/1000</f>
        <v>1.18</v>
      </c>
      <c r="E49" s="29">
        <f>D49/C49-1</f>
        <v>-0.21957671957671965</v>
      </c>
      <c r="F49" s="28"/>
      <c r="G49" s="28"/>
      <c r="H49" s="28"/>
      <c r="I49" s="28"/>
      <c r="J49" s="28"/>
      <c r="K49" s="28"/>
    </row>
    <row r="50">
      <c r="B50" t="s">
        <v>17</v>
      </c>
      <c r="C50" s="185">
        <f>Model!P14/1000</f>
        <v>1.49</v>
      </c>
      <c r="D50" s="185">
        <f>Model!Q14/1000</f>
        <v>1.463</v>
      </c>
      <c r="E50" s="29">
        <f>D50/C50-1</f>
        <v>-0.018120805369127413</v>
      </c>
      <c r="F50" s="28"/>
      <c r="G50" s="28"/>
      <c r="H50" s="28"/>
      <c r="I50" s="28"/>
      <c r="J50" s="28"/>
      <c r="K50" s="28"/>
    </row>
    <row r="51">
      <c r="B51" t="s">
        <v>19</v>
      </c>
      <c r="C51" s="185">
        <f>Model!P19/1000</f>
        <v>0.366</v>
      </c>
      <c r="D51" s="185">
        <f>Model!Q19/1000</f>
        <v>0.263</v>
      </c>
      <c r="E51" s="29">
        <f>D51/C51-1</f>
        <v>-0.2814207650273224</v>
      </c>
      <c r="F51" s="28"/>
      <c r="G51" s="28"/>
      <c r="H51" s="28"/>
      <c r="I51" s="28"/>
      <c r="J51" s="28"/>
      <c r="K51" s="28"/>
    </row>
    <row r="52">
      <c r="B52" t="s" s="5">
        <v>105</v>
      </c>
      <c r="C52" s="186">
        <f>Model!P22/1000</f>
        <v>11.72</v>
      </c>
      <c r="D52" s="186">
        <f>Model!Q22/1000</f>
        <v>11.213</v>
      </c>
      <c r="E52" s="13">
        <f>D52/C52-1</f>
        <v>-0.043259385665529115</v>
      </c>
      <c r="F52" s="28"/>
      <c r="G52" s="28"/>
      <c r="H52" s="28"/>
      <c r="I52" s="28"/>
      <c r="J52" s="28"/>
      <c r="K52" s="28"/>
    </row>
    <row r="53">
      <c r="B53" t="s">
        <v>38</v>
      </c>
      <c r="C53" s="85">
        <f>Model!P46</f>
        <v>0.42175767918088736</v>
      </c>
      <c r="D53" s="85">
        <f>Model!Q46</f>
        <v>0.42789619192009276</v>
      </c>
      <c r="E53" s="132">
        <f>(D53-C53)*10000</f>
        <v>61.38512739205404</v>
      </c>
      <c r="F53" s="28"/>
      <c r="G53" s="28"/>
      <c r="H53" s="28"/>
      <c r="I53" s="28"/>
      <c r="J53" s="28"/>
      <c r="K53" s="28"/>
    </row>
    <row r="54">
      <c r="B54" t="s">
        <v>129</v>
      </c>
      <c r="C54" s="185">
        <f>Model!P52/1000</f>
        <v>0.904</v>
      </c>
      <c r="D54" s="185">
        <f>Model!Q52/1000</f>
        <v>0.907</v>
      </c>
      <c r="E54" s="29">
        <f>D54/C54-1</f>
        <v>0.0033185840707965486</v>
      </c>
      <c r="F54" s="28"/>
      <c r="G54" s="28"/>
      <c r="H54" s="28"/>
      <c r="I54" s="28"/>
      <c r="J54" s="28"/>
      <c r="K54" s="28"/>
    </row>
    <row r="55">
      <c r="B55" t="s">
        <v>442</v>
      </c>
      <c r="C55" s="85">
        <f>Model!P41</f>
        <v>0.07713310580204778</v>
      </c>
      <c r="D55" s="85">
        <f>Model!Q41</f>
        <v>0.080888254704361</v>
      </c>
      <c r="E55" s="132">
        <f>(D55-C55)*10000</f>
        <v>37.55148902313224</v>
      </c>
      <c r="F55" s="28"/>
      <c r="G55" s="28"/>
      <c r="H55" s="28"/>
      <c r="I55" s="28"/>
      <c r="J55" s="28"/>
      <c r="K55" s="28"/>
    </row>
    <row r="56">
      <c r="B56" t="s">
        <v>443</v>
      </c>
      <c r="C56" s="85">
        <f>Model!P26</f>
        <v>0.22589641434262947</v>
      </c>
      <c r="D56" s="85">
        <f>Model!Q26</f>
        <v>0.22820362785254536</v>
      </c>
      <c r="E56" s="132">
        <f>(D56-C56)*10000</f>
        <v>23.072135099158896</v>
      </c>
      <c r="F56" s="28"/>
      <c r="G56" s="28"/>
      <c r="H56" s="28"/>
      <c r="I56" s="28"/>
      <c r="J56" s="28"/>
      <c r="K56" s="28"/>
    </row>
    <row r="57">
      <c r="C57" s="28"/>
      <c r="D57" s="28"/>
      <c r="E57" s="28"/>
      <c r="F57" s="28"/>
      <c r="G57" s="28"/>
      <c r="H57" s="28"/>
      <c r="I57" s="28"/>
      <c r="J57" s="28"/>
      <c r="K57" s="28"/>
    </row>
    <row r="58">
      <c r="B58" t="s" s="56">
        <v>247</v>
      </c>
      <c r="C58" t="s" s="23">
        <v>6</v>
      </c>
      <c r="D58" t="s" s="23">
        <v>4</v>
      </c>
      <c r="E58" t="s" s="23">
        <v>5</v>
      </c>
      <c r="F58" t="s" s="23">
        <v>249</v>
      </c>
      <c r="G58" s="28"/>
      <c r="H58" s="28"/>
      <c r="I58" s="28"/>
      <c r="J58" s="28"/>
      <c r="K58" s="28"/>
    </row>
    <row r="59">
      <c r="B59" t="s">
        <v>444</v>
      </c>
      <c r="C59" s="85">
        <f>Valuation!D33</f>
        <v>0.25</v>
      </c>
      <c r="D59" s="85">
        <f>Valuation!E33</f>
        <v>0.5</v>
      </c>
      <c r="E59" s="85">
        <f>Valuation!F33</f>
        <v>0.25</v>
      </c>
      <c r="F59" s="85">
        <f>Valuation!G33</f>
        <v>1</v>
      </c>
      <c r="G59" s="28"/>
      <c r="H59" s="28"/>
      <c r="I59" s="28"/>
      <c r="J59" s="28"/>
      <c r="K59" s="28"/>
    </row>
    <row r="60">
      <c r="B60" t="s">
        <v>445</v>
      </c>
      <c r="C60" s="137">
        <f>SUM(Valuation!D34:D37)/1000</f>
        <v>42.168027162</v>
      </c>
      <c r="D60" s="137">
        <f>SUM(Valuation!E34:E37)/1000</f>
        <v>47.41490082105</v>
      </c>
      <c r="E60" s="137">
        <f>SUM(Valuation!F34:F37)/1000</f>
        <v>50.987423870400015</v>
      </c>
      <c r="F60" t="s" s="133">
        <v>99</v>
      </c>
      <c r="G60" s="28"/>
      <c r="H60" s="28"/>
      <c r="I60" s="28"/>
      <c r="J60" s="28"/>
      <c r="K60" s="28"/>
    </row>
    <row r="61">
      <c r="B61" t="s">
        <v>446</v>
      </c>
      <c r="C61" s="137">
        <f>Valuation!D39/1000</f>
        <v>8.616776713620002</v>
      </c>
      <c r="D61" s="137">
        <f>Valuation!E39/1000</f>
        <v>10.991692150340999</v>
      </c>
      <c r="E61" s="137">
        <f>Valuation!F39/1000</f>
        <v>12.970550401656</v>
      </c>
      <c r="F61" t="s" s="133">
        <v>99</v>
      </c>
      <c r="G61" s="28"/>
      <c r="H61" s="28"/>
      <c r="I61" s="28"/>
      <c r="J61" s="28"/>
      <c r="K61" s="28"/>
    </row>
    <row r="62">
      <c r="B62" t="s">
        <v>447</v>
      </c>
      <c r="C62" s="53">
        <f>Valuation!D47</f>
        <v>1.348688574724915</v>
      </c>
      <c r="D62" s="53">
        <f>Valuation!E47</f>
        <v>2.6358459857097754</v>
      </c>
      <c r="E62" s="53">
        <f>Valuation!F47</f>
        <v>3.7083481995087566</v>
      </c>
      <c r="F62" t="s" s="133">
        <v>99</v>
      </c>
      <c r="G62" s="28"/>
      <c r="H62" s="28"/>
      <c r="I62" s="28"/>
      <c r="J62" s="28"/>
      <c r="K62" s="28"/>
    </row>
    <row r="63">
      <c r="B63" t="s">
        <v>448</v>
      </c>
      <c r="C63" s="123">
        <f>Valuation!D48</f>
        <v>16</v>
      </c>
      <c r="D63" s="123">
        <f>Valuation!E48</f>
        <v>20</v>
      </c>
      <c r="E63" s="123">
        <f>Valuation!F48</f>
        <v>24</v>
      </c>
      <c r="F63" t="s" s="133">
        <v>99</v>
      </c>
      <c r="G63" s="28"/>
      <c r="H63" s="28"/>
      <c r="I63" s="28"/>
      <c r="J63" s="28"/>
      <c r="K63" s="28"/>
    </row>
    <row r="64">
      <c r="B64" t="s">
        <v>449</v>
      </c>
      <c r="C64" s="53">
        <f>Valuation!D49</f>
        <v>21.57901719559864</v>
      </c>
      <c r="D64" s="53">
        <f>Valuation!E49</f>
        <v>52.716919714195505</v>
      </c>
      <c r="E64" s="53">
        <f>Valuation!F49</f>
        <v>89.00035678821015</v>
      </c>
      <c r="F64" s="53">
        <f>Valuation!G49</f>
        <v>54.00330335304995</v>
      </c>
      <c r="G64" s="28"/>
      <c r="H64" s="28"/>
      <c r="I64" s="28"/>
      <c r="J64" s="28"/>
      <c r="K64" s="28"/>
    </row>
    <row r="65">
      <c r="B65" t="s">
        <v>450</v>
      </c>
      <c r="C65" s="53">
        <f>Valuation!D51</f>
        <v>4.7125</v>
      </c>
      <c r="D65" s="53">
        <f>Valuation!E51</f>
        <v>4.7125</v>
      </c>
      <c r="E65" s="53">
        <f>Valuation!F51</f>
        <v>4.7125</v>
      </c>
      <c r="F65" s="53">
        <f>Valuation!G51</f>
        <v>4.7125</v>
      </c>
      <c r="G65" s="28"/>
      <c r="H65" s="28"/>
      <c r="I65" s="28"/>
      <c r="J65" s="28"/>
      <c r="K65" s="28"/>
    </row>
    <row r="66">
      <c r="B66" t="s">
        <v>434</v>
      </c>
      <c r="C66" s="123">
        <f>Valuation!D52</f>
        <v>0.7651780324679466</v>
      </c>
      <c r="D66" s="123">
        <f>Valuation!E52</f>
        <v>1.671403367700684</v>
      </c>
      <c r="E66" s="123">
        <f>Valuation!F52</f>
        <v>2.727382327945581</v>
      </c>
      <c r="F66" s="123">
        <f>Valuation!G52</f>
        <v>1.7088417739537238</v>
      </c>
      <c r="G66" s="28"/>
      <c r="H66" s="28"/>
      <c r="I66" s="28"/>
      <c r="J66" s="28"/>
      <c r="K66" s="28"/>
    </row>
    <row r="67">
      <c r="B67" t="s" s="5">
        <v>433</v>
      </c>
      <c r="C67" s="128">
        <f>Valuation!D53</f>
        <v>-0.10150469578802584</v>
      </c>
      <c r="D67" s="128">
        <f>Valuation!E53</f>
        <v>0.22187650799751282</v>
      </c>
      <c r="E67" s="128">
        <f>Valuation!F53</f>
        <v>0.47372604012489306</v>
      </c>
      <c r="F67" s="128">
        <f>Valuation!G53</f>
        <v>0.23235265612602235</v>
      </c>
      <c r="G67" s="28"/>
      <c r="H67" s="28"/>
      <c r="I67" s="28"/>
      <c r="J67" s="28"/>
      <c r="K67" s="28"/>
    </row>
    <row r="68">
      <c r="C68" s="28"/>
      <c r="D68" s="28"/>
      <c r="E68" s="28"/>
      <c r="F68" s="28"/>
      <c r="G68" s="28"/>
      <c r="H68" s="28"/>
      <c r="I68" s="28"/>
      <c r="J68" s="28"/>
      <c r="K68" s="28"/>
    </row>
    <row r="69">
      <c r="B69" t="s" s="56">
        <v>451</v>
      </c>
      <c r="C69" t="s" s="23">
        <v>452</v>
      </c>
      <c r="D69" t="s" s="23">
        <v>453</v>
      </c>
      <c r="E69" t="s" s="23">
        <v>454</v>
      </c>
      <c r="F69" t="s" s="23">
        <v>455</v>
      </c>
      <c r="G69" s="28"/>
      <c r="H69" s="28"/>
      <c r="I69" s="28"/>
      <c r="J69" s="28"/>
      <c r="K69" s="28"/>
    </row>
    <row r="70">
      <c r="B70" t="s">
        <v>11</v>
      </c>
      <c r="C70" s="137">
        <f>Model!E8/1000</f>
        <v>20.511</v>
      </c>
      <c r="D70" s="187">
        <f>Model!E8/Model!E22</f>
        <v>0.4420664683822579</v>
      </c>
      <c r="E70" s="85">
        <f>Model!C26</f>
        <v>0.27210693587586465</v>
      </c>
      <c r="F70" s="85">
        <f>Model!E26</f>
        <v>0.26210326166447273</v>
      </c>
      <c r="G70" s="28"/>
      <c r="H70" s="28"/>
      <c r="I70" s="28"/>
      <c r="J70" s="28"/>
      <c r="K70" s="28"/>
    </row>
    <row r="71">
      <c r="B71" t="s">
        <v>13</v>
      </c>
      <c r="C71" s="137">
        <f>Model!E10/1000</f>
        <v>12.572</v>
      </c>
      <c r="D71" s="187">
        <f>Model!E10/Model!E22</f>
        <v>0.2709599551704815</v>
      </c>
      <c r="E71" s="85">
        <f>Model!C28</f>
        <v>0.24898949070331447</v>
      </c>
      <c r="F71" s="85">
        <f>Model!E28</f>
        <v>0.19225262488068723</v>
      </c>
      <c r="G71" s="28"/>
      <c r="H71" s="28"/>
      <c r="I71" s="28"/>
      <c r="J71" s="28"/>
      <c r="K71" s="28"/>
    </row>
    <row r="72">
      <c r="B72" t="s">
        <v>15</v>
      </c>
      <c r="C72" s="137">
        <f>Model!E12/1000</f>
        <v>5.847</v>
      </c>
      <c r="D72" s="187">
        <f>Model!E12/Model!E22</f>
        <v>0.12601836286046814</v>
      </c>
      <c r="E72" s="85">
        <f>Model!C30</f>
        <v>0.30603048376408215</v>
      </c>
      <c r="F72" s="85">
        <f>Model!E30</f>
        <v>0.2185736275012827</v>
      </c>
      <c r="G72" s="28"/>
      <c r="H72" s="28"/>
      <c r="I72" s="28"/>
      <c r="J72" s="28"/>
      <c r="K72" s="28"/>
    </row>
    <row r="73">
      <c r="B73" t="s">
        <v>17</v>
      </c>
      <c r="C73" s="137">
        <f>Model!E14/1000</f>
        <v>6.243</v>
      </c>
      <c r="D73" s="187">
        <f>Model!E14/Model!E22</f>
        <v>0.13455321350058191</v>
      </c>
      <c r="E73" s="85">
        <f>Model!C32</f>
        <v>0.28013077723287266</v>
      </c>
      <c r="F73" s="85">
        <f>Model!E32</f>
        <v>0.2221688290885792</v>
      </c>
      <c r="G73" s="28"/>
      <c r="H73" s="28"/>
      <c r="I73" s="28"/>
      <c r="J73" s="28"/>
      <c r="K73" s="28"/>
    </row>
    <row r="74">
      <c r="B74" t="s">
        <v>19</v>
      </c>
      <c r="C74" s="137">
        <f>Model!E19/1000</f>
        <v>1.174</v>
      </c>
      <c r="D74" s="187">
        <f>Model!E19/Model!E22</f>
        <v>0.025302814776498986</v>
      </c>
      <c r="E74" s="85">
        <f>Model!C37</f>
        <v>0.2276657060518732</v>
      </c>
      <c r="F74" s="85">
        <f>Model!E37</f>
        <v>0.015332197614991482</v>
      </c>
      <c r="G74" s="28"/>
      <c r="H74" s="28"/>
      <c r="I74" s="28"/>
      <c r="J74" s="28"/>
      <c r="K74" s="28"/>
    </row>
    <row r="75">
      <c r="B75" t="s" s="5">
        <v>456</v>
      </c>
      <c r="C75" s="184">
        <f>Model!E22/1000</f>
        <v>46.398</v>
      </c>
      <c r="D75" s="158">
        <f>SUM(D70:D74)+(Model!E16+Model!E21)/Model!E22</f>
        <v>1</v>
      </c>
      <c r="E75" s="128">
        <f>Model!C41</f>
        <v>0.12731202055994703</v>
      </c>
      <c r="F75" s="128">
        <f>Model!E41</f>
        <v>0.08297771455666192</v>
      </c>
      <c r="G75" s="28"/>
      <c r="H75" s="28"/>
      <c r="I75" s="28"/>
      <c r="J75" s="28"/>
      <c r="K75" s="28"/>
    </row>
    <row r="76">
      <c r="C76" s="28"/>
      <c r="D76" s="28"/>
      <c r="E76" s="28"/>
      <c r="F76" s="28"/>
      <c r="G76" s="28"/>
      <c r="H76" s="28"/>
      <c r="I76" s="28"/>
      <c r="J76" s="28"/>
      <c r="K76" s="28"/>
    </row>
    <row r="77">
      <c r="B77" t="s" s="56">
        <v>242</v>
      </c>
      <c r="C77" t="s" s="23">
        <v>89</v>
      </c>
      <c r="D77" t="s" s="23">
        <v>421</v>
      </c>
      <c r="E77" t="s" s="23">
        <v>422</v>
      </c>
      <c r="F77" t="s" s="23">
        <v>423</v>
      </c>
      <c r="G77" t="s" s="23">
        <v>424</v>
      </c>
      <c r="H77" s="28"/>
      <c r="I77" s="28"/>
      <c r="J77" s="28"/>
      <c r="K77" s="28"/>
    </row>
    <row r="78">
      <c r="B78" t="s">
        <v>244</v>
      </c>
      <c r="C78" s="123">
        <f>Valuation!C28</f>
        <v>10.143258092309543</v>
      </c>
      <c r="D78" s="123">
        <f>Valuation!D28</f>
        <v>15.594063129888594</v>
      </c>
      <c r="E78" s="123">
        <f>Valuation!E28</f>
        <v>12.430033446988858</v>
      </c>
      <c r="F78" s="123">
        <f>Valuation!F28</f>
        <v>10.339516998464108</v>
      </c>
      <c r="G78" s="123">
        <f>Valuation!G28</f>
        <v>8.920542586465679</v>
      </c>
      <c r="H78" s="28"/>
      <c r="I78" s="28"/>
      <c r="J78" s="28"/>
      <c r="K78" s="28"/>
    </row>
    <row r="79">
      <c r="B79" t="s">
        <v>245</v>
      </c>
      <c r="C79" s="123">
        <f>Valuation!C29</f>
        <v>15.0061552567573</v>
      </c>
      <c r="D79" s="123">
        <f>Valuation!D29</f>
        <v>26.87145815587338</v>
      </c>
      <c r="E79" s="123">
        <f>Valuation!E29</f>
        <v>19.99335946416065</v>
      </c>
      <c r="F79" s="123">
        <f>Valuation!F29</f>
        <v>15.698276150435</v>
      </c>
      <c r="G79" s="123">
        <f>Valuation!G29</f>
        <v>13.035663003939739</v>
      </c>
      <c r="H79" s="28"/>
      <c r="I79" s="28"/>
      <c r="J79" s="28"/>
      <c r="K79" s="28"/>
    </row>
    <row r="80">
      <c r="B80" t="s">
        <v>246</v>
      </c>
      <c r="C80" s="85">
        <f>Valuation!C30</f>
        <v>0.04121828211516422</v>
      </c>
      <c r="D80" s="85">
        <f>Valuation!D30</f>
        <v>0.06155645333434201</v>
      </c>
      <c r="E80" s="85">
        <f>Valuation!E30</f>
        <v>0.06404933704917963</v>
      </c>
      <c r="F80" s="85">
        <f>Valuation!F30</f>
        <v>0.07585292304659015</v>
      </c>
      <c r="G80" s="85">
        <f>Valuation!G30</f>
        <v>0.08071086422121923</v>
      </c>
      <c r="H80" s="28"/>
      <c r="I80" s="28"/>
      <c r="J80" s="28"/>
      <c r="K80" s="28"/>
    </row>
    <row r="81">
      <c r="C81" s="28"/>
      <c r="D81" s="28"/>
      <c r="E81" s="28"/>
      <c r="F81" s="28"/>
      <c r="G81" s="28"/>
      <c r="H81" s="28"/>
      <c r="I81" s="28"/>
      <c r="J81" s="28"/>
      <c r="K81" s="28"/>
    </row>
    <row r="84">
      <c r="B84" t="s" s="56">
        <v>457</v>
      </c>
      <c r="C84" t="s" s="56">
        <v>458</v>
      </c>
      <c r="D84" t="s" s="56">
        <v>357</v>
      </c>
      <c r="E84" t="s" s="56">
        <v>459</v>
      </c>
      <c r="G84" t="s" s="56">
        <v>460</v>
      </c>
      <c r="H84" t="s" s="56">
        <v>461</v>
      </c>
      <c r="I84" t="s" s="56">
        <v>356</v>
      </c>
      <c r="J84" t="s" s="56">
        <v>459</v>
      </c>
    </row>
    <row r="85">
      <c r="B85" t="str" s="124">
        <f>Comps!B26</f>
        <v>On Holding</v>
      </c>
      <c r="C85" s="121">
        <f>Comps!L26</f>
        <v>0.1809713079120606</v>
      </c>
      <c r="D85" s="95">
        <f>Comps!O26</f>
        <v>13.68165146489362</v>
      </c>
      <c r="E85" t="str" s="124">
        <f>Comps!C26</f>
        <v>ONON</v>
      </c>
      <c r="G85" t="str" s="124">
        <f>Comps!B26</f>
        <v>On Holding</v>
      </c>
      <c r="H85" s="121">
        <f>Comps!I26</f>
        <v>0.184754617025973</v>
      </c>
      <c r="I85" s="95">
        <f>Comps!N26</f>
        <v>2.475986359998758</v>
      </c>
      <c r="J85" t="str" s="124">
        <f>Comps!C26</f>
        <v>ONON</v>
      </c>
    </row>
    <row r="86">
      <c r="B86" t="str" s="124">
        <f>Comps!B27</f>
        <v>Amer Sports</v>
      </c>
      <c r="C86" s="121">
        <f>Comps!L27</f>
        <v>0.18786900679174232</v>
      </c>
      <c r="D86" s="95">
        <f>Comps!O27</f>
        <v>10.420574128427232</v>
      </c>
      <c r="E86" t="str" s="124">
        <f>Comps!C27</f>
        <v>AS</v>
      </c>
      <c r="G86" t="str" s="124">
        <f>Comps!B27</f>
        <v>Amer Sports</v>
      </c>
      <c r="H86" s="121">
        <f>Comps!I27</f>
        <v>0.30490865376178</v>
      </c>
      <c r="I86" s="95">
        <f>Comps!N27</f>
        <v>1.95770291170735</v>
      </c>
      <c r="J86" t="str" s="124">
        <f>Comps!C27</f>
        <v>AS</v>
      </c>
    </row>
    <row r="87">
      <c r="B87" t="str" s="124">
        <f>Comps!B33</f>
        <v>Birkenstock</v>
      </c>
      <c r="C87" s="121">
        <f>Comps!L33</f>
        <v>0.2989264811466754</v>
      </c>
      <c r="D87" s="95">
        <f>Comps!O33</f>
        <v>9.516840426505421</v>
      </c>
      <c r="E87" t="str" s="124">
        <f>Comps!C33</f>
        <v>BIRK</v>
      </c>
      <c r="G87" t="str" s="124">
        <f>Comps!B33</f>
        <v>Birkenstock</v>
      </c>
      <c r="H87" s="121">
        <f>Comps!I33</f>
        <v>0.118037057411605</v>
      </c>
      <c r="I87" s="95">
        <f>Comps!N33</f>
        <v>2.844835620329691</v>
      </c>
      <c r="J87" t="str" s="124">
        <f>Comps!C33</f>
        <v>BIRK</v>
      </c>
    </row>
    <row r="88">
      <c r="B88" t="str" s="124">
        <f>Comps!B21</f>
        <v>adidas</v>
      </c>
      <c r="C88" s="121">
        <f>Comps!L21</f>
        <v>0.12795207557313468</v>
      </c>
      <c r="D88" s="95">
        <f>Comps!O21</f>
        <v>8.43610106542617</v>
      </c>
      <c r="E88" t="str" s="124">
        <f>Comps!C21</f>
        <v>ADS GY</v>
      </c>
      <c r="G88" t="str" s="124">
        <f>Comps!B21</f>
        <v>adidas</v>
      </c>
      <c r="H88" s="121">
        <f>Comps!I21</f>
        <v>0.0625510037538763</v>
      </c>
      <c r="I88" s="95">
        <f>Comps!N21</f>
        <v>1.0794166410660113</v>
      </c>
      <c r="J88" t="str" s="124">
        <f>Comps!C21</f>
        <v>ADS GY</v>
      </c>
    </row>
    <row r="89">
      <c r="B89" t="str" s="124">
        <f>Comps!B32</f>
        <v>Crocs</v>
      </c>
      <c r="C89" s="121">
        <f>Comps!L32</f>
        <v>0.22740388172334705</v>
      </c>
      <c r="D89" s="95">
        <f>Comps!O32</f>
        <v>7.223403101615877</v>
      </c>
      <c r="E89" t="str" s="124">
        <f>Comps!C32</f>
        <v>CROX</v>
      </c>
      <c r="G89" t="str" s="124">
        <f>Comps!B32</f>
        <v>Crocs</v>
      </c>
      <c r="H89" s="121">
        <f>Comps!I32</f>
        <v>-0.0202511477696144</v>
      </c>
      <c r="I89" s="95">
        <f>Comps!N32</f>
        <v>1.642629904559915</v>
      </c>
      <c r="J89" t="str" s="124">
        <f>Comps!C32</f>
        <v>CROX</v>
      </c>
    </row>
    <row r="90">
      <c r="B90" t="str" s="124">
        <f>Comps!B37</f>
        <v>Columbia Sportswear</v>
      </c>
      <c r="C90" s="121">
        <f>Comps!L37</f>
        <v>0.09198867752187538</v>
      </c>
      <c r="D90" s="95">
        <f>Comps!O37</f>
        <v>7.24088171591025</v>
      </c>
      <c r="E90" t="str" s="124">
        <f>Comps!C37</f>
        <v>COLM</v>
      </c>
      <c r="G90" t="str" s="124">
        <f>Comps!B37</f>
        <v>Columbia Sportswear</v>
      </c>
      <c r="H90" s="121">
        <f>Comps!I37</f>
        <v>-0.00147301302968827</v>
      </c>
      <c r="I90" s="95">
        <f>Comps!N37</f>
        <v>0.6660791331389116</v>
      </c>
      <c r="J90" t="str" s="124">
        <f>Comps!C37</f>
        <v>COLM</v>
      </c>
    </row>
    <row r="91">
      <c r="B91" t="str" s="124">
        <f>Comps!B28</f>
        <v>Deckers</v>
      </c>
      <c r="C91" s="121">
        <f>Comps!L28</f>
        <v>0.2404790765835037</v>
      </c>
      <c r="D91" s="95">
        <f>Comps!O28</f>
        <v>7.0436352693349376</v>
      </c>
      <c r="E91" t="str" s="124">
        <f>Comps!C28</f>
        <v>DECK</v>
      </c>
      <c r="G91" t="str" s="124">
        <f>Comps!B28</f>
        <v>Deckers</v>
      </c>
      <c r="H91" s="121">
        <f>Comps!I28</f>
        <v>0.0634362147411591</v>
      </c>
      <c r="I91" s="95">
        <f>Comps!N28</f>
        <v>1.6938469053606642</v>
      </c>
      <c r="J91" t="str" s="124">
        <f>Comps!C28</f>
        <v>DECK</v>
      </c>
    </row>
    <row r="92">
      <c r="B92" t="str" s="124">
        <f>Comps!B36</f>
        <v>VF Corp</v>
      </c>
      <c r="C92" s="121">
        <f>Comps!L36</f>
        <v>0.13469765290785063</v>
      </c>
      <c r="D92" s="95">
        <f>Comps!O36</f>
        <v>6.629496683573936</v>
      </c>
      <c r="E92" t="str" s="124">
        <f>Comps!C36</f>
        <v>VFC</v>
      </c>
      <c r="G92" t="str" s="124">
        <f>Comps!B36</f>
        <v>VF Corp</v>
      </c>
      <c r="H92" s="121">
        <f>Comps!I36</f>
        <v>-0.0141188788870832</v>
      </c>
      <c r="I92" s="95">
        <f>Comps!N36</f>
        <v>0.8929776432377888</v>
      </c>
      <c r="J92" t="str" s="124">
        <f>Comps!C36</f>
        <v>VFC</v>
      </c>
    </row>
    <row r="93">
      <c r="B93" t="str" s="124">
        <f>Comps!B29</f>
        <v>Lululemon</v>
      </c>
      <c r="C93" s="121">
        <f>Comps!L29</f>
        <v>0.22700558860645395</v>
      </c>
      <c r="D93" s="95">
        <f>Comps!O29</f>
        <v>3.300627382465057</v>
      </c>
      <c r="E93" t="str" s="124">
        <f>Comps!C29</f>
        <v>LULU</v>
      </c>
      <c r="G93" t="str" s="124">
        <f>Comps!B29</f>
        <v>Lululemon</v>
      </c>
      <c r="H93" s="121">
        <f>Comps!I29</f>
        <v>0.0174173122685947</v>
      </c>
      <c r="I93" s="95">
        <f>Comps!N29</f>
        <v>0.7492608617270596</v>
      </c>
      <c r="J93" t="str" s="124">
        <f>Comps!C29</f>
        <v>LULU</v>
      </c>
    </row>
    <row r="94">
      <c r="B94" t="str" s="124">
        <f>Comps!B41</f>
        <v>Nike</v>
      </c>
      <c r="C94" s="121">
        <f>Comps!L41</f>
        <v>0.10869233618792355</v>
      </c>
      <c r="D94" s="95">
        <f>Comps!O41</f>
        <v>10.143258092309543</v>
      </c>
      <c r="E94" t="str" s="124">
        <f>Comps!C41</f>
        <v>NKE</v>
      </c>
      <c r="G94" t="str" s="124">
        <f>Comps!B22</f>
        <v>PUMA</v>
      </c>
      <c r="H94" s="121">
        <f>Comps!I22</f>
        <v>-0.178778336017692</v>
      </c>
      <c r="I94" s="95">
        <f>Comps!N22</f>
        <v>0.6571200456647739</v>
      </c>
      <c r="J94" t="str" s="124">
        <f>Comps!C22</f>
        <v>PUM GY</v>
      </c>
    </row>
    <row r="95">
      <c r="G95" t="str" s="124">
        <f>Comps!B23</f>
        <v>Under Armour</v>
      </c>
      <c r="H95" s="121">
        <f>Comps!I23</f>
        <v>-0.0360692770053764</v>
      </c>
      <c r="I95" s="95">
        <f>Comps!N23</f>
        <v>0.4490892864386841</v>
      </c>
      <c r="J95" t="str" s="124">
        <f>Comps!C23</f>
        <v>UAA</v>
      </c>
    </row>
    <row r="96">
      <c r="G96" t="str" s="124">
        <f>Comps!B41</f>
        <v>Nike</v>
      </c>
      <c r="H96" s="121">
        <f>Comps!I41</f>
        <v>-0.0118217054263566</v>
      </c>
      <c r="I96" s="95">
        <f>Comps!N41</f>
        <v>1.102494418610185</v>
      </c>
      <c r="J96" t="str" s="124">
        <f>Comps!C41</f>
        <v>NKE</v>
      </c>
    </row>
    <row r="98">
      <c r="B98" t="s">
        <v>435</v>
      </c>
      <c r="C98" t="s">
        <v>436</v>
      </c>
    </row>
    <row r="99">
      <c r="B99" t="str" s="124">
        <f>Comps!B26</f>
        <v>On Holding</v>
      </c>
      <c r="C99" s="177">
        <f>Comps!O26</f>
        <v>13.68165146489362</v>
      </c>
    </row>
    <row r="100">
      <c r="B100" t="str" s="124">
        <f>Comps!B27</f>
        <v>Amer Sports</v>
      </c>
      <c r="C100" s="177">
        <f>Comps!O27</f>
        <v>10.420574128427232</v>
      </c>
    </row>
    <row r="101">
      <c r="B101" t="str" s="124">
        <f>Comps!B41</f>
        <v>Nike</v>
      </c>
      <c r="C101" s="177">
        <f>Comps!O41</f>
        <v>10.143258092309543</v>
      </c>
    </row>
    <row r="102">
      <c r="B102" t="str" s="124">
        <f>Comps!B33</f>
        <v>Birkenstock</v>
      </c>
      <c r="C102" s="177">
        <f>Comps!O33</f>
        <v>9.516840426505421</v>
      </c>
    </row>
    <row r="103">
      <c r="B103" t="str" s="124">
        <f>Comps!B21</f>
        <v>adidas</v>
      </c>
      <c r="C103" s="177">
        <f>Comps!O21</f>
        <v>8.43610106542617</v>
      </c>
    </row>
    <row r="104">
      <c r="B104" t="str" s="124">
        <f>Comps!B32</f>
        <v>Crocs</v>
      </c>
      <c r="C104" s="177">
        <f>Comps!O32</f>
        <v>7.223403101615877</v>
      </c>
    </row>
    <row r="105">
      <c r="B105" t="str" s="124">
        <f>Comps!B37</f>
        <v>Columbia Sportswear</v>
      </c>
      <c r="C105" s="177">
        <f>Comps!O37</f>
        <v>7.24088171591025</v>
      </c>
    </row>
    <row r="106">
      <c r="B106" t="str" s="124">
        <f>Comps!B28</f>
        <v>Deckers</v>
      </c>
      <c r="C106" s="177">
        <f>Comps!O28</f>
        <v>7.0436352693349376</v>
      </c>
    </row>
    <row r="107">
      <c r="B107" t="str" s="124">
        <f>Comps!B36</f>
        <v>VF Corp</v>
      </c>
      <c r="C107" s="177">
        <f>Comps!O36</f>
        <v>6.629496683573936</v>
      </c>
    </row>
    <row r="108">
      <c r="B108" t="str" s="124">
        <f>Comps!B29</f>
        <v>Lululemon</v>
      </c>
      <c r="C108" s="177">
        <f>Comps!O29</f>
        <v>3.300627382465057</v>
      </c>
    </row>
    <row r="109">
      <c r="B109" t="s">
        <v>374</v>
      </c>
      <c r="C109" s="177">
        <f>Comps!O39</f>
        <v>7.24088171591025</v>
      </c>
    </row>
  </sheetData>
  <pageMargins left="0.7" right="0.7" top="0.75" bottom="0.75" header="0.3" footer="0.3"/>
  <drawing r:id="rId1"/>
</worksheet>
</file>

<file path=ccalc/calcState.xml><?xml version="1.0" encoding="utf-8"?>
<calcState xmlns="urn:twentyai:ccalc:calc-state" version="1" digest="1df3b99509be58b62629d4b84fe06c54a0688b64c6c35d8d9c191bfa81bfb6e9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2026-10-29T06:05:16Z</dcterms:created>
  <dcterms:modified xsi:type="dcterms:W3CDTF">2026-10-29T06:05:17Z</dcterms:modified>
  <cp:category/>
  <cp:contentStatus/>
</cp:coreProperties>
</file>