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Dashboard" sheetId="1" r:id="rId1"/>
    <sheet name="Monthly" sheetId="2" r:id="rId2"/>
    <sheet name="Quarterly KPIs" sheetId="3" r:id="rId3"/>
    <sheet name="Capex &amp; Covenant" sheetId="4" r:id="rId4"/>
  </sheets>
  <calcPr/>
  <extLst>
    <ext xmlns:xccaches="urn:twentyai:ccalc:caches" uri="{3C5F2E7A-9B41-4D6E-A8C2-19409CCA1C01}">
      <xccaches:writer/>
    </ext>
  </extLst>
</workbook>
</file>

<file path=xl/comments2.xml><?xml version="1.0" encoding="utf-8"?>
<comments xmlns="http://schemas.openxmlformats.org/spreadsheetml/2006/main">
  <authors>
    <author>Compound</author>
  </authors>
  <commentList>
    <comment ref="H22" authorId="0">
      <text>
        <t xml:space="preserve">Cited for G22:H22
2.05 Management_Accounts_FY25_Monthly_v3.xlsx (P&amp;L (Monthly) A20:N20)</t>
      </text>
    </comment>
    <comment ref="K22" authorId="0">
      <text>
        <t xml:space="preserve">2.05 Management_Accounts_FY25_Monthly_v3.xlsx (P&amp;L (Monthly) A20:N20)</t>
      </text>
    </comment>
    <comment ref="N13" authorId="0">
      <text>
        <t xml:space="preserve">Cited for C13:N15
2.05 Management_Accounts_FY25_Monthly_v3.xlsx (P&amp;L (Monthly) A5:N17)</t>
      </text>
    </comment>
    <comment ref="N18" authorId="0">
      <text>
        <t xml:space="preserve">Cited for C18:N19
2.05 Management_Accounts_FY25_Monthly_v3.xlsx (P&amp;L (Monthly) A5:N17)</t>
      </text>
    </comment>
    <comment ref="N22" authorId="0">
      <text>
        <t xml:space="preserve">Cited for M22:N22
2.05 Management_Accounts_FY25_Monthly_v3.xlsx (P&amp;L (Monthly) A20:N20)</t>
      </text>
    </comment>
    <comment ref="N23" authorId="0">
      <text>
        <t xml:space="preserve">Cited for C23:N23
2.05 Management_Accounts_FY25_Monthly_v3.xlsx (Other Income A7:N7)</t>
      </text>
    </comment>
    <comment ref="N28" authorId="0">
      <text>
        <t xml:space="preserve">Cited for C28:N28
2.05 Management_Accounts_FY25_Monthly_v3.xlsx (Property Opex by Campus A13:N13)</t>
      </text>
    </comment>
    <comment ref="N8" authorId="0">
      <text>
        <t xml:space="preserve">Cited for C8:N11
2.05 Management_Accounts_FY25_Monthly_v3.xlsx (P&amp;L (Monthly) A5:N17)</t>
      </text>
    </comment>
    <comment ref="S30" authorId="0">
      <text>
        <t xml:space="preserve">Project Voltaic CIM Tie-Out.xlsx (Workings B42:C44)</t>
      </text>
    </comment>
    <comment ref="T22" authorId="0">
      <text>
        <t xml:space="preserve">2.07 Q1_FY26_Flash_Report_2026.04.xlsx (Detail by Campus A98:B101)</t>
      </text>
    </comment>
    <comment ref="T36" authorId="0">
      <text>
        <t xml:space="preserve">2.06 FY26_Budget_and_Long-Range_Plan_FY26-FY30_v3.2.xlsx (2. P&amp;L (FY26-FY30) A5:C17)</t>
      </text>
    </comment>
    <comment ref="T37" authorId="0">
      <text>
        <t xml:space="preserve">2.06 FY26_Budget_and_Long-Range_Plan_FY26-FY30_v3.2.xlsx (5. Revenue Build A19:C22)</t>
      </text>
    </comment>
    <comment ref="U13" authorId="0">
      <text>
        <t xml:space="preserve">Cited for T13:U15
2.07 Q1_FY26_Flash_Report_2026.04.xlsx (Q1 FY26 Flash A5:F17)</t>
      </text>
    </comment>
    <comment ref="U18" authorId="0">
      <text>
        <t xml:space="preserve">Cited for T18:U19
2.07 Q1_FY26_Flash_Report_2026.04.xlsx (Q1 FY26 Flash A5:F17)</t>
      </text>
    </comment>
    <comment ref="U23" authorId="0">
      <text>
        <t xml:space="preserve">Cited for T23:U23
2.07 Q1_FY26_Flash_Report_2026.04.xlsx (Detail by Campus A90:E93)</t>
      </text>
    </comment>
    <comment ref="U28" authorId="0">
      <text>
        <t xml:space="preserve">Cited for T28:U28
2.07 Q1_FY26_Flash_Report_2026.04.xlsx (Detail by Campus A41:F48)</t>
      </text>
    </comment>
    <comment ref="U8" authorId="0">
      <text>
        <t xml:space="preserve">Cited for T8:U11
2.07 Q1_FY26_Flash_Report_2026.04.xlsx (Q1 FY26 Flash A5:F17)</t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D19" authorId="0">
      <text>
        <t xml:space="preserve">Cited for D19:D20
2.07 Q1_FY26_Flash_Report_2026.04.xlsx (Q1 FY26 Flash A20:E23)</t>
      </text>
    </comment>
    <comment ref="D22" authorId="0">
      <text>
        <t xml:space="preserve">2.07 Q1_FY26_Flash_Report_2026.04.xlsx (Q1 FY26 Flash A26:A29)</t>
      </text>
    </comment>
    <comment ref="D26" authorId="0">
      <text>
        <t xml:space="preserve">Cited for D26:D28
3.04 Occupancy_and_Capacity_Bridge_FY23-FY25.xlsx (Capacity &amp; Occupancy Bridge A24:J25)</t>
      </text>
    </comment>
    <comment ref="D30" authorId="0">
      <text>
        <t xml:space="preserve">3.04 Occupancy_and_Capacity_Bridge_FY23-FY25.xlsx (Capacity &amp; Occupancy Bridge A24:J25)</t>
      </text>
    </comment>
    <comment ref="D31" authorId="0">
      <text>
        <t xml:space="preserve">Cited for D31:D32
2.06 FY26_Budget_and_Long-Range_Plan_FY26-FY30_v3.2.xlsx (4. Capacity &amp; Leasing A27:C32)</t>
      </text>
    </comment>
    <comment ref="D38" authorId="0">
      <text>
        <t xml:space="preserve">Cited for D38:D40
4.02 Leasing_Pipeline_Report_2026.02.13.xlsx (Summary A4:D9)</t>
      </text>
    </comment>
    <comment ref="E38" authorId="0">
      <text>
        <t xml:space="preserve">Cited for E38:E40
4.03 Leasing_Pipeline_Report_2026.05.29.xlsx (Summary A4:D12)</t>
      </text>
    </comment>
    <comment ref="E41" authorId="0">
      <text>
        <t xml:space="preserve">4.03 Leasing_Pipeline_Report_2026.05.29.xlsx (Summary A27:A31)</t>
      </text>
    </comment>
    <comment ref="E42" authorId="0">
      <text>
        <t xml:space="preserve">Cited for E42:E44
4.03 Leasing_Pipeline_Report_2026.05.29.xlsx (Pipeline A5:L6)</t>
      </text>
    </comment>
    <comment ref="L11" authorId="0">
      <text>
        <t xml:space="preserve">Cited for D11:L11
3.06 KPI_Dashboard_Q1_FY26.xlsx (KPI Dashboard A3:K12)</t>
      </text>
    </comment>
    <comment ref="L13" authorId="0">
      <text>
        <t xml:space="preserve">Cited for D13:L15
3.06 KPI_Dashboard_Q1_FY26.xlsx (KPI Dashboard A3:K12)</t>
      </text>
    </comment>
    <comment ref="L8" authorId="0">
      <text>
        <t xml:space="preserve">Cited for D8:L9
3.06 KPI_Dashboard_Q1_FY26.xlsx (KPI Dashboard A3:K12)</t>
      </text>
    </comment>
    <comment ref="M8" authorId="0">
      <text>
        <t xml:space="preserve">Cited for M8:M9
2.07 Q1_FY26_Flash_Report_2026.04.xlsx (Q1 FY26 Flash A20:E23)</t>
      </text>
    </comment>
    <comment ref="N11" authorId="0">
      <text>
        <t xml:space="preserve">2.06 FY26_Budget_and_Long-Range_Plan_FY26-FY30_v3.2.xlsx (1. Assumptions A5:C25)</t>
      </text>
    </comment>
    <comment ref="N13" authorId="0">
      <text>
        <t xml:space="preserve">2.06 FY26_Budget_and_Long-Range_Plan_FY26-FY30_v3.2.xlsx (1. Assumptions A5:C25)</t>
      </text>
    </comment>
    <comment ref="N8" authorId="0">
      <text>
        <t xml:space="preserve">Cited for N8:N9
2.06 FY26_Budget_and_Long-Range_Plan_FY26-FY30_v3.2.xlsx (1. Assumptions A5:C25)</t>
      </text>
    </comment>
  </commentList>
</comments>
</file>

<file path=xl/comments4.xml><?xml version="1.0" encoding="utf-8"?>
<comments xmlns="http://schemas.openxmlformats.org/spreadsheetml/2006/main">
  <authors>
    <author>Compound</author>
  </authors>
  <commentList>
    <comment ref="D10" authorId="0">
      <text>
        <t xml:space="preserve">2.06 FY26_Budget_and_Long-Range_Plan_FY26-FY30_v3.2.xlsx (1. Assumptions A5:C25)</t>
      </text>
    </comment>
    <comment ref="D19" authorId="0">
      <text>
        <t xml:space="preserve">4.06 PHX_II_Construction_Budget_and_Draw_Schedule.xlsx (Budget by Division A14:H15)</t>
      </text>
    </comment>
    <comment ref="D20" authorId="0">
      <text>
        <t xml:space="preserve">Cited for D20:D23
4.06 PHX_II_Construction_Budget_and_Draw_Schedule.xlsx (Draw Schedule A26:E29)</t>
      </text>
    </comment>
    <comment ref="D26" authorId="0">
      <text>
        <t xml:space="preserve">4.06 PHX_II_Construction_Budget_and_Draw_Schedule.xlsx (Budget by Division A14:H15)</t>
      </text>
    </comment>
    <comment ref="D29" authorId="0">
      <text>
        <t xml:space="preserve">2.06 FY26_Budget_and_Long-Range_Plan_FY26-FY30_v3.2.xlsx (3. Development Capex A5:B12)</t>
      </text>
    </comment>
    <comment ref="D31" authorId="0">
      <text>
        <t xml:space="preserve">4.06 PHX_II_Construction_Budget_and_Draw_Schedule.xlsx (Draw Schedule A30:E38)</t>
      </text>
    </comment>
    <comment ref="D34" authorId="0">
      <text>
        <t xml:space="preserve">4.06 PHX_II_Construction_Budget_and_Draw_Schedule.xlsx (Budget by Division A14:H15)</t>
      </text>
    </comment>
    <comment ref="D35" authorId="0">
      <text>
        <t xml:space="preserve">Cited for D35:D36
4.06 PHX_II_Construction_Budget_and_Draw_Schedule.xlsx (Change Order Log A13:F13)</t>
      </text>
    </comment>
    <comment ref="D41" authorId="0">
      <text>
        <t xml:space="preserve">Cited for D41:D42
9.10 Compliance_Certificate_FY25_Q4.pdf (page 2)</t>
      </text>
    </comment>
    <comment ref="D44" authorId="0">
      <text>
        <t xml:space="preserve">9.10 Compliance_Certificate_FY25_Q4.pdf (page 2)</t>
      </text>
    </comment>
    <comment ref="D45" authorId="0">
      <text>
        <t xml:space="preserve">9.07 A&amp;R_Credit_Agreement_2024_Conformed.pdf (page 12)</t>
      </text>
    </comment>
    <comment ref="D48" authorId="0">
      <text>
        <t xml:space="preserve">9.10 Compliance_Certificate_FY25_Q4.pdf (page 2)</t>
      </text>
    </comment>
    <comment ref="D59" authorId="0">
      <text>
        <t xml:space="preserve">9.07 A&amp;R_Credit_Agreement_2024_Conformed.pdf (page 49)</t>
      </text>
    </comment>
    <comment ref="D8" authorId="0">
      <text>
        <t xml:space="preserve">2.09 Q1_FY26_Consolidated Financial Statements.xlsx (Q1 FY26 CF A22:B22)</t>
      </text>
    </comment>
    <comment ref="D9" authorId="0">
      <text>
        <t xml:space="preserve">2.06 FY26_Budget_and_Long-Range_Plan_FY26-FY30_v3.2.xlsx (3. Development Capex A5:B12)</t>
      </text>
    </comment>
    <comment ref="E41" authorId="0">
      <text>
        <t xml:space="preserve">2.09 Q1_FY26_Consolidated Financial Statements.xlsx (Roll-forwards A44:B44)</t>
      </text>
    </comment>
    <comment ref="E42" authorId="0">
      <text>
        <t xml:space="preserve">2.09 Q1_FY26_Consolidated Financial Statements.xlsx (Q1 FY26 BS A26:B26)</t>
      </text>
    </comment>
    <comment ref="E44" authorId="0">
      <text>
        <t xml:space="preserve">2.09 Q1_FY26_Consolidated Financial Statements.xlsx (Q1 FY26 BS A7:B7)</t>
      </text>
    </comment>
    <comment ref="E65" authorId="0">
      <text>
        <t xml:space="preserve">9.08 Amendment_No_1_to_Credit_Agreement_Executed.pdf (page 2)</t>
      </text>
    </comment>
    <comment ref="E68" authorId="0">
      <text>
        <t xml:space="preserve">9.10 Compliance_Certificate_FY25_Q4.pdf (page 2)</t>
      </text>
    </comment>
    <comment ref="F53" authorId="0">
      <text>
        <t xml:space="preserve">2.05 Management_Accounts_FY25_Monthly_v3.xlsx (Cash Flow (FY25 and Q1 FY26) A11:D11)</t>
      </text>
    </comment>
    <comment ref="F54" authorId="0">
      <text>
        <t xml:space="preserve">2.09 Q1_FY26_Consolidated Financial Statements.xlsx (Q1 FY26 CF A11:B11)</t>
      </text>
    </comment>
    <comment ref="P37" authorId="0">
      <text>
        <t xml:space="preserve">Cited for H37:P37
4.06 PHX_II_Construction_Budget_and_Draw_Schedule.xlsx (Draw Schedule A30:E38)</t>
      </text>
    </comment>
  </commentList>
</comments>
</file>

<file path=xl/sharedStrings.xml><?xml version="1.0" encoding="utf-8"?>
<sst xmlns="http://schemas.openxmlformats.org/spreadsheetml/2006/main" count="357" uniqueCount="357">
  <si>
    <t>Ironvale portfolio monitoring: monthly and quarterly P&amp;L, actual vs budget vs prior year</t>
  </si>
  <si>
    <t>Illustrative: Ironvale Digital Infrastructure is a fictional company (PE Bench)</t>
  </si>
  <si>
    <t>US$ millions. FY25 monthly actuals are the prior year per the FY25 management accounts (2.05). Q1 FY26 actual and budget per the Q1 FY26 flash report (2.07), which reports the quarter only: no FY26 monthly split or monthly budget phasing is in the data room. Costs are negative.</t>
  </si>
  <si>
    <t>A. INCOME STATEMENT TO ADJUSTED EBITDA (MANAGEMENT DEFINITION)</t>
  </si>
  <si>
    <t>Line</t>
  </si>
  <si>
    <t>Lease &amp; colocation revenue</t>
  </si>
  <si>
    <t>Metered power reimbursements</t>
  </si>
  <si>
    <t>Interconnection &amp; cross-connects</t>
  </si>
  <si>
    <t>Managed &amp; other services</t>
  </si>
  <si>
    <t>Total revenue</t>
  </si>
  <si>
    <t>Property operating expenses (incl. power at cost)</t>
  </si>
  <si>
    <t>Property taxes &amp; insurance</t>
  </si>
  <si>
    <t>Ground rent (RNO I)</t>
  </si>
  <si>
    <t>Net operating income (NOI)</t>
  </si>
  <si>
    <t>NOI margin (%)</t>
  </si>
  <si>
    <t>General &amp; administrative</t>
  </si>
  <si>
    <t>Other income &amp; adjustments</t>
  </si>
  <si>
    <t>Adjusted EBITDA (management definition)</t>
  </si>
  <si>
    <t>Adjusted EBITDA margin (%)</t>
  </si>
  <si>
    <t>Memo: non-recurring / transaction costs (excluded above)</t>
  </si>
  <si>
    <t>Memo: interest income on cash inside other income</t>
  </si>
  <si>
    <t>B. POWER MARGIN</t>
  </si>
  <si>
    <t>Metered power reimbursements billed</t>
  </si>
  <si>
    <t>Power cost as booked</t>
  </si>
  <si>
    <t>Power margin as booked</t>
  </si>
  <si>
    <t>FY25 utility cost per interval data (annual)</t>
  </si>
  <si>
    <t>Power cost not recovered, interval-data basis</t>
  </si>
  <si>
    <t>Not recovered as % of reimbursements</t>
  </si>
  <si>
    <t>Q1 FY25</t>
  </si>
  <si>
    <t>Q2 FY25</t>
  </si>
  <si>
    <t>Q3 FY25</t>
  </si>
  <si>
    <t>Q4 FY25</t>
  </si>
  <si>
    <t>FY25</t>
  </si>
  <si>
    <t>Q1 FY26 actual</t>
  </si>
  <si>
    <t>Q1 FY26 budget</t>
  </si>
  <si>
    <t>Var vs budget</t>
  </si>
  <si>
    <t>Var vs Q1 FY25</t>
  </si>
  <si>
    <t>Source (document and page)</t>
  </si>
  <si>
    <t>Mgmt accounts FY25 (2.05) P&amp;L (Monthly) rows 6-9; Q1 FY26 flash (2.07) Q1 FY26 Flash rows 6-9</t>
  </si>
  <si>
    <t>Mgmt accounts FY25 (2.05) P&amp;L (Monthly) row 7; flash (2.07) row 7</t>
  </si>
  <si>
    <t>Mgmt accounts FY25 (2.05) P&amp;L (Monthly) row 8; flash (2.07) row 8</t>
  </si>
  <si>
    <t>Mgmt accounts FY25 (2.05) P&amp;L (Monthly) row 9; flash (2.07) row 9</t>
  </si>
  <si>
    <t>Computed</t>
  </si>
  <si>
    <t>Mgmt accounts FY25 (2.05) P&amp;L (Monthly) row 11; flash (2.07) row 11</t>
  </si>
  <si>
    <t>Mgmt accounts FY25 (2.05) P&amp;L (Monthly) row 12; flash (2.07) row 12</t>
  </si>
  <si>
    <t>Mgmt accounts FY25 (2.05) P&amp;L (Monthly) row 13; flash (2.07) row 13</t>
  </si>
  <si>
    <t>Computed; ties to flash (2.07) row 14 and 2.05 row 14</t>
  </si>
  <si>
    <t>Mgmt accounts FY25 (2.05) P&amp;L (Monthly) row 15; flash (2.07) row 15</t>
  </si>
  <si>
    <t>Mgmt accounts FY25 (2.05) P&amp;L (Monthly) row 16; flash (2.07) row 16</t>
  </si>
  <si>
    <t>Computed; ties to flash (2.07) row 17 and 2.05 row 17</t>
  </si>
  <si>
    <t>Mgmt accounts FY25 (2.05) P&amp;L (Monthly) row 20; flash (2.07) Detail by Campus row 101</t>
  </si>
  <si>
    <t>Mgmt accounts FY25 (2.05) Other Income row 7; flash (2.07) Detail by Campus row 91</t>
  </si>
  <si>
    <t>Links to row 9</t>
  </si>
  <si>
    <t>Mgmt accounts FY25 (2.05) Property Opex by Campus row 13; flash (2.07) Detail by Campus row 48 (booked equal to reimbursements)</t>
  </si>
  <si>
    <t>Power and PUE interval data FY25 (6.04), as compiled in our CIM review workings (Workings C42)</t>
  </si>
  <si>
    <t>Ironvale portfolio monitoring: quarterly operating KPIs, leasing and pipeline</t>
  </si>
  <si>
    <t>MW are critical IT MW at period end. Quarterly actuals per the KPI dashboard (3.06); Q1 FY26 budget per the flash report (2.07); FY26 year-end budget per the FY26 budget and LRP (2.06). Churn is 1 less LTM MW-weighted renewal retention.</t>
  </si>
  <si>
    <t>A. OPERATING KPI TREND</t>
  </si>
  <si>
    <t>KPI</t>
  </si>
  <si>
    <t>MW leased (period end)</t>
  </si>
  <si>
    <t>Commissioned MW (period end)</t>
  </si>
  <si>
    <t>Occupancy</t>
  </si>
  <si>
    <t>LTM renewal retention (MW-weighted)</t>
  </si>
  <si>
    <t>LTM churn (1 less retention)</t>
  </si>
  <si>
    <t>Fleet average PUE</t>
  </si>
  <si>
    <t>Uptime</t>
  </si>
  <si>
    <t>Billed base rent, annualized (as reported)</t>
  </si>
  <si>
    <t>B. PRIOR-YEAR BASIS: Q1 FY25 MW PER FLASH VS KPI DASHBOARD</t>
  </si>
  <si>
    <t>Item</t>
  </si>
  <si>
    <t>Leased MW, 31-Mar-25</t>
  </si>
  <si>
    <t>Commissioned MW, 31-Mar-25</t>
  </si>
  <si>
    <t>Occupancy, 31-Mar-25</t>
  </si>
  <si>
    <t>Leased MW growth, Q1 FY25 to Q1 FY26</t>
  </si>
  <si>
    <t>C. LEASING MOVEMENT AND FY26 PLAN GAP</t>
  </si>
  <si>
    <t>Leased MW, 31-Dec-25</t>
  </si>
  <si>
    <t>New leasing in Q1 FY26</t>
  </si>
  <si>
    <t>Churn in Q1 FY26</t>
  </si>
  <si>
    <t>Leased MW, 31-Mar-26</t>
  </si>
  <si>
    <t>Churn in FY25</t>
  </si>
  <si>
    <t>FY26 year-end leased MW budget</t>
  </si>
  <si>
    <t>of which PHX II</t>
  </si>
  <si>
    <t>MW still to lease or deliver in the remaining nine months</t>
  </si>
  <si>
    <t>of which existing campuses</t>
  </si>
  <si>
    <t>D. LEASING PIPELINE, 13-FEB-26 VS 29-MAY-26</t>
  </si>
  <si>
    <t>Active opportunities</t>
  </si>
  <si>
    <t>Active pipeline</t>
  </si>
  <si>
    <t>Probability-weighted pipeline</t>
  </si>
  <si>
    <t>Signed between reports</t>
  </si>
  <si>
    <t>PHX II remaining capacity under LOI (Hyperscaler D)</t>
  </si>
  <si>
    <t>PHX II LOI rate</t>
  </si>
  <si>
    <t>PHX II opportunity lost (Nimbus, self-build)</t>
  </si>
  <si>
    <t>Unit</t>
  </si>
  <si>
    <t>MW</t>
  </si>
  <si>
    <t>%</t>
  </si>
  <si>
    <t>x</t>
  </si>
  <si>
    <t>$M</t>
  </si>
  <si>
    <t>#</t>
  </si>
  <si>
    <t>$/kW/mo</t>
  </si>
  <si>
    <t>FY24 Q1</t>
  </si>
  <si>
    <t>Flash PY column</t>
  </si>
  <si>
    <t>Value</t>
  </si>
  <si>
    <t/>
  </si>
  <si>
    <t>FY24 Q2</t>
  </si>
  <si>
    <t>KPI dashboard</t>
  </si>
  <si>
    <t/>
  </si>
  <si>
    <t>FY24 Q3</t>
  </si>
  <si>
    <t>Difference</t>
  </si>
  <si>
    <t>Change</t>
  </si>
  <si>
    <t>FY24 Q4</t>
  </si>
  <si>
    <t>Basis used here</t>
  </si>
  <si>
    <t>FY25 Q1</t>
  </si>
  <si>
    <t>FY25 Q2</t>
  </si>
  <si>
    <t>FY25 Q3</t>
  </si>
  <si>
    <t>FY25 Q4</t>
  </si>
  <si>
    <t>FY26 Q1</t>
  </si>
  <si>
    <t>FY26 YE budget</t>
  </si>
  <si>
    <t>KPI dashboard (3.06) row 4; flash (2.07) row 21; budget and LRP (2.06) 1. Assumptions row 8</t>
  </si>
  <si>
    <t>KPI dashboard (3.06) row 5; flash (2.07) row 20; budget and LRP (2.06) 1. Assumptions row 7</t>
  </si>
  <si>
    <t>Computed (leased / commissioned)</t>
  </si>
  <si>
    <t>KPI dashboard (3.06) row 11; budget and LRP (2.06) 1. Assumptions row 14</t>
  </si>
  <si>
    <t>KPI dashboard (3.06) row 9; budget and LRP (2.06) 1. Assumptions row 21</t>
  </si>
  <si>
    <t>KPI dashboard (3.06) row 10</t>
  </si>
  <si>
    <t>KPI dashboard (3.06) row 7 and note row 14 (quarter lease revenue x 4)</t>
  </si>
  <si>
    <t>Flash (2.07) Q1 FY26 Flash row 21 col E; KPI dashboard (3.06) row 4 FY25 Q1</t>
  </si>
  <si>
    <t>Flash (2.07) row 20 col E; KPI dashboard (3.06) row 5; capacity bridge (3.04) note row 29 (no capacity commissioned in FY25)</t>
  </si>
  <si>
    <t>Flash (2.07) commentary row 29 (+13.6 MW); computed on KPI dashboard basis</t>
  </si>
  <si>
    <t>Capacity bridge (3.04) Q1 FY26 memo row 25</t>
  </si>
  <si>
    <t>Capacity bridge (3.04) row 25</t>
  </si>
  <si>
    <t>Computed; ties to flash (2.07) row 21</t>
  </si>
  <si>
    <t>Capacity bridge (3.04) FY25 total row 24</t>
  </si>
  <si>
    <t>Budget and LRP (2.06) 4. Capacity &amp; Leasing row 32</t>
  </si>
  <si>
    <t>Budget and LRP (2.06) 4. Capacity &amp; Leasing row 27</t>
  </si>
  <si>
    <t>Leasing pipeline 13-Feb-26 (4.02) Summary row 9; 29-May-26 (4.03) Summary row 12</t>
  </si>
  <si>
    <t>Same as above</t>
  </si>
  <si>
    <t>Leasing pipeline 29-May-26 (4.03) Summary row 27</t>
  </si>
  <si>
    <t>Leasing pipeline 29-May-26 (4.03) Pipeline row 5 (LOI executed 18-May-26, 75% probability)</t>
  </si>
  <si>
    <t>Leasing pipeline 29-May-26 (4.03) Pipeline row 5</t>
  </si>
  <si>
    <t>Leasing pipeline 29-May-26 (4.03) Pipeline row 6</t>
  </si>
  <si>
    <t>Ironvale portfolio monitoring: capex vs budget, PHX II and covenant headroom</t>
  </si>
  <si>
    <t/>
  </si>
  <si>
    <t>A. CAPEX VS FY26 BUDGET</t>
  </si>
  <si>
    <t>Capex paid, Q1 FY26 (development and maintenance)</t>
  </si>
  <si>
    <t>FY26 development capex budget</t>
  </si>
  <si>
    <t>FY26 maintenance capex budget</t>
  </si>
  <si>
    <t>FY26 total capex budget</t>
  </si>
  <si>
    <t>Q1 share of the year, straight-line (assumption: no phasing in the budget)</t>
  </si>
  <si>
    <t>Q1 FY26 budget, straight-line (illustrative)</t>
  </si>
  <si>
    <t>Variance vs straight-line budget (under)/over</t>
  </si>
  <si>
    <t>Share of FY26 capex budget spent in Q1</t>
  </si>
  <si>
    <t>B. PHX II (60 MW, MESA): SPEND, FY26 BUDGET AND CONTINGENCY</t>
  </si>
  <si>
    <t>Project budget</t>
  </si>
  <si>
    <t>Spent through 31-Dec-25</t>
  </si>
  <si>
    <t>Draw, Jan-26 (actual)</t>
  </si>
  <si>
    <t>Draw, Feb-26 (actual)</t>
  </si>
  <si>
    <t>Draw, Mar-26 (actual)</t>
  </si>
  <si>
    <t>PHX II spend in Q1 FY26</t>
  </si>
  <si>
    <t>Spent through 31-Mar-26</t>
  </si>
  <si>
    <t>Spent through 31-Mar-26, as reported</t>
  </si>
  <si>
    <t>Check (computed less reported)</t>
  </si>
  <si>
    <t>Remaining spend to complete at 31-Mar-26</t>
  </si>
  <si>
    <t>FY26 budget for PHX II</t>
  </si>
  <si>
    <t>FY26 budget less remaining spend at 31-Mar-26 (zero: budget leaves out Q1 spend)</t>
  </si>
  <si>
    <t>Forecast cumulative spend at 31-Dec-26</t>
  </si>
  <si>
    <t>Forecast FY26 PHX II spend</t>
  </si>
  <si>
    <t>Forecast FY26 spend over FY26 budget</t>
  </si>
  <si>
    <t>Owner contingency remaining (overdrawn)</t>
  </si>
  <si>
    <t>Disputed HVAC claim, outside the project budget</t>
  </si>
  <si>
    <t>Company accrual for the HVAC claim</t>
  </si>
  <si>
    <t>Forecast PHX II construction facility draws, Apr-26 to Dec-26</t>
  </si>
  <si>
    <t>C. SECTION 7.11 TOTAL NET LEVERAGE AND HEADROOM</t>
  </si>
  <si>
    <t>Term loans outstanding (principal)</t>
  </si>
  <si>
    <t>Construction facilities drawn</t>
  </si>
  <si>
    <t>Consolidated total debt</t>
  </si>
  <si>
    <t>Cash and cash equivalents</t>
  </si>
  <si>
    <t>Cap on unrestricted cash netted</t>
  </si>
  <si>
    <t>Unrestricted cash netted</t>
  </si>
  <si>
    <t>Consolidated total net debt</t>
  </si>
  <si>
    <t>Adjusted EBITDA, FY25 (management definition)</t>
  </si>
  <si>
    <t>plus Q1 FY26 adjusted EBITDA</t>
  </si>
  <si>
    <t>less Q1 FY25 adjusted EBITDA</t>
  </si>
  <si>
    <t>LTM adjusted EBITDA (management definition)</t>
  </si>
  <si>
    <t>less LTM interest income (definition adds back interest net of interest income)</t>
  </si>
  <si>
    <t>less straight-line rent, FY25 (non-cash gain under clause (b)(i))</t>
  </si>
  <si>
    <t>less straight-line rent, Q1 FY26</t>
  </si>
  <si>
    <t>Q1 FY25 share of FY25 straight-line rent (assumption: not disclosed by quarter)</t>
  </si>
  <si>
    <t>add back Q1 FY25 straight-line rent (estimated)</t>
  </si>
  <si>
    <t>Consolidated EBITDA for the covenant</t>
  </si>
  <si>
    <t>Total net leverage ratio</t>
  </si>
  <si>
    <t>Maximum permitted</t>
  </si>
  <si>
    <t>Headroom</t>
  </si>
  <si>
    <t>EBITDA decline before breach</t>
  </si>
  <si>
    <t>Additional net debt before breach, EBITDA held flat</t>
  </si>
  <si>
    <t>PHX II forecast facility draws, Apr-26 to Dec-26</t>
  </si>
  <si>
    <t>Debt capacity left after PHX II draws, EBITDA held flat (illustrative)</t>
  </si>
  <si>
    <t>Term loan amortization per quarter from June 2026</t>
  </si>
  <si>
    <t>CHECK</t>
  </si>
  <si>
    <t>Q4 FY25 leverage recomputed vs certificate</t>
  </si>
  <si>
    <t>Q4 FY25 certified</t>
  </si>
  <si>
    <t>Workbook</t>
  </si>
  <si>
    <t>Q1 FY26 company basis</t>
  </si>
  <si>
    <t>Certificate</t>
  </si>
  <si>
    <t>Q1 FY26 credit agreement basis</t>
  </si>
  <si>
    <t>Q1 FY26 financial statements (2.09) Q1 FY26 CF row 22</t>
  </si>
  <si>
    <t>Budget and LRP (2.06) 3. Development Capex row 12</t>
  </si>
  <si>
    <t>Budget and LRP (2.06) 1. Assumptions row 25</t>
  </si>
  <si>
    <t>Assumption</t>
  </si>
  <si>
    <t>PHX II construction budget (4.06) Budget by Division row 15</t>
  </si>
  <si>
    <t>PHX II construction budget (4.06) Draw Schedule row 26 (Dec-2025 cumulative)</t>
  </si>
  <si>
    <t>PHX II construction budget (4.06) Draw Schedule rows 27-29</t>
  </si>
  <si>
    <t>Flash (2.07) commentary row 28; PHX II budget (4.06) Budget by Division row 15</t>
  </si>
  <si>
    <t>Check</t>
  </si>
  <si>
    <t>Budget and LRP (2.06) 3. Development Capex row 6</t>
  </si>
  <si>
    <t>PHX II construction budget (4.06) Draw Schedule row 38 (Dec-2026 forecast)</t>
  </si>
  <si>
    <t>PHX II construction budget (4.06) Budget by Division row 14</t>
  </si>
  <si>
    <t>PHX II construction budget (4.06) Change Order Log row 13</t>
  </si>
  <si>
    <t>PHX II construction budget (4.06) Draw Schedule rows 30-38, facility draw column (sum of H37:P37)</t>
  </si>
  <si>
    <t>Compliance certificate FY25 Q4 (9.10) p2 line A; Q1 FY26 statements (2.09) Roll-forwards row 44</t>
  </si>
  <si>
    <t>Compliance certificate (9.10) p2 line B; Q1 FY26 statements (2.09) Q1 FY26 BS row 26</t>
  </si>
  <si>
    <t>Compliance certificate (9.10) p2 line D; Q1 FY26 statements (2.09) Q1 FY26 BS row 7</t>
  </si>
  <si>
    <t/>
  </si>
  <si>
    <t>Computed; Q4 FY25 ties to certificate line E (1,485.0)</t>
  </si>
  <si>
    <t>Compliance certificate (9.10) p2 line F; Monthly tab S20</t>
  </si>
  <si>
    <t>Monthly tab T20 (flash 2.07 row 17)</t>
  </si>
  <si>
    <t>Monthly tab O20 (2.05 Jan-Mar 2025)</t>
  </si>
  <si>
    <t/>
  </si>
  <si>
    <t/>
  </si>
  <si>
    <t>Q1 FY26 statements (2.09) Q1 FY26 CF row 11</t>
  </si>
  <si>
    <t/>
  </si>
  <si>
    <t>Links to D37</t>
  </si>
  <si>
    <t>Amendment No. 1 (9.08) p2, Section 3(b)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</si>
  <si>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</si>
  <si>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</si>
  <si>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</si>
  <si>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</si>
  <si>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</si>
  <si>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</si>
  <si>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</si>
  <si>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</si>
  <si>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</si>
  <si>
    <t>Ironvale portfolio monitoring: Q1 FY26 KPI dashboard</t>
  </si>
  <si>
    <t>Quarter ended 31-Mar-2026. US$ millions unless the unit column says otherwise. Budget is the Board-approved FY26 budget (2.06) as carried in the Q1 FY26 flash report (2.07); prior year is Q1 FY25. Flags follow the rules in the input block at the bottom of this tab; MW prior year uses the KPI dashboard (3.06), not the flash PY column (see Quarterly KPIs section B).</t>
  </si>
  <si>
    <t>KEY TAKEAWAYS</t>
  </si>
  <si>
    <t>Q1 FY26 SCORECARD: ACTUAL VS BUDGET VS PRIOR YEAR</t>
  </si>
  <si>
    <t>NOI margin</t>
  </si>
  <si>
    <t>Adjusted EBITDA margin</t>
  </si>
  <si>
    <t>Power margin as booked (reimbursements less power cost)</t>
  </si>
  <si>
    <t>Power cost not recovered, FY25 (interval data)</t>
  </si>
  <si>
    <t>MW commissioned (period end)</t>
  </si>
  <si>
    <t>Occupancy (period end)</t>
  </si>
  <si>
    <t>Churn, LTM (1 less MW-weighted retention)</t>
  </si>
  <si>
    <t>Capex paid vs straight-line FY26 budget</t>
  </si>
  <si>
    <t>PHX II FY26 spend: forecast vs FY26 budget</t>
  </si>
  <si>
    <t>LEVERAGE AND COVENANT HEADROOM (SECTION 7.11, MAXIMUM 7.50X)</t>
  </si>
  <si>
    <t>Measure</t>
  </si>
  <si>
    <t>Total net leverage, company basis</t>
  </si>
  <si>
    <t>Total net leverage, credit agreement basis (our view)</t>
  </si>
  <si>
    <t>Net debt capacity left after PHX II draws to Dec-26, company basis</t>
  </si>
  <si>
    <t>Net debt capacity left after PHX II draws to Dec-26, credit agreement basis</t>
  </si>
  <si>
    <t>FLAG RULES (INPUTS)</t>
  </si>
  <si>
    <t>Rule</t>
  </si>
  <si>
    <t>Financial and MW lines: amber floor on variance % vs budget</t>
  </si>
  <si>
    <t>Margins and occupancy: green floor on variance in points</t>
  </si>
  <si>
    <t>Margins and occupancy: amber floor on variance in points</t>
  </si>
  <si>
    <t>Churn: amber ceiling above budget, in points</t>
  </si>
  <si>
    <t>Power cost not recovered: red below</t>
  </si>
  <si>
    <t>Capex timing tolerance vs straight-line budget</t>
  </si>
  <si>
    <t>PHX II FY26 overrun: amber ceiling</t>
  </si>
  <si>
    <t>Covenant: green floor on EBITDA decline before breach</t>
  </si>
  <si>
    <t>Covenant: amber floor on EBITDA decline before breach</t>
  </si>
  <si>
    <t>Debt capacity after PHX II draws: green floor</t>
  </si>
  <si>
    <t>Debt capacity after PHX II draws: amber floor</t>
  </si>
  <si>
    <t>$M FY25</t>
  </si>
  <si>
    <t>$M FY26</t>
  </si>
  <si>
    <t>pts</t>
  </si>
  <si>
    <t>Q1 FY26</t>
  </si>
  <si>
    <t>Threshold</t>
  </si>
  <si>
    <t>Covenant maximum</t>
  </si>
  <si>
    <t>Headroom (x)</t>
  </si>
  <si>
    <t>Var % / pts</t>
  </si>
  <si>
    <t>Var vs PY</t>
  </si>
  <si>
    <t>Change vs Q4 FY25</t>
  </si>
  <si>
    <t>Var % / pts vs PY</t>
  </si>
  <si>
    <t>Flag</t>
  </si>
  <si>
    <t>Variance explained</t>
  </si>
  <si>
    <t>Ahead of budget on lease revenue (+$1.3M, mostly PHX I +$0.8M) and power pass-through (+$0.4M, no margin); interconnection and managed services each $0.1M short. Up 20.0% on Q1 FY25, of which $6.6M is power pass-through (+39% while leased MW rose 4%).</t>
  </si>
  <si>
    <t/>
  </si>
  <si>
    <t>Revenue beat less site opex $0.3M over (DFW I, CMH I, RNO I) and property taxes $0.1M over. On track.</t>
  </si>
  <si>
    <t/>
  </si>
  <si>
    <t>$0.8M ahead: NOI +$0.7M and G&amp;A $0.2M under (payroll under, incentive accrual and audit fees over), other income $0.1M short. Includes $0.8M interest income the credit agreement excludes. The Q1 statements show other income of $4.3M vs $3.8M in the flash: $0.5M to reconcile.</t>
  </si>
  <si>
    <t>In line with budget; up 1.3 pts on prior year on operating leverage.</t>
  </si>
  <si>
    <t>Booked at zero by construction: power cost is recorded equal to reimbursements in the flash and the Q1 statements, so the line cannot show leakage.</t>
  </si>
  <si>
    <t>FY25 interval data put utility cost at $92.4M vs $84.2M billed: 9.7% of power cost not recovered (house load, vacant capacity, PUE caps). Not tracked in management reporting; Q1 FY26 equivalent unknown.</t>
  </si>
  <si>
    <t>1.2 MW ahead of budget; Q1 new leasing 1.55 MW and no churn. Up 8.1 MW on the KPI dashboard prior year (194.1 MW); the flash PY column (188.6 MW) and its +13.6 MW claim do not tie to the KPI dashboard or the capacity bridge. FY26 budget needs 29.8 MW more by December, 24.5 MW of it PHX II.</t>
  </si>
  <si>
    <t>Flat at 220 MW as budgeted; no capacity added since FY24. Flash PY of 214 MW conflicts with the capacity bridge (no FY25 additions). PHX II building 1 (30 MW) due Nov-26.</t>
  </si>
  <si>
    <t>0.5 pts ahead of budget; 3.7 pts up on prior year.</t>
  </si>
  <si>
    <t>LTM retention 91.3% vs 90.0% budget, so churn is 1.3 pts better than plan. FY25 churn was 4.2 MW including Kestrel's 2.0 MW at ATL I.</t>
  </si>
  <si>
    <t>17.4% of the $435.2M FY26 budget spent vs 25% straight-line; the budget has no quarterly phasing, so this is timing. PHX II alone spent $71.0M in the quarter.</t>
  </si>
  <si>
    <t>The $206.0M FY26 budget equals the remaining spend at 31-Mar-26, so it leaves out the $71.0M spent in Q1. The draw schedule gives $248.2M for FY26. Owner contingency is overdrawn by $1.8M and a $4.6M disputed HVAC claim sits outside the budget ($1.2M accrued). The board deck calls contingency use within plan.</t>
  </si>
  <si>
    <t/>
  </si>
  <si>
    <t>Same net debt on $223.8M of EBITDA after taking out the $3.3M of LTM interest income and about $8.5M of straight-line rent that the definition excludes (Q1 FY25 straight-line rent estimated). The company certified FY25 on its management figure of $224.0M.</t>
  </si>
  <si>
    <t>$223.2M of capacity before breach at flat EBITDA, less $127.7M of forecast PHX II facility draws (Apr-Dec 2026). ATL II draws come on top. Budget EBITDA growth would widen it.</t>
  </si>
  <si>
    <t>Only $134.7M of capacity on the definition basis, almost all of it taken by the $127.7M of PHX II draws before PHX II rent starts. The plan relies on EBITDA growth to stay compliant.</t>
  </si>
  <si>
    <t>How it is applied</t>
  </si>
  <si>
    <t>Green at or above budget; amber down to this floor; red below it</t>
  </si>
  <si>
    <t>Green at or above this; amber down to the amber floor below; red below that</t>
  </si>
  <si>
    <t>See above</t>
  </si>
  <si>
    <t>Green at or below budget churn; amber up to this; red above</t>
  </si>
  <si>
    <t>Red below this; amber below zero; green at zero or better. Applies to both power rows</t>
  </si>
  <si>
    <t>Green within the tolerance; amber if under-spent beyond it (timing); red if over-spent beyond it</t>
  </si>
  <si>
    <t>Green at or under budget; amber up to this; red above</t>
  </si>
  <si>
    <t>Green at or above; amber down to the amber floor below; red below that</t>
  </si>
  <si>
    <t>Q1 FY26 flash (2.07) Q1 FY26 Flash row 10; Detail by Campus rows 7-12; mgmt accounts FY25 (2.05) P&amp;L (Monthly) row 10</t>
  </si>
  <si>
    <t/>
  </si>
  <si>
    <t>Flash (2.07) row 14; Detail by Campus rows 50-67; mgmt accounts (2.05) row 14</t>
  </si>
  <si>
    <t>Computed (Monthly tab row 17)</t>
  </si>
  <si>
    <t>Flash (2.07) row 17 and Detail by Campus rows 74-93; Q1 FY26 statements (2.09) Q1 FY26 IS rows 19 and 24</t>
  </si>
  <si>
    <t>Computed (Monthly tab row 21)</t>
  </si>
  <si>
    <t>Flash (2.07) Detail by Campus rows 16-22 and 42-48; Q1 FY26 statements (2.09) Revenue &amp; Cost Detail rows 14-21 and 36-43</t>
  </si>
  <si>
    <t>Power and PUE interval data FY25 (6.04) via our CIM review workings; power cost analysis FY25 (3.07) row 10</t>
  </si>
  <si>
    <t>Flash (2.07) row 21; KPI dashboard (3.06) row 4; capacity bridge (3.04) row 25; budget and LRP (2.06) 4. Capacity &amp; Leasing rows 27 and 32</t>
  </si>
  <si>
    <t>Flash (2.07) row 20; KPI dashboard (3.06) row 5; capacity bridge (3.04) note row 29</t>
  </si>
  <si>
    <t>Computed (Quarterly KPIs row 10)</t>
  </si>
  <si>
    <t>KPI dashboard (3.06) row 11; budget and LRP (2.06) 1. Assumptions row 14; capacity bridge (3.04) Renewal &amp; Retention row 6</t>
  </si>
  <si>
    <t>Q1 FY26 statements (2.09) Q1 FY26 CF row 22; budget and LRP (2.06) 3. Development Capex row 12 and 1. Assumptions row 25</t>
  </si>
  <si>
    <t>PHX II construction budget (4.06) Budget by Division rows 14-15, Draw Schedule rows 26-38, Change Order Log row 13; budget and LRP (2.06) 3. Development Capex row 6; board deck May 2026 (10.03) p3</t>
  </si>
  <si>
    <t>Compliance certificate FY25 Q4 (9.10) p2; Q1 FY26 statements (2.09) Q1 FY26 BS rows 7 and 26, Roll-forwards row 44; credit agreement (9.07) p49</t>
  </si>
  <si>
    <t>Credit agreement (9.07) p11-12, Consolidated EBITDA and Consolidated Interest Charges; Q1 FY26 statements (2.09) Q1 FY26 CF row 11; mgmt accounts (2.05) Cash Flow row 11</t>
  </si>
  <si>
    <t>PHX II construction budget (4.06) Draw Schedule rows 30-38</t>
  </si>
  <si>
    <t>PHX II construction budget (4.06) Draw Schedule rows 30-38; credit agreement (9.07) p11-12</t>
  </si>
  <si>
    <t>C. FY26 LEASE REVENUE RUN-RATE CHECK</t>
  </si>
  <si>
    <t>FY26 lease &amp; colocation revenue budget</t>
  </si>
  <si>
    <t>of which driver build at in-place rate</t>
  </si>
  <si>
    <t>Bridge to plan above the driver build (commencement timing, straight-line and other)</t>
  </si>
  <si>
    <t>Q1 FY26 lease revenue annualized (x 4)</t>
  </si>
  <si>
    <t>Shortfall of the Q1 run-rate to the FY26 budget</t>
  </si>
  <si>
    <t>Average lease revenue needed per quarter in Q2-Q4 FY26</t>
  </si>
  <si>
    <t>Budget and LRP (2.06) 2. P&amp;L row 6</t>
  </si>
  <si>
    <t>Budget and LRP (2.06) 5. Revenue Build row 19</t>
  </si>
  <si>
    <t>Computed (2.06 5. Revenue Build row 21)</t>
  </si>
  <si>
    <t>US$ millions unless the unit column says otherwise. The FY26 budget (2.06) is annual only, so the Q1 capex comparison uses straight-line phasing, labelled an assumption. Covenant per Section 7.11 of the amended and restated credit agreement (9.07, conformed through Amendment No. 1); page numbers are pdf pages.</t>
  </si>
  <si>
    <t>Credit agreement (9.07) p12, Consolidated Total Net Debt</t>
  </si>
  <si>
    <t>Credit agreement (9.07) p12, Consolidated Interest Charges; Monthly tab row 23</t>
  </si>
  <si>
    <t>Credit agreement (9.07) p11, Consolidated EBITDA clause (b)(i); mgmt accounts (2.05) Cash Flow row 11</t>
  </si>
  <si>
    <t>Credit agreement (9.07) p49, Section 7.11; Amendment No. 1 (9.08) p2 leaves it at 7.50x</t>
  </si>
  <si>
    <t>PHX I +$0.8M, NOVA I +$0.2M, ATL I +$0.2M vs budget on earlier colo commencements. The Q1 run-rate of $331.6M a year is $29.4M short of the $361.0M FY26 budget, which sits $43.5M above the driver build: Q2-Q4 must average $92.7M a quarter vs $82.9M in Q1 (Monthly tab section C).</t>
  </si>
  <si>
    <t>Margin 0.2 pts under budget and 0.3 pts under prior year as pass-through power, which carries no margin, grows faster than rent.</t>
  </si>
  <si>
    <t>Net debt $1,543.8M (term loans $1,150.0M plus construction facilities $485.0M, less $91.2M cash) on LTM adjusted EBITDA of $235.6M. Down from 6.63x at Q4 FY25: LTM EBITDA rose $11.6M while net debt rose $58.8M on construction draws.</t>
  </si>
  <si>
    <t>Flash (2.07) row 6; Detail by Campus rows 7-13; budget and LRP (2.06) 2. P&amp;L row 6 and 5. Revenue Build rows 19-21</t>
  </si>
  <si>
    <t>quarters in a year</t>
  </si>
  <si>
    <t>quarters left in FY26</t>
  </si>
  <si>
    <t/>
  </si>
  <si>
    <t>PHX II draws Apr-Dec 26</t>
  </si>
  <si>
    <t>Capacity, credit agreement basis</t>
  </si>
  <si>
    <t>Capacity, company basis</t>
  </si>
  <si>
    <t>Links to F62</t>
  </si>
  <si>
    <t>Links to E62</t>
  </si>
  <si>
    <t>D. CHART DATA: NET DEBT CAPACITY VS PHX II DRAWS ($M)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</si>
</sst>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#,##0.0;(#,##0.0);0.0"/>
    <numFmt numFmtId="165" formatCode="0.0%;(0.0%);0.0%"/>
    <numFmt numFmtId="166" formatCode="dd-mmm-yy"/>
    <numFmt numFmtId="167" formatCode="0.0000"/>
    <numFmt numFmtId="168" formatCode="#,##0.00;(#,##0.00);0.00"/>
    <numFmt numFmtId="169" formatCode="0;(0);0"/>
    <numFmt numFmtId="170" formatCode="$#,##0"/>
    <numFmt numFmtId="171" formatCode="0.00&quot;x&quot;;(0.00&quot;x&quot;)"/>
    <numFmt numFmtId="172" formatCode="#,##0.000"/>
    <numFmt numFmtId="173" formatCode="0.00&quot;x&quot;;(0.00&quot;x&quot;);0.00&quot;x&quot;"/>
    <numFmt numFmtId="174" formatCode="0.0;(0.0);0.0"/>
    <numFmt numFmtId="175" formatCode="#,##0.0;(#,##0.0)"/>
  </numFmts>
  <fonts count="16">
    <font>
      <sz val="10"/>
      <color rgb="FF000000"/>
      <name val="Arial"/>
      <family val="2"/>
    </font>
    <font>
      <sz val="10"/>
      <color rgb="FF1A1A1A"/>
      <name val="Arial"/>
      <family val="2"/>
    </font>
    <font>
      <b/>
      <sz val="10"/>
      <color rgb="FF1A1A1A"/>
      <name val="Arial"/>
      <family val="2"/>
    </font>
    <font>
      <b/>
      <sz val="12"/>
      <color rgb="FF1A1A1A"/>
      <name val="Arial"/>
      <family val="2"/>
    </font>
    <font>
      <i/>
      <sz val="10"/>
      <color rgb="FF1A1A1A"/>
      <name val="Arial"/>
      <family val="2"/>
    </font>
    <font>
      <i/>
      <sz val="10"/>
      <color rgb="FFC0392B"/>
      <name val="Arial"/>
      <family val="2"/>
    </font>
    <font>
      <i/>
      <sz val="10"/>
      <color rgb="FF646464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i/>
      <sz val="10"/>
      <color rgb="FF595959"/>
      <name val="Arial"/>
      <family val="2"/>
    </font>
    <font>
      <b/>
      <i/>
      <sz val="10"/>
      <color rgb="FF595959"/>
      <name val="Arial"/>
      <family val="2"/>
    </font>
    <font>
      <sz val="10"/>
      <color rgb="FF008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2F0EC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EAF0F7"/>
        <bgColor indexed="64"/>
      </patternFill>
    </fill>
    <fill>
      <patternFill patternType="solid">
        <fgColor rgb="FFFFF2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FF7F7F7F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/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000000"/>
      </top>
      <bottom style="thin">
        <color rgb="FFD9D9D9"/>
      </bottom>
      <diagonal/>
    </border>
  </borders>
  <cellStyleXfs count="1">
    <xf borderId="0" fillId="0" fontId="0" numFmtId="0" applyAlignment="1" applyFont="1" applyFill="1"/>
  </cellStyleXfs>
  <cellXfs count="110">
    <xf xfId="0" borderId="0" fillId="0" fontId="0" numFmtId="0"/>
    <xf xfId="0" borderId="0" fillId="0" fontId="1" numFmtId="0" applyAlignment="1" applyFont="1">
      <alignment vertical="top"/>
    </xf>
    <xf xfId="0" borderId="0" fillId="0" fontId="3" numFmtId="0" applyAlignment="1" applyFont="1">
      <alignment vertical="top"/>
    </xf>
    <xf xfId="0" borderId="0" fillId="0" fontId="5" numFmtId="0" applyAlignment="1" applyFont="1">
      <alignment vertical="top"/>
    </xf>
    <xf xfId="0" borderId="0" fillId="0" fontId="1" numFmtId="0" applyAlignment="1" applyFont="1">
      <alignment wrapText="1" vertical="top"/>
    </xf>
    <xf xfId="0" borderId="0" fillId="0" fontId="6" numFmtId="0" applyAlignment="1" applyFont="1">
      <alignment wrapText="1" vertical="top"/>
    </xf>
    <xf xfId="0" borderId="0" fillId="2" fontId="7" numFmtId="0" applyAlignment="1" applyFont="1" applyFill="1">
      <alignment vertical="top"/>
    </xf>
    <xf xfId="0" borderId="2" fillId="3" fontId="2" numFmtId="0" applyAlignment="1" applyFont="1" applyFill="1">
      <alignment wrapText="1" vertical="center"/>
    </xf>
    <xf xfId="0" borderId="2" fillId="3" fontId="2" numFmtId="17" applyAlignment="1" applyFont="1" applyFill="1">
      <alignment wrapText="1" horizontal="right" vertical="center"/>
    </xf>
    <xf xfId="0" borderId="2" fillId="3" fontId="2" numFmtId="0" applyAlignment="1" applyFont="1" applyFill="1">
      <alignment wrapText="1" horizontal="right" vertical="center"/>
    </xf>
    <xf xfId="0" borderId="5" fillId="0" fontId="1" numFmtId="0" applyAlignment="1" applyFont="1">
      <alignment vertical="top"/>
    </xf>
    <xf xfId="0" borderId="7" fillId="0" fontId="1" numFmtId="0" applyAlignment="1" applyFont="1">
      <alignment vertical="top"/>
    </xf>
    <xf xfId="0" borderId="5" fillId="0" fontId="1" numFmtId="164" applyAlignment="1" applyFont="1">
      <alignment vertical="top"/>
    </xf>
    <xf xfId="0" borderId="7" fillId="0" fontId="1" numFmtId="164" applyAlignment="1" applyFont="1">
      <alignment vertical="top"/>
    </xf>
    <xf xfId="0" borderId="7" fillId="0" fontId="1" numFmtId="165" applyAlignment="1" applyFont="1">
      <alignment vertical="top"/>
    </xf>
    <xf xfId="0" borderId="5" fillId="0" fontId="8" numFmtId="164" applyAlignment="1" applyFont="1">
      <alignment vertical="top"/>
    </xf>
    <xf xfId="0" borderId="7" fillId="0" fontId="8" numFmtId="164" applyAlignment="1" applyFont="1">
      <alignment vertical="top"/>
    </xf>
    <xf xfId="0" borderId="7" fillId="0" fontId="8" numFmtId="1" applyAlignment="1" applyFont="1">
      <alignment vertical="top"/>
    </xf>
    <xf xfId="0" borderId="7" fillId="0" fontId="2" numFmtId="0" applyAlignment="1" applyFont="1">
      <alignment vertical="top"/>
    </xf>
    <xf xfId="0" borderId="7" fillId="0" fontId="2" numFmtId="164" applyAlignment="1" applyFont="1">
      <alignment vertical="top"/>
    </xf>
    <xf xfId="0" borderId="9" fillId="0" fontId="2" numFmtId="0" applyAlignment="1" applyFont="1">
      <alignment vertical="top"/>
    </xf>
    <xf xfId="0" borderId="9" fillId="0" fontId="2" numFmtId="164" applyAlignment="1" applyFont="1">
      <alignment vertical="top"/>
    </xf>
    <xf xfId="0" borderId="7" fillId="0" fontId="4" numFmtId="0" applyAlignment="1" applyFont="1">
      <alignment vertical="top"/>
    </xf>
    <xf xfId="0" borderId="7" fillId="0" fontId="4" numFmtId="165" applyAlignment="1" applyFont="1">
      <alignment vertical="top"/>
    </xf>
    <xf xfId="0" borderId="5" fillId="4" fontId="1" numFmtId="164" applyAlignment="1" applyFont="1" applyFill="1">
      <alignment vertical="top"/>
    </xf>
    <xf xfId="0" borderId="7" fillId="4" fontId="1" numFmtId="164" applyAlignment="1" applyFont="1" applyFill="1">
      <alignment vertical="top"/>
    </xf>
    <xf xfId="0" borderId="9" fillId="4" fontId="2" numFmtId="164" applyAlignment="1" applyFont="1" applyFill="1">
      <alignment vertical="top"/>
    </xf>
    <xf xfId="0" borderId="7" fillId="4" fontId="4" numFmtId="165" applyAlignment="1" applyFont="1" applyFill="1">
      <alignment vertical="top"/>
    </xf>
    <xf xfId="0" borderId="0" fillId="4" fontId="1" numFmtId="0" applyAlignment="1" applyFont="1" applyFill="1">
      <alignment vertical="top"/>
    </xf>
    <xf xfId="0" borderId="7" fillId="4" fontId="8" numFmtId="164" applyAlignment="1" applyFont="1" applyFill="1">
      <alignment vertical="top"/>
    </xf>
    <xf xfId="0" borderId="7" fillId="4" fontId="2" numFmtId="164" applyAlignment="1" applyFont="1" applyFill="1">
      <alignment vertical="top"/>
    </xf>
    <xf xfId="0" borderId="7" fillId="4" fontId="1" numFmtId="0" applyAlignment="1" applyFont="1" applyFill="1">
      <alignment vertical="top"/>
    </xf>
    <xf xfId="0" borderId="7" fillId="4" fontId="1" numFmtId="165" applyAlignment="1" applyFont="1" applyFill="1">
      <alignment vertical="top"/>
    </xf>
    <xf xfId="0" borderId="5" fillId="5" fontId="8" numFmtId="164" applyAlignment="1" applyFont="1" applyFill="1">
      <alignment vertical="top"/>
    </xf>
    <xf xfId="0" borderId="7" fillId="5" fontId="8" numFmtId="164" applyAlignment="1" applyFont="1" applyFill="1">
      <alignment vertical="top"/>
    </xf>
    <xf xfId="0" borderId="9" fillId="5" fontId="2" numFmtId="164" applyAlignment="1" applyFont="1" applyFill="1">
      <alignment vertical="top"/>
    </xf>
    <xf xfId="0" borderId="7" fillId="5" fontId="4" numFmtId="165" applyAlignment="1" applyFont="1" applyFill="1">
      <alignment vertical="top"/>
    </xf>
    <xf xfId="0" borderId="0" fillId="5" fontId="1" numFmtId="0" applyAlignment="1" applyFont="1" applyFill="1">
      <alignment vertical="top"/>
    </xf>
    <xf xfId="0" borderId="5" fillId="5" fontId="1" numFmtId="164" applyAlignment="1" applyFont="1" applyFill="1">
      <alignment vertical="top"/>
    </xf>
    <xf xfId="0" borderId="7" fillId="5" fontId="1" numFmtId="164" applyAlignment="1" applyFont="1" applyFill="1">
      <alignment vertical="top"/>
    </xf>
    <xf xfId="0" borderId="7" fillId="5" fontId="2" numFmtId="164" applyAlignment="1" applyFont="1" applyFill="1">
      <alignment vertical="top"/>
    </xf>
    <xf xfId="0" borderId="7" fillId="5" fontId="1" numFmtId="0" applyAlignment="1" applyFont="1" applyFill="1">
      <alignment vertical="top"/>
    </xf>
    <xf xfId="0" borderId="5" fillId="0" fontId="9" numFmtId="0" applyAlignment="1" applyFont="1">
      <alignment vertical="top"/>
    </xf>
    <xf xfId="0" borderId="7" fillId="0" fontId="9" numFmtId="0" applyAlignment="1" applyFont="1">
      <alignment vertical="top"/>
    </xf>
    <xf xfId="0" borderId="2" fillId="3" fontId="12" numFmtId="0" applyAlignment="1" applyFont="1" applyFill="1">
      <alignment wrapText="1" vertical="center"/>
    </xf>
    <xf xfId="0" borderId="5" fillId="0" fontId="11" numFmtId="0" applyAlignment="1" applyFont="1">
      <alignment wrapText="1" vertical="top"/>
    </xf>
    <xf xfId="0" borderId="7" fillId="0" fontId="11" numFmtId="0" applyAlignment="1" applyFont="1">
      <alignment wrapText="1" vertical="top"/>
    </xf>
    <xf xfId="0" borderId="0" fillId="0" fontId="11" numFmtId="0" applyAlignment="1" applyFont="1">
      <alignment wrapText="1" vertical="top"/>
    </xf>
    <xf xfId="0" borderId="0" fillId="2" fontId="12" numFmtId="0" applyAlignment="1" applyFont="1" applyFill="1">
      <alignment wrapText="1" vertical="top"/>
    </xf>
    <xf xfId="0" borderId="2" fillId="3" fontId="2" numFmtId="166" applyAlignment="1" applyFont="1" applyFill="1">
      <alignment wrapText="1" horizontal="right" vertical="center"/>
    </xf>
    <xf xfId="0" borderId="7" fillId="0" fontId="1" numFmtId="2" applyAlignment="1" applyFont="1">
      <alignment vertical="top"/>
    </xf>
    <xf xfId="0" borderId="7" fillId="0" fontId="1" numFmtId="167" applyAlignment="1" applyFont="1">
      <alignment vertical="top"/>
    </xf>
    <xf xfId="0" borderId="7" fillId="0" fontId="1" numFmtId="168" applyAlignment="1" applyFont="1">
      <alignment vertical="top"/>
    </xf>
    <xf xfId="0" borderId="5" fillId="0" fontId="1" numFmtId="169" applyAlignment="1" applyFont="1">
      <alignment vertical="top"/>
    </xf>
    <xf xfId="0" borderId="7" fillId="0" fontId="8" numFmtId="165" applyAlignment="1" applyFont="1">
      <alignment vertical="top"/>
    </xf>
    <xf xfId="0" borderId="7" fillId="0" fontId="8" numFmtId="2" applyAlignment="1" applyFont="1">
      <alignment vertical="top"/>
    </xf>
    <xf xfId="0" borderId="7" fillId="0" fontId="8" numFmtId="167" applyAlignment="1" applyFont="1">
      <alignment vertical="top"/>
    </xf>
    <xf xfId="0" borderId="5" fillId="0" fontId="8" numFmtId="168" applyAlignment="1" applyFont="1">
      <alignment vertical="top"/>
    </xf>
    <xf xfId="0" borderId="7" fillId="0" fontId="8" numFmtId="168" applyAlignment="1" applyFont="1">
      <alignment vertical="top"/>
    </xf>
    <xf xfId="0" borderId="5" fillId="0" fontId="8" numFmtId="169" applyAlignment="1" applyFont="1">
      <alignment vertical="top"/>
    </xf>
    <xf xfId="0" borderId="7" fillId="0" fontId="8" numFmtId="170" applyAlignment="1" applyFont="1">
      <alignment vertical="top"/>
    </xf>
    <xf xfId="0" borderId="5" fillId="0" fontId="1" numFmtId="0" applyAlignment="1" applyFont="1">
      <alignment horizontal="center" vertical="top"/>
    </xf>
    <xf xfId="0" borderId="7" fillId="0" fontId="1" numFmtId="0" applyAlignment="1" applyFont="1">
      <alignment horizontal="center" vertical="top"/>
    </xf>
    <xf xfId="0" borderId="7" fillId="0" fontId="2" numFmtId="165" applyAlignment="1" applyFont="1">
      <alignment vertical="top"/>
    </xf>
    <xf xfId="0" borderId="7" fillId="0" fontId="2" numFmtId="168" applyAlignment="1" applyFont="1">
      <alignment vertical="top"/>
    </xf>
    <xf xfId="0" borderId="9" fillId="0" fontId="2" numFmtId="168" applyAlignment="1" applyFont="1">
      <alignment vertical="top"/>
    </xf>
    <xf xfId="0" borderId="7" fillId="5" fontId="2" numFmtId="165" applyAlignment="1" applyFont="1" applyFill="1">
      <alignment vertical="top"/>
    </xf>
    <xf xfId="0" borderId="7" fillId="5" fontId="8" numFmtId="165" applyAlignment="1" applyFont="1" applyFill="1">
      <alignment vertical="top"/>
    </xf>
    <xf xfId="0" borderId="7" fillId="5" fontId="1" numFmtId="165" applyAlignment="1" applyFont="1" applyFill="1">
      <alignment vertical="top"/>
    </xf>
    <xf xfId="0" borderId="7" fillId="5" fontId="8" numFmtId="2" applyAlignment="1" applyFont="1" applyFill="1">
      <alignment vertical="top"/>
    </xf>
    <xf xfId="0" borderId="7" fillId="5" fontId="8" numFmtId="167" applyAlignment="1" applyFont="1" applyFill="1">
      <alignment vertical="top"/>
    </xf>
    <xf xfId="0" borderId="0" fillId="2" fontId="7" numFmtId="0" applyAlignment="1" applyFont="1" applyFill="1">
      <alignment horizontal="right" vertical="top"/>
    </xf>
    <xf xfId="0" borderId="0" fillId="0" fontId="1" numFmtId="164" applyAlignment="1" applyFont="1">
      <alignment vertical="top"/>
    </xf>
    <xf xfId="0" borderId="0" fillId="2" fontId="7" numFmtId="164" applyAlignment="1" applyFont="1" applyFill="1">
      <alignment vertical="top"/>
    </xf>
    <xf xfId="0" borderId="2" fillId="3" fontId="2" numFmtId="164" applyAlignment="1" applyFont="1" applyFill="1">
      <alignment wrapText="1" horizontal="right" vertical="center"/>
    </xf>
    <xf xfId="0" borderId="7" fillId="0" fontId="1" numFmtId="171" applyAlignment="1" applyFont="1">
      <alignment vertical="top"/>
    </xf>
    <xf xfId="0" borderId="5" fillId="0" fontId="1" numFmtId="173" applyAlignment="1" applyFont="1">
      <alignment vertical="top"/>
    </xf>
    <xf xfId="0" borderId="0" fillId="0" fontId="8" numFmtId="164" applyAlignment="1" applyFont="1">
      <alignment vertical="top"/>
    </xf>
    <xf xfId="0" borderId="7" fillId="0" fontId="8" numFmtId="171" applyAlignment="1" applyFont="1">
      <alignment vertical="top"/>
    </xf>
    <xf xfId="0" borderId="7" fillId="0" fontId="8" numFmtId="172" applyAlignment="1" applyFont="1">
      <alignment vertical="top"/>
    </xf>
    <xf xfId="0" borderId="5" fillId="0" fontId="8" numFmtId="173" applyAlignment="1" applyFont="1">
      <alignment vertical="top"/>
    </xf>
    <xf xfId="0" borderId="7" fillId="6" fontId="8" numFmtId="165" applyAlignment="1" applyFont="1" applyFill="1">
      <alignment vertical="top"/>
    </xf>
    <xf xfId="0" borderId="7" fillId="0" fontId="13" numFmtId="164" applyAlignment="1" applyFont="1">
      <alignment vertical="top"/>
    </xf>
    <xf xfId="0" borderId="7" fillId="0" fontId="2" numFmtId="171" applyAlignment="1" applyFont="1">
      <alignment vertical="top"/>
    </xf>
    <xf xfId="0" borderId="0" fillId="0" fontId="9" numFmtId="0" applyAlignment="1" applyFont="1">
      <alignment horizontal="right" vertical="top"/>
    </xf>
    <xf xfId="0" borderId="2" fillId="3" fontId="2" numFmtId="0" applyAlignment="1" applyFont="1" applyFill="1">
      <alignment wrapText="1" horizontal="center" vertical="center"/>
    </xf>
    <xf xfId="0" borderId="5" fillId="0" fontId="1" numFmtId="165" applyAlignment="1" applyFont="1">
      <alignment vertical="top"/>
    </xf>
    <xf xfId="0" borderId="7" fillId="0" fontId="1" numFmtId="174" applyAlignment="1" applyFont="1">
      <alignment vertical="top"/>
    </xf>
    <xf xfId="0" borderId="5" fillId="0" fontId="1" numFmtId="171" applyAlignment="1" applyFont="1">
      <alignment vertical="top"/>
    </xf>
    <xf xfId="0" borderId="5" fillId="0" fontId="13" numFmtId="164" applyAlignment="1" applyFont="1">
      <alignment vertical="top"/>
    </xf>
    <xf xfId="0" borderId="7" fillId="0" fontId="13" numFmtId="165" applyAlignment="1" applyFont="1">
      <alignment vertical="top"/>
    </xf>
    <xf xfId="0" borderId="5" fillId="0" fontId="13" numFmtId="171" applyAlignment="1" applyFont="1">
      <alignment vertical="top"/>
    </xf>
    <xf xfId="0" borderId="7" fillId="0" fontId="13" numFmtId="171" applyAlignment="1" applyFont="1">
      <alignment vertical="top"/>
    </xf>
    <xf xfId="0" borderId="7" fillId="0" fontId="13" numFmtId="0" applyAlignment="1" applyFont="1">
      <alignment vertical="top"/>
    </xf>
    <xf xfId="0" borderId="5" fillId="0" fontId="13" numFmtId="165" applyAlignment="1" applyFont="1">
      <alignment vertical="top"/>
    </xf>
    <xf xfId="0" borderId="5" fillId="6" fontId="8" numFmtId="165" applyAlignment="1" applyFont="1" applyFill="1">
      <alignment vertical="top"/>
    </xf>
    <xf xfId="0" borderId="7" fillId="6" fontId="8" numFmtId="164" applyAlignment="1" applyFont="1" applyFill="1">
      <alignment vertical="top"/>
    </xf>
    <xf xfId="0" borderId="0" fillId="2" fontId="7" numFmtId="0" applyAlignment="1" applyFont="1" applyFill="1">
      <alignment horizontal="center" vertical="top"/>
    </xf>
    <xf xfId="0" borderId="5" fillId="0" fontId="2" numFmtId="0" applyAlignment="1" applyFont="1">
      <alignment horizontal="center" vertical="top"/>
    </xf>
    <xf xfId="0" borderId="7" fillId="0" fontId="2" numFmtId="0" applyAlignment="1" applyFont="1">
      <alignment horizontal="center" vertical="top"/>
    </xf>
    <xf xfId="0" borderId="0" fillId="0" fontId="2" numFmtId="0" applyAlignment="1" applyFont="1">
      <alignment horizontal="center" vertical="top"/>
    </xf>
    <xf xfId="0" borderId="5" fillId="0" fontId="1" numFmtId="0" applyAlignment="1" applyFont="1">
      <alignment wrapText="1" vertical="top"/>
    </xf>
    <xf xfId="0" borderId="7" fillId="0" fontId="1" numFmtId="0" applyAlignment="1" applyFont="1">
      <alignment wrapText="1" vertical="top"/>
    </xf>
    <xf xfId="0" borderId="0" fillId="2" fontId="7" numFmtId="0" applyAlignment="1" applyFont="1" applyFill="1">
      <alignment wrapText="1" vertical="top"/>
    </xf>
    <xf xfId="0" borderId="5" fillId="0" fontId="2" numFmtId="0" applyAlignment="1" applyFont="1">
      <alignment wrapText="1" vertical="top"/>
    </xf>
    <xf xfId="0" borderId="7" fillId="0" fontId="2" numFmtId="0" applyAlignment="1" applyFont="1">
      <alignment wrapText="1" vertical="top"/>
    </xf>
    <xf xfId="0" borderId="0" fillId="0" fontId="2" numFmtId="0" applyAlignment="1" applyFont="1">
      <alignment wrapText="1" vertical="top"/>
    </xf>
    <xf xfId="0" borderId="0" fillId="2" fontId="7" numFmtId="0" applyFont="1" applyFill="1"/>
    <xf xfId="0" borderId="0" fillId="0" fontId="0" numFmtId="175"/>
    <xf xfId="0" borderId="0" fillId="0" fontId="11" numFmtId="0" applyFont="1"/>
  </cellXfs>
  <cellStyles count="1">
    <cellStyle xfId="0" name="normal" builtinId="0"/>
  </cellStyles>
  <dxfs count="3">
    <dxf>
      <font>
        <color rgb="FF1E4620"/>
      </font>
      <fill>
        <patternFill>
          <bgColor rgb="FFD9EAD3"/>
        </patternFill>
      </fill>
    </dxf>
    <dxf>
      <font>
        <color rgb="FF7F4F00"/>
      </font>
      <fill>
        <patternFill>
          <bgColor rgb="FFFCE5CD"/>
        </patternFill>
      </fill>
    </dxf>
    <dxf>
      <font>
        <color rgb="FF990000"/>
      </font>
      <fill>
        <patternFill>
          <bgColor rgb="FFF4CCCC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theme" Target="theme/theme1.xml"/></Relationships>
</file>

<file path=xl/charts/_rels/chart1.xml.rels><?xml version="1.0" encoding="UTF-8" standalone="yes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2B5C88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C0392B"/>
              </a:solidFill>
            </c:spPr>
          </c:dPt>
          <c:dPt>
            <c:idx val="1"/>
            <c:invertIfNegative val="0"/>
            <c:bubble3D val="0"/>
            <c:spPr>
              <a:solidFill>
                <a:srgbClr val="E67E22"/>
              </a:solidFill>
            </c:spPr>
          </c:dPt>
          <c:dLbls>
            <c:numFmt formatCode="#,##0.0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'Capex &amp; Covenant'!$B$71:$B$73</c:f>
              <c:strCache>
                <c:ptCount val="3"/>
                <c:pt idx="0">
                  <c:v>PHX II draws Apr-Dec 26</c:v>
                </c:pt>
                <c:pt idx="1">
                  <c:v>Capacity, credit agreement basis</c:v>
                </c:pt>
                <c:pt idx="2">
                  <c:v>Capacity, company basis</c:v>
                </c:pt>
              </c:strCache>
            </c:strRef>
          </c:cat>
          <c:val>
            <c:numRef>
              <c:f>'Capex &amp; Covenant'!$C$71:$C$73</c:f>
              <c:numCache>
                <c:formatCode>#,##0.0;(#,##0.0)</c:formatCode>
                <c:ptCount val="3"/>
                <c:pt idx="0">
                  <c:v>127.7</c:v>
                </c:pt>
                <c:pt idx="1">
                  <c:v>134.6700000000003</c:v>
                </c:pt>
                <c:pt idx="2">
                  <c:v>223.20000000000027</c:v>
                </c:pt>
              </c:numCache>
            </c:numRef>
          </c:val>
        </c:ser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crossAx val="222222222"/>
        <c:crosses val="autoZero"/>
      </c:catAx>
      <c:valAx>
        <c:axId val="222222222"/>
        <c:scaling>
          <c:orientation val="minMax"/>
        </c:scaling>
        <c:delete val="1"/>
        <c:axPos val="l"/>
        <c:crossAx val="111111111"/>
        <c:crosses val="autoZero"/>
      </c:valAx>
    </c:plotArea>
    <c:dispBlanksAs val="gap"/>
  </c:chart>
  <c:txPr>
    <a:bodyPr/>
    <a:lstStyle/>
    <a:p>
      <a:pPr>
        <a:defRPr sz="1000">
          <a:solidFill>
            <a:srgbClr val="1A1A1A"/>
          </a:solidFill>
          <a:latin typeface="Arial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39</xdr:row>
      <xdr:rowOff>0</xdr:rowOff>
    </xdr:from>
    <xdr:to>
      <xdr:col>16</xdr:col>
      <xdr:colOff>0</xdr:colOff>
      <xdr:row>58</xdr:row>
      <xdr:rowOff>0</xdr:rowOff>
    </xdr:to>
    <xdr:graphicFrame macro="">
      <xdr:nvGraphicFramePr>
        <xdr:cNvPr id="1" name="Covenant capacity">
          <a:extLst>
            <a:ext uri="{FF2B5EF4-FFF2-40B4-BE49-F238E27FC236}">
              <a16:creationId xmlns:a16="http://schemas.microsoft.com/office/drawing/2014/main" id="{00000000-874F-4C1D-8CA1-000000000001}"/>
            </a:ext>
          </a:extLst>
        </xdr:cNvPr>
        <xdr:cNvGraphicFramePr/>
      </xdr:nvGraphicFramePr>
      <xdr:xfrm>
        <a:off x="0" y="0"/>
        <a:ext cx="4267200" cy="3619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comments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comments" Target="../comments4.xml"/><Relationship Id="rId3" Type="http://schemas.openxmlformats.org/officeDocument/2006/relationships/vmlDrawing" Target="../drawings/comments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tabSelected="1" workbookViewId="0">
      <pane xSplit="3" ySplit="14" topLeftCell="D15" activePane="bottomRight" state="frozen"/>
      <selection pane="topRight" activeCell="D1" sqref="D1"/>
      <selection pane="bottomLeft" activeCell="A15" sqref="A15"/>
      <selection pane="bottomRight" activeCell="A1" sqref="A1"/>
    </sheetView>
  </sheetViews>
  <cols>
    <col min="1" max="1" width="2.21875" customWidth="1"/>
    <col min="2" max="2" width="43.7890625" customWidth="1"/>
    <col min="3" max="3" width="9.07421875" customWidth="1"/>
    <col min="4" max="10" width="11.7890625" customWidth="1"/>
    <col min="11" max="11" width="9.50390625" customWidth="1"/>
    <col min="12" max="12" width="81.7890625" customWidth="1"/>
    <col min="13" max="13" width="49.5039062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t="s" s="2">
        <v>239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t="s" s="3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42" customHeight="1">
      <c r="A4" s="1"/>
      <c r="B4" t="s" s="5">
        <v>240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>
      <c r="A6" s="1"/>
      <c r="B6" t="s" s="6">
        <v>241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18" customHeight="1">
      <c r="A7" s="1"/>
      <c r="B7" t="str" s="4">
        <f>"1. Ahead of budget in Q1: revenue $"&amp;TEXT(D15,"0.0")&amp;"M (+$"&amp;TEXT(F15,"0.0")&amp;"M), NOI $"&amp;TEXT(D17,"0.0")&amp;"M (+$"&amp;TEXT(F17,"0.0")&amp;"M) and adjusted EBITDA $"&amp;TEXT(D19,"0.0")&amp;"M (+$"&amp;TEXT(F19,"0.0")&amp;"M); $"&amp;TEXT(Monthly!V9,"0.0")&amp;"M of the revenue beat is power pass-through at no margin, and the FY26 lease revenue budget needs $"&amp;TEXT(Monthly!T41,"0.0")&amp;"M a quarter from Q2."</f>
        <v>1. Ahead of budget in Q1: revenue $113.0M (+$1.5M), NOI $67.5M (+$0.7M) and adjusted EBITDA $62.0M (+$0.8M); $0.4M of the revenue beat is power pass-through at no margin, and the FY26 lease revenue budget needs $92.7M a quarter from Q2.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18" customHeight="1">
      <c r="A8" s="1"/>
      <c r="B8" t="str" s="4">
        <f>"2. Leasing on plan: "&amp;TEXT(D23,"0.0")&amp;" MW leased vs "&amp;TEXT(E23,"0.0")&amp;" budget, occupancy "&amp;TEXT(D25,"0.0%")&amp;". Year-on-year growth is +"&amp;TEXT(I23,"0.0")&amp;" MW on the KPI dashboard, not the +13.6 MW the flash states; "&amp;TEXT('Quarterly KPIs'!D33,"0.0")&amp;" MW must still be added by December."</f>
        <v>2. Leasing on plan: 202.2 MW leased vs 201.0 budget, occupancy 91.9%. Year-on-year growth is +8.1 MW on the KPI dashboard, not the +13.6 MW the flash states; 29.8 MW must still be added by December.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18" customHeight="1">
      <c r="A9" s="1"/>
      <c r="B9" t="str" s="4">
        <f>"3. Covenant headroom is thin: "&amp;TEXT(D32,"0.00")&amp;"x vs 7.50x on the company basis ("&amp;TEXT(G32,"0.0%")&amp;" EBITDA cushion) and "&amp;TEXT(D33,"0.00")&amp;"x on the credit agreement definition; $"&amp;TEXT('Capex &amp; Covenant'!D37,"0.0")&amp;"M of PHX II draws to December leaves $"&amp;TEXT(D35,"0.0")&amp;"M of capacity on that basis at flat EBITDA."</f>
        <v>3. Covenant headroom is thin: 6.55x vs 7.50x on the company basis (12.6% EBITDA cushion) and 6.90x on the credit agreement definition; $127.7M of PHX II draws to December leaves $7.0M of capacity on that basis at flat EBITDA.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18" customHeight="1">
      <c r="A10" s="1"/>
      <c r="B10" t="str" s="4">
        <f>"4. PHX II cash is off budget: FY26 spend forecast $"&amp;TEXT(D28,"0.0")&amp;"M vs $"&amp;TEXT(E28,"0.0")&amp;"M budget (+$"&amp;TEXT(F28,"0.0")&amp;"M) because the budget leaves out Q1 spend; contingency is overdrawn by $"&amp;TEXT(-'Capex &amp; Covenant'!D34,"0.0")&amp;"M with a $"&amp;TEXT('Capex &amp; Covenant'!D35,"0.0")&amp;"M claim outside budget."</f>
        <v>4. PHX II cash is off budget: FY26 spend forecast $248.2M vs $206.0M budget (+$42.2M) because the budget leaves out Q1 spend; contingency is overdrawn by $1.8M with a $4.6M claim outside budget.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18" customHeight="1">
      <c r="A11" s="1"/>
      <c r="B11" t="str" s="4">
        <f>"5. Power recovery is unmeasured: margin is booked at zero by construction, but FY25 interval data show $"&amp;TEXT(-D22,"0.0")&amp;"M ("&amp;TEXT(-Monthly!S32,"0.0%")&amp;") of utility cost not recovered from tenants."</f>
        <v>5. Power recovery is unmeasured: margin is booked at zero by construction, but FY25 interval data show $8.2M (9.7%) of utility cost not recovered from tenants.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>
      <c r="A13" s="1"/>
      <c r="B13" t="s" s="6">
        <v>242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>
      <c r="A14" s="1"/>
      <c r="B14" t="s" s="7">
        <v>58</v>
      </c>
      <c r="C14" t="s" s="7">
        <v>91</v>
      </c>
      <c r="D14" t="s" s="9">
        <v>33</v>
      </c>
      <c r="E14" t="s" s="9">
        <v>34</v>
      </c>
      <c r="F14" t="s" s="9">
        <v>35</v>
      </c>
      <c r="G14" t="s" s="9">
        <v>278</v>
      </c>
      <c r="H14" t="s" s="9">
        <v>28</v>
      </c>
      <c r="I14" t="s" s="9">
        <v>279</v>
      </c>
      <c r="J14" t="s" s="9">
        <v>281</v>
      </c>
      <c r="K14" t="s" s="85">
        <v>282</v>
      </c>
      <c r="L14" t="s" s="7">
        <v>283</v>
      </c>
      <c r="M14" t="s" s="7">
        <v>37</v>
      </c>
    </row>
    <row r="15">
      <c r="A15" s="1"/>
      <c r="B15" t="s" s="104">
        <v>9</v>
      </c>
      <c r="C15" t="s" s="10">
        <v>95</v>
      </c>
      <c r="D15" s="89">
        <f>Monthly!T12</f>
        <v>113</v>
      </c>
      <c r="E15" s="89">
        <f>Monthly!U12</f>
        <v>111.5</v>
      </c>
      <c r="F15" s="12">
        <f>D15-E15</f>
        <v>1.5</v>
      </c>
      <c r="G15" s="86">
        <f>F15/E15</f>
        <v>0.013452914798206279</v>
      </c>
      <c r="H15" s="89">
        <f>Monthly!O12</f>
        <v>94.15</v>
      </c>
      <c r="I15" s="12">
        <f>D15-H15</f>
        <v>18.849999999999994</v>
      </c>
      <c r="J15" s="86">
        <f>I15/H15</f>
        <v>0.20021242697822617</v>
      </c>
      <c r="K15" t="str" s="98">
        <f>IF(G15&gt;=0,"Green",IF(G15&gt;=$D$39,"Amber","Red"))</f>
        <v>Green</v>
      </c>
      <c r="L15" t="s" s="101">
        <v>284</v>
      </c>
      <c r="M15" t="s" s="45">
        <v>311</v>
      </c>
    </row>
    <row r="16">
      <c r="A16" s="1"/>
      <c r="B16" t="s" s="105">
        <v>5</v>
      </c>
      <c r="C16" t="s" s="11">
        <v>95</v>
      </c>
      <c r="D16" s="82">
        <f>Monthly!T8</f>
        <v>82.9</v>
      </c>
      <c r="E16" s="82">
        <f>Monthly!U8</f>
        <v>81.6</v>
      </c>
      <c r="F16" s="13">
        <f>D16-E16</f>
        <v>1.3000000000000114</v>
      </c>
      <c r="G16" s="14">
        <f>F16/E16</f>
        <v>0.01593137254901975</v>
      </c>
      <c r="H16" s="82">
        <f>Monthly!O8</f>
        <v>72.51</v>
      </c>
      <c r="I16" s="13">
        <f>D16-H16</f>
        <v>10.39</v>
      </c>
      <c r="J16" s="14">
        <f>I16/H16</f>
        <v>0.1432905806095711</v>
      </c>
      <c r="K16" t="str" s="99">
        <f>IF(G16&gt;=0,"Green",IF(G16&gt;=$D$39,"Amber","Red"))</f>
        <v>Green</v>
      </c>
      <c r="L16" t="s" s="102">
        <v>344</v>
      </c>
      <c r="M16" t="s" s="46">
        <v>347</v>
      </c>
    </row>
    <row r="17">
      <c r="A17" s="1"/>
      <c r="B17" t="s" s="105">
        <v>13</v>
      </c>
      <c r="C17" t="s" s="11">
        <v>95</v>
      </c>
      <c r="D17" s="82">
        <f>Monthly!T16</f>
        <v>67.49999999999999</v>
      </c>
      <c r="E17" s="82">
        <f>Monthly!U16</f>
        <v>66.80000000000001</v>
      </c>
      <c r="F17" s="13">
        <f>D17-E17</f>
        <v>0.6999999999999744</v>
      </c>
      <c r="G17" s="14">
        <f>F17/E17</f>
        <v>0.01047904191616728</v>
      </c>
      <c r="H17" s="82">
        <f>Monthly!O16</f>
        <v>56.55</v>
      </c>
      <c r="I17" s="13">
        <f>D17-H17</f>
        <v>10.949999999999989</v>
      </c>
      <c r="J17" s="14">
        <f>I17/H17</f>
        <v>0.19363395225464172</v>
      </c>
      <c r="K17" t="str" s="99">
        <f>IF(G17&gt;=0,"Green",IF(G17&gt;=$D$39,"Amber","Red"))</f>
        <v>Green</v>
      </c>
      <c r="L17" t="s" s="102">
        <v>286</v>
      </c>
      <c r="M17" t="s" s="46">
        <v>313</v>
      </c>
    </row>
    <row r="18">
      <c r="A18" s="1"/>
      <c r="B18" t="s" s="105">
        <v>243</v>
      </c>
      <c r="C18" t="s" s="11">
        <v>93</v>
      </c>
      <c r="D18" s="90">
        <f>Monthly!T17</f>
        <v>0.5973451327433628</v>
      </c>
      <c r="E18" s="90">
        <f>Monthly!U17</f>
        <v>0.599103139013453</v>
      </c>
      <c r="F18" s="14">
        <f>D18-E18</f>
        <v>-0.0017580062700902621</v>
      </c>
      <c r="G18" s="14">
        <f>F18</f>
        <v>-0.0017580062700902621</v>
      </c>
      <c r="H18" s="90">
        <f>Monthly!O17</f>
        <v>0.6006372809346786</v>
      </c>
      <c r="I18" s="14">
        <f>D18-H18</f>
        <v>-0.003292148191315847</v>
      </c>
      <c r="J18" s="14">
        <f>I18</f>
        <v>-0.003292148191315847</v>
      </c>
      <c r="K18" t="str" s="99">
        <f>IF(G18&gt;=$D$40,"Green",IF(G18&gt;=$D$41,"Amber","Red"))</f>
        <v>Green</v>
      </c>
      <c r="L18" t="s" s="102">
        <v>345</v>
      </c>
      <c r="M18" t="s" s="46">
        <v>314</v>
      </c>
    </row>
    <row r="19">
      <c r="A19" s="1"/>
      <c r="B19" t="s" s="105">
        <v>17</v>
      </c>
      <c r="C19" t="s" s="11">
        <v>95</v>
      </c>
      <c r="D19" s="82">
        <f>Monthly!T20</f>
        <v>61.999999999999986</v>
      </c>
      <c r="E19" s="82">
        <f>Monthly!U20</f>
        <v>61.20000000000001</v>
      </c>
      <c r="F19" s="13">
        <f>D19-E19</f>
        <v>0.7999999999999758</v>
      </c>
      <c r="G19" s="14">
        <f>F19/E19</f>
        <v>0.013071895424836204</v>
      </c>
      <c r="H19" s="82">
        <f>Monthly!O20</f>
        <v>50.39999999999999</v>
      </c>
      <c r="I19" s="13">
        <f>D19-H19</f>
        <v>11.599999999999994</v>
      </c>
      <c r="J19" s="14">
        <f>I19/H19</f>
        <v>0.2301587301587301</v>
      </c>
      <c r="K19" t="str" s="99">
        <f>IF(G19&gt;=0,"Green",IF(G19&gt;=$D$39,"Amber","Red"))</f>
        <v>Green</v>
      </c>
      <c r="L19" t="s" s="102">
        <v>288</v>
      </c>
      <c r="M19" t="s" s="46">
        <v>315</v>
      </c>
    </row>
    <row r="20">
      <c r="A20" s="1"/>
      <c r="B20" t="s" s="105">
        <v>244</v>
      </c>
      <c r="C20" t="s" s="11">
        <v>93</v>
      </c>
      <c r="D20" s="90">
        <f>Monthly!T21</f>
        <v>0.5486725663716813</v>
      </c>
      <c r="E20" s="90">
        <f>Monthly!U21</f>
        <v>0.5488789237668162</v>
      </c>
      <c r="F20" s="14">
        <f>D20-E20</f>
        <v>-0.00020635739513497064</v>
      </c>
      <c r="G20" s="14">
        <f>F20</f>
        <v>-0.00020635739513497064</v>
      </c>
      <c r="H20" s="90">
        <f>Monthly!O21</f>
        <v>0.5353159851301114</v>
      </c>
      <c r="I20" s="14">
        <f>D20-H20</f>
        <v>0.01335658124156991</v>
      </c>
      <c r="J20" s="14">
        <f>I20</f>
        <v>0.01335658124156991</v>
      </c>
      <c r="K20" t="str" s="99">
        <f>IF(G20&gt;=$D$40,"Green",IF(G20&gt;=$D$41,"Amber","Red"))</f>
        <v>Green</v>
      </c>
      <c r="L20" t="s" s="102">
        <v>289</v>
      </c>
      <c r="M20" t="s" s="46">
        <v>316</v>
      </c>
    </row>
    <row r="21">
      <c r="A21" s="1"/>
      <c r="B21" t="s" s="105">
        <v>245</v>
      </c>
      <c r="C21" t="s" s="11">
        <v>95</v>
      </c>
      <c r="D21" s="82">
        <f>Monthly!T29</f>
        <v>0</v>
      </c>
      <c r="E21" s="82">
        <f>Monthly!U29</f>
        <v>0</v>
      </c>
      <c r="F21" s="13">
        <f>D21-E21</f>
        <v>0</v>
      </c>
      <c r="G21" s="87">
        <f>F21</f>
        <v>0</v>
      </c>
      <c r="H21" s="82">
        <f>Monthly!O29</f>
        <v>0</v>
      </c>
      <c r="I21" s="13">
        <f>D21-H21</f>
        <v>0</v>
      </c>
      <c r="J21" s="11"/>
      <c r="K21" t="str" s="99">
        <f>IF($D$22&lt;$D$43,"Red",IF($D$22&lt;0,"Amber","Green"))</f>
        <v>Red</v>
      </c>
      <c r="L21" t="s" s="102">
        <v>290</v>
      </c>
      <c r="M21" t="s" s="46">
        <v>317</v>
      </c>
    </row>
    <row r="22">
      <c r="A22" s="1"/>
      <c r="B22" t="s" s="105">
        <v>246</v>
      </c>
      <c r="C22" t="s" s="11">
        <v>271</v>
      </c>
      <c r="D22" s="82">
        <f>Monthly!S31</f>
        <v>-8.180651999999995</v>
      </c>
      <c r="E22" s="82"/>
      <c r="F22" s="13"/>
      <c r="G22" s="13"/>
      <c r="H22" s="82"/>
      <c r="I22" s="13"/>
      <c r="J22" s="11"/>
      <c r="K22" t="str" s="99">
        <f>IF(D22&lt;$D$43,"Red",IF(D22&lt;0,"Amber","Green"))</f>
        <v>Red</v>
      </c>
      <c r="L22" t="s" s="102">
        <v>291</v>
      </c>
      <c r="M22" t="s" s="46">
        <v>318</v>
      </c>
    </row>
    <row r="23">
      <c r="A23" s="1"/>
      <c r="B23" t="s" s="105">
        <v>59</v>
      </c>
      <c r="C23" t="s" s="11">
        <v>92</v>
      </c>
      <c r="D23" s="82">
        <f>'Quarterly KPIs'!L8</f>
        <v>202.2</v>
      </c>
      <c r="E23" s="82">
        <f>'Quarterly KPIs'!M8</f>
        <v>201</v>
      </c>
      <c r="F23" s="13">
        <f>D23-E23</f>
        <v>1.1999999999999886</v>
      </c>
      <c r="G23" s="14">
        <f>F23/E23</f>
        <v>0.005970149253731287</v>
      </c>
      <c r="H23" s="82">
        <f>'Quarterly KPIs'!H8</f>
        <v>194.125</v>
      </c>
      <c r="I23" s="13">
        <f>D23-H23</f>
        <v>8.074999999999989</v>
      </c>
      <c r="J23" s="14">
        <f>I23/H23</f>
        <v>0.041596909207984485</v>
      </c>
      <c r="K23" t="str" s="99">
        <f>IF(G23&gt;=0,"Green",IF(G23&gt;=$D$39,"Amber","Red"))</f>
        <v>Green</v>
      </c>
      <c r="L23" t="s" s="102">
        <v>292</v>
      </c>
      <c r="M23" t="s" s="46">
        <v>319</v>
      </c>
    </row>
    <row r="24">
      <c r="A24" s="1"/>
      <c r="B24" t="s" s="105">
        <v>247</v>
      </c>
      <c r="C24" t="s" s="11">
        <v>92</v>
      </c>
      <c r="D24" s="82">
        <f>'Quarterly KPIs'!L9</f>
        <v>220</v>
      </c>
      <c r="E24" s="82">
        <f>'Quarterly KPIs'!M9</f>
        <v>220</v>
      </c>
      <c r="F24" s="13">
        <f>D24-E24</f>
        <v>0</v>
      </c>
      <c r="G24" s="14">
        <f>F24/E24</f>
        <v>0</v>
      </c>
      <c r="H24" s="82">
        <f>'Quarterly KPIs'!H9</f>
        <v>220</v>
      </c>
      <c r="I24" s="13">
        <f>D24-H24</f>
        <v>0</v>
      </c>
      <c r="J24" s="14">
        <f>I24/H24</f>
        <v>0</v>
      </c>
      <c r="K24" t="str" s="99">
        <f>IF(G24&gt;=0,"Green",IF(G24&gt;=$D$39,"Amber","Red"))</f>
        <v>Green</v>
      </c>
      <c r="L24" t="s" s="102">
        <v>293</v>
      </c>
      <c r="M24" t="s" s="46">
        <v>320</v>
      </c>
    </row>
    <row r="25">
      <c r="A25" s="1"/>
      <c r="B25" t="s" s="105">
        <v>248</v>
      </c>
      <c r="C25" t="s" s="11">
        <v>93</v>
      </c>
      <c r="D25" s="90">
        <f>'Quarterly KPIs'!L10</f>
        <v>0.9190909090909091</v>
      </c>
      <c r="E25" s="90">
        <f>'Quarterly KPIs'!M10</f>
        <v>0.9136363636363637</v>
      </c>
      <c r="F25" s="14">
        <f>D25-E25</f>
        <v>0.005454545454545379</v>
      </c>
      <c r="G25" s="14">
        <f>F25</f>
        <v>0.005454545454545379</v>
      </c>
      <c r="H25" s="90">
        <f>'Quarterly KPIs'!H10</f>
        <v>0.8823863636363637</v>
      </c>
      <c r="I25" s="14">
        <f>D25-H25</f>
        <v>0.03670454545454538</v>
      </c>
      <c r="J25" s="14">
        <f>I25</f>
        <v>0.03670454545454538</v>
      </c>
      <c r="K25" t="str" s="99">
        <f>IF(G25&gt;=$D$40,"Green",IF(G25&gt;=$D$41,"Amber","Red"))</f>
        <v>Green</v>
      </c>
      <c r="L25" t="s" s="102">
        <v>294</v>
      </c>
      <c r="M25" t="s" s="46">
        <v>321</v>
      </c>
    </row>
    <row r="26">
      <c r="A26" s="1"/>
      <c r="B26" t="s" s="105">
        <v>249</v>
      </c>
      <c r="C26" t="s" s="11">
        <v>93</v>
      </c>
      <c r="D26" s="90">
        <f>'Quarterly KPIs'!L12</f>
        <v>0.08699999999999997</v>
      </c>
      <c r="E26" s="90">
        <f>'Quarterly KPIs'!N12</f>
        <v>0.09999999999999998</v>
      </c>
      <c r="F26" s="14">
        <f>D26-E26</f>
        <v>-0.013000000000000012</v>
      </c>
      <c r="G26" s="14">
        <f>F26</f>
        <v>-0.013000000000000012</v>
      </c>
      <c r="H26" s="90">
        <f>'Quarterly KPIs'!H12</f>
        <v>0.09599999999999997</v>
      </c>
      <c r="I26" s="14">
        <f>D26-H26</f>
        <v>-0.009000000000000008</v>
      </c>
      <c r="J26" s="14">
        <f>I26</f>
        <v>-0.009000000000000008</v>
      </c>
      <c r="K26" t="str" s="99">
        <f>IF(G26&lt;=0,"Green",IF(G26&lt;=$D$42,"Amber","Red"))</f>
        <v>Green</v>
      </c>
      <c r="L26" t="s" s="102">
        <v>295</v>
      </c>
      <c r="M26" t="s" s="46">
        <v>322</v>
      </c>
    </row>
    <row r="27">
      <c r="A27" s="1"/>
      <c r="B27" t="s" s="105">
        <v>250</v>
      </c>
      <c r="C27" t="s" s="11">
        <v>95</v>
      </c>
      <c r="D27" s="82">
        <f>'Capex &amp; Covenant'!D8</f>
        <v>75.7</v>
      </c>
      <c r="E27" s="82">
        <f>'Capex &amp; Covenant'!D13</f>
        <v>108.8</v>
      </c>
      <c r="F27" s="13">
        <f>D27-E27</f>
        <v>-33.099999999999994</v>
      </c>
      <c r="G27" s="14">
        <f>F27/E27</f>
        <v>-0.30422794117647056</v>
      </c>
      <c r="H27" s="11"/>
      <c r="I27" s="11"/>
      <c r="J27" s="11"/>
      <c r="K27" t="str" s="99">
        <f>IF(ABS(G27)&lt;=$D$44,"Green",IF(G27&lt;0,"Amber","Red"))</f>
        <v>Amber</v>
      </c>
      <c r="L27" t="s" s="102">
        <v>296</v>
      </c>
      <c r="M27" t="s" s="46">
        <v>323</v>
      </c>
    </row>
    <row r="28">
      <c r="A28" s="1"/>
      <c r="B28" t="s" s="105">
        <v>251</v>
      </c>
      <c r="C28" t="s" s="11">
        <v>272</v>
      </c>
      <c r="D28" s="82">
        <f>'Capex &amp; Covenant'!D32</f>
        <v>248.20000000000005</v>
      </c>
      <c r="E28" s="82">
        <f>'Capex &amp; Covenant'!D29</f>
        <v>206</v>
      </c>
      <c r="F28" s="13">
        <f>D28-E28</f>
        <v>42.200000000000045</v>
      </c>
      <c r="G28" s="14">
        <f>F28/E28</f>
        <v>0.20485436893203907</v>
      </c>
      <c r="H28" s="11"/>
      <c r="I28" s="11"/>
      <c r="J28" s="11"/>
      <c r="K28" t="str" s="99">
        <f>IF(G28&lt;=0,"Green",IF(G28&lt;=$D$45,"Amber","Red"))</f>
        <v>Red</v>
      </c>
      <c r="L28" t="s" s="102">
        <v>297</v>
      </c>
      <c r="M28" t="s" s="46">
        <v>324</v>
      </c>
    </row>
    <row r="29">
      <c r="A29" s="1"/>
      <c r="B29" s="106"/>
      <c r="C29" s="1"/>
      <c r="D29" s="1"/>
      <c r="E29" s="1"/>
      <c r="F29" s="1"/>
      <c r="G29" s="1"/>
      <c r="H29" s="1"/>
      <c r="I29" s="1"/>
      <c r="J29" s="1"/>
      <c r="K29" s="100"/>
      <c r="L29" s="4"/>
      <c r="M29" s="47"/>
    </row>
    <row r="30">
      <c r="A30" s="1"/>
      <c r="B30" t="s" s="103">
        <v>252</v>
      </c>
      <c r="C30" s="6"/>
      <c r="D30" s="6"/>
      <c r="E30" s="6"/>
      <c r="F30" s="6"/>
      <c r="G30" s="6"/>
      <c r="H30" s="6"/>
      <c r="I30" s="6"/>
      <c r="J30" s="6"/>
      <c r="K30" s="97"/>
      <c r="L30" s="103"/>
      <c r="M30" s="48"/>
    </row>
    <row r="31">
      <c r="A31" s="1"/>
      <c r="B31" t="s" s="7">
        <v>253</v>
      </c>
      <c r="C31" t="s" s="7">
        <v>91</v>
      </c>
      <c r="D31" t="s" s="9">
        <v>274</v>
      </c>
      <c r="E31" t="s" s="9">
        <v>276</v>
      </c>
      <c r="F31" t="s" s="9">
        <v>277</v>
      </c>
      <c r="G31" t="s" s="9">
        <v>190</v>
      </c>
      <c r="H31" t="s" s="9">
        <v>197</v>
      </c>
      <c r="I31" t="s" s="9">
        <v>280</v>
      </c>
      <c r="J31" s="7"/>
      <c r="K31" t="s" s="85">
        <v>282</v>
      </c>
      <c r="L31" t="s" s="7">
        <v>283</v>
      </c>
      <c r="M31" t="s" s="44">
        <v>37</v>
      </c>
    </row>
    <row r="32">
      <c r="A32" s="1"/>
      <c r="B32" t="s" s="104">
        <v>254</v>
      </c>
      <c r="C32" t="s" s="10">
        <v>94</v>
      </c>
      <c r="D32" s="91">
        <f>'Capex &amp; Covenant'!E58</f>
        <v>6.552631578947367</v>
      </c>
      <c r="E32" s="91">
        <f>'Capex &amp; Covenant'!E59</f>
        <v>7.5</v>
      </c>
      <c r="F32" s="88">
        <f>E32-D32</f>
        <v>0.9473684210526327</v>
      </c>
      <c r="G32" s="94">
        <f>'Capex &amp; Covenant'!E61</f>
        <v>0.12631578947368438</v>
      </c>
      <c r="H32" s="91">
        <f>'Capex &amp; Covenant'!D58</f>
        <v>6.629464285714286</v>
      </c>
      <c r="I32" s="88">
        <f>D32-H32</f>
        <v>-0.07683270676691834</v>
      </c>
      <c r="J32" s="10"/>
      <c r="K32" t="str" s="98">
        <f>IF(G32&gt;=$D$46,"Green",IF(G32&gt;=$D$47,"Amber","Red"))</f>
        <v>Amber</v>
      </c>
      <c r="L32" t="s" s="101">
        <v>346</v>
      </c>
      <c r="M32" t="s" s="45">
        <v>325</v>
      </c>
    </row>
    <row r="33">
      <c r="A33" s="1"/>
      <c r="B33" t="s" s="105">
        <v>255</v>
      </c>
      <c r="C33" t="s" s="11">
        <v>94</v>
      </c>
      <c r="D33" s="92">
        <f>'Capex &amp; Covenant'!F58</f>
        <v>6.8982466174551815</v>
      </c>
      <c r="E33" s="92">
        <f>'Capex &amp; Covenant'!F59</f>
        <v>7.5</v>
      </c>
      <c r="F33" s="75">
        <f>E33-D33</f>
        <v>0.6017533825448185</v>
      </c>
      <c r="G33" s="90">
        <f>'Capex &amp; Covenant'!F61</f>
        <v>0.08023378433930917</v>
      </c>
      <c r="H33" s="93"/>
      <c r="I33" s="11"/>
      <c r="J33" s="11"/>
      <c r="K33" t="str" s="99">
        <f>IF(G33&gt;=$D$46,"Green",IF(G33&gt;=$D$47,"Amber","Red"))</f>
        <v>Red</v>
      </c>
      <c r="L33" t="s" s="102">
        <v>299</v>
      </c>
      <c r="M33" t="s" s="46">
        <v>326</v>
      </c>
    </row>
    <row r="34">
      <c r="A34" s="1"/>
      <c r="B34" t="s" s="105">
        <v>256</v>
      </c>
      <c r="C34" t="s" s="11">
        <v>95</v>
      </c>
      <c r="D34" s="82">
        <f>'Capex &amp; Covenant'!E64</f>
        <v>95.50000000000027</v>
      </c>
      <c r="E34" s="93"/>
      <c r="F34" s="11"/>
      <c r="G34" s="11"/>
      <c r="H34" s="11"/>
      <c r="I34" s="11"/>
      <c r="J34" s="11"/>
      <c r="K34" t="str" s="99">
        <f>IF(D34&gt;=$D$48,"Green",IF(D34&gt;=$D$49,"Amber","Red"))</f>
        <v>Amber</v>
      </c>
      <c r="L34" t="s" s="102">
        <v>300</v>
      </c>
      <c r="M34" t="s" s="46">
        <v>327</v>
      </c>
    </row>
    <row r="35">
      <c r="A35" s="1"/>
      <c r="B35" t="s" s="105">
        <v>257</v>
      </c>
      <c r="C35" t="s" s="11">
        <v>95</v>
      </c>
      <c r="D35" s="82">
        <f>'Capex &amp; Covenant'!F64</f>
        <v>6.970000000000297</v>
      </c>
      <c r="E35" s="93"/>
      <c r="F35" s="11"/>
      <c r="G35" s="11"/>
      <c r="H35" s="11"/>
      <c r="I35" s="11"/>
      <c r="J35" s="11"/>
      <c r="K35" t="str" s="99">
        <f>IF(D35&gt;=$D$48,"Green",IF(D35&gt;=$D$49,"Amber","Red"))</f>
        <v>Red</v>
      </c>
      <c r="L35" t="s" s="102">
        <v>301</v>
      </c>
      <c r="M35" t="s" s="46">
        <v>328</v>
      </c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>
      <c r="A37" s="1"/>
      <c r="B37" t="s" s="6">
        <v>258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>
      <c r="A38" s="1"/>
      <c r="B38" t="s" s="7">
        <v>259</v>
      </c>
      <c r="C38" t="s" s="7">
        <v>91</v>
      </c>
      <c r="D38" t="s" s="9">
        <v>275</v>
      </c>
      <c r="E38" s="7"/>
      <c r="F38" s="7"/>
      <c r="G38" s="7"/>
      <c r="H38" s="7"/>
      <c r="I38" s="7"/>
      <c r="J38" s="7"/>
      <c r="K38" s="7"/>
      <c r="L38" t="s" s="7">
        <v>302</v>
      </c>
      <c r="M38" s="7"/>
    </row>
    <row r="39">
      <c r="A39" s="1"/>
      <c r="B39" t="s" s="10">
        <v>260</v>
      </c>
      <c r="C39" t="s" s="10">
        <v>93</v>
      </c>
      <c r="D39" s="95">
        <v>-0.02</v>
      </c>
      <c r="E39" s="10"/>
      <c r="F39" s="10"/>
      <c r="G39" s="10"/>
      <c r="H39" s="10"/>
      <c r="I39" s="10"/>
      <c r="J39" s="10"/>
      <c r="K39" s="10"/>
      <c r="L39" t="s" s="42">
        <v>303</v>
      </c>
      <c r="M39" s="10"/>
    </row>
    <row r="40">
      <c r="A40" s="1"/>
      <c r="B40" t="s" s="11">
        <v>261</v>
      </c>
      <c r="C40" t="s" s="11">
        <v>273</v>
      </c>
      <c r="D40" s="81">
        <v>-0.005</v>
      </c>
      <c r="E40" s="11"/>
      <c r="F40" s="11"/>
      <c r="G40" s="11"/>
      <c r="H40" s="11"/>
      <c r="I40" s="11"/>
      <c r="J40" s="11"/>
      <c r="K40" s="11"/>
      <c r="L40" t="s" s="43">
        <v>304</v>
      </c>
      <c r="M40" s="11"/>
    </row>
    <row r="41">
      <c r="A41" s="1"/>
      <c r="B41" t="s" s="11">
        <v>262</v>
      </c>
      <c r="C41" t="s" s="11">
        <v>273</v>
      </c>
      <c r="D41" s="81">
        <v>-0.01</v>
      </c>
      <c r="E41" s="11"/>
      <c r="F41" s="11"/>
      <c r="G41" s="11"/>
      <c r="H41" s="11"/>
      <c r="I41" s="11"/>
      <c r="J41" s="11"/>
      <c r="K41" s="11"/>
      <c r="L41" t="s" s="43">
        <v>305</v>
      </c>
      <c r="M41" s="11"/>
    </row>
    <row r="42">
      <c r="A42" s="1"/>
      <c r="B42" t="s" s="11">
        <v>263</v>
      </c>
      <c r="C42" t="s" s="11">
        <v>273</v>
      </c>
      <c r="D42" s="81">
        <v>0.01</v>
      </c>
      <c r="E42" s="11"/>
      <c r="F42" s="11"/>
      <c r="G42" s="11"/>
      <c r="H42" s="11"/>
      <c r="I42" s="11"/>
      <c r="J42" s="11"/>
      <c r="K42" s="11"/>
      <c r="L42" t="s" s="43">
        <v>306</v>
      </c>
      <c r="M42" s="11"/>
    </row>
    <row r="43">
      <c r="A43" s="1"/>
      <c r="B43" t="s" s="11">
        <v>264</v>
      </c>
      <c r="C43" t="s" s="11">
        <v>95</v>
      </c>
      <c r="D43" s="96">
        <v>-1</v>
      </c>
      <c r="E43" s="11"/>
      <c r="F43" s="11"/>
      <c r="G43" s="11"/>
      <c r="H43" s="11"/>
      <c r="I43" s="11"/>
      <c r="J43" s="11"/>
      <c r="K43" s="11"/>
      <c r="L43" t="s" s="43">
        <v>307</v>
      </c>
      <c r="M43" s="11"/>
    </row>
    <row r="44">
      <c r="A44" s="1"/>
      <c r="B44" t="s" s="11">
        <v>265</v>
      </c>
      <c r="C44" t="s" s="11">
        <v>93</v>
      </c>
      <c r="D44" s="81">
        <v>0.2</v>
      </c>
      <c r="E44" s="11"/>
      <c r="F44" s="11"/>
      <c r="G44" s="11"/>
      <c r="H44" s="11"/>
      <c r="I44" s="11"/>
      <c r="J44" s="11"/>
      <c r="K44" s="11"/>
      <c r="L44" t="s" s="43">
        <v>308</v>
      </c>
      <c r="M44" s="11"/>
    </row>
    <row r="45">
      <c r="A45" s="1"/>
      <c r="B45" t="s" s="11">
        <v>266</v>
      </c>
      <c r="C45" t="s" s="11">
        <v>93</v>
      </c>
      <c r="D45" s="81">
        <v>0.1</v>
      </c>
      <c r="E45" s="11"/>
      <c r="F45" s="11"/>
      <c r="G45" s="11"/>
      <c r="H45" s="11"/>
      <c r="I45" s="11"/>
      <c r="J45" s="11"/>
      <c r="K45" s="11"/>
      <c r="L45" t="s" s="43">
        <v>309</v>
      </c>
      <c r="M45" s="11"/>
    </row>
    <row r="46">
      <c r="A46" s="1"/>
      <c r="B46" t="s" s="11">
        <v>267</v>
      </c>
      <c r="C46" t="s" s="11">
        <v>93</v>
      </c>
      <c r="D46" s="81">
        <v>0.2</v>
      </c>
      <c r="E46" s="11"/>
      <c r="F46" s="11"/>
      <c r="G46" s="11"/>
      <c r="H46" s="11"/>
      <c r="I46" s="11"/>
      <c r="J46" s="11"/>
      <c r="K46" s="11"/>
      <c r="L46" t="s" s="43">
        <v>310</v>
      </c>
      <c r="M46" s="11"/>
    </row>
    <row r="47">
      <c r="A47" s="1"/>
      <c r="B47" t="s" s="11">
        <v>268</v>
      </c>
      <c r="C47" t="s" s="11">
        <v>93</v>
      </c>
      <c r="D47" s="81">
        <v>0.1</v>
      </c>
      <c r="E47" s="11"/>
      <c r="F47" s="11"/>
      <c r="G47" s="11"/>
      <c r="H47" s="11"/>
      <c r="I47" s="11"/>
      <c r="J47" s="11"/>
      <c r="K47" s="11"/>
      <c r="L47" t="s" s="43">
        <v>305</v>
      </c>
      <c r="M47" s="11"/>
    </row>
    <row r="48">
      <c r="A48" s="1"/>
      <c r="B48" t="s" s="11">
        <v>269</v>
      </c>
      <c r="C48" t="s" s="11">
        <v>95</v>
      </c>
      <c r="D48" s="96">
        <v>150</v>
      </c>
      <c r="E48" s="11"/>
      <c r="F48" s="11"/>
      <c r="G48" s="11"/>
      <c r="H48" s="11"/>
      <c r="I48" s="11"/>
      <c r="J48" s="11"/>
      <c r="K48" s="11"/>
      <c r="L48" t="s" s="43">
        <v>310</v>
      </c>
      <c r="M48" s="11"/>
    </row>
    <row r="49">
      <c r="A49" s="1"/>
      <c r="B49" t="s" s="11">
        <v>270</v>
      </c>
      <c r="C49" t="s" s="11">
        <v>95</v>
      </c>
      <c r="D49" s="96">
        <v>50</v>
      </c>
      <c r="E49" s="11"/>
      <c r="F49" s="11"/>
      <c r="G49" s="11"/>
      <c r="H49" s="11"/>
      <c r="I49" s="11"/>
      <c r="J49" s="11"/>
      <c r="K49" s="11"/>
      <c r="L49" t="s" s="43">
        <v>305</v>
      </c>
      <c r="M49" s="11"/>
    </row>
  </sheetData>
  <mergeCells count="6">
    <mergeCell ref="B4:M4"/>
    <mergeCell ref="B7:M7"/>
    <mergeCell ref="B8:M8"/>
    <mergeCell ref="B9:M9"/>
    <mergeCell ref="B10:M10"/>
    <mergeCell ref="B11:M11"/>
  </mergeCells>
  <conditionalFormatting sqref="K15:K35">
    <cfRule type="containsText" dxfId="0" priority="1" text="Green">
      <formula>NOT(ISERROR(SEARCH("Green",K15)))</formula>
    </cfRule>
    <cfRule type="containsText" dxfId="1" priority="2" text="Amber">
      <formula>NOT(ISERROR(SEARCH("Amber",K15)))</formula>
    </cfRule>
    <cfRule type="containsText" dxfId="2" priority="3" text="Red">
      <formula>NOT(ISERROR(SEARCH("Red",K15)))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1" sqref="A1"/>
    </sheetView>
  </sheetViews>
  <cols>
    <col min="1" max="1" width="2.21875" customWidth="1"/>
    <col min="2" max="2" width="57.07421875" customWidth="1"/>
    <col min="3" max="14" width="8.64453125" customWidth="1"/>
    <col min="15" max="19" width="9.7890625" customWidth="1"/>
    <col min="20" max="23" width="11.359375" customWidth="1"/>
    <col min="24" max="24" width="62.789062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>
      <c r="A2" s="1"/>
      <c r="B2" t="s" s="2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>
      <c r="A3" s="1"/>
      <c r="B3" t="s" s="3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ht="42" customHeight="1">
      <c r="A4" s="1"/>
      <c r="B4" t="s" s="5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>
      <c r="A6" s="1"/>
      <c r="B6" t="s" s="6">
        <v>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>
      <c r="A7" s="1"/>
      <c r="B7" t="s" s="7">
        <v>4</v>
      </c>
      <c r="C7" s="8">
        <v>45658</v>
      </c>
      <c r="D7" s="8">
        <v>45689</v>
      </c>
      <c r="E7" s="8">
        <v>45717</v>
      </c>
      <c r="F7" s="8">
        <v>45748</v>
      </c>
      <c r="G7" s="8">
        <v>45778</v>
      </c>
      <c r="H7" s="8">
        <v>45809</v>
      </c>
      <c r="I7" s="8">
        <v>45839</v>
      </c>
      <c r="J7" s="8">
        <v>45870</v>
      </c>
      <c r="K7" s="8">
        <v>45901</v>
      </c>
      <c r="L7" s="8">
        <v>45931</v>
      </c>
      <c r="M7" s="8">
        <v>45962</v>
      </c>
      <c r="N7" s="8">
        <v>45992</v>
      </c>
      <c r="O7" t="s" s="9">
        <v>28</v>
      </c>
      <c r="P7" t="s" s="9">
        <v>29</v>
      </c>
      <c r="Q7" t="s" s="9">
        <v>30</v>
      </c>
      <c r="R7" t="s" s="9">
        <v>31</v>
      </c>
      <c r="S7" t="s" s="9">
        <v>32</v>
      </c>
      <c r="T7" t="s" s="9">
        <v>33</v>
      </c>
      <c r="U7" t="s" s="9">
        <v>34</v>
      </c>
      <c r="V7" t="s" s="9">
        <v>35</v>
      </c>
      <c r="W7" t="s" s="9">
        <v>36</v>
      </c>
      <c r="X7" t="s" s="7">
        <v>37</v>
      </c>
    </row>
    <row r="8">
      <c r="A8" s="1"/>
      <c r="B8" t="s" s="10">
        <v>5</v>
      </c>
      <c r="C8" s="15">
        <v>23.89</v>
      </c>
      <c r="D8" s="15">
        <v>24.17</v>
      </c>
      <c r="E8" s="15">
        <v>24.45</v>
      </c>
      <c r="F8" s="15">
        <v>24.72</v>
      </c>
      <c r="G8" s="15">
        <v>25</v>
      </c>
      <c r="H8" s="15">
        <v>25.28</v>
      </c>
      <c r="I8" s="15">
        <v>25.56</v>
      </c>
      <c r="J8" s="15">
        <v>25.83</v>
      </c>
      <c r="K8" s="15">
        <v>26.11</v>
      </c>
      <c r="L8" s="15">
        <v>26.39</v>
      </c>
      <c r="M8" s="15">
        <v>26.66</v>
      </c>
      <c r="N8" s="15">
        <v>26.94</v>
      </c>
      <c r="O8" s="24">
        <f>SUM(C8:E8)</f>
        <v>72.51</v>
      </c>
      <c r="P8" s="24">
        <f>SUM(F8:H8)</f>
        <v>75</v>
      </c>
      <c r="Q8" s="24">
        <f>SUM(I8:K8)</f>
        <v>77.5</v>
      </c>
      <c r="R8" s="24">
        <f>SUM(L8:N8)</f>
        <v>79.99</v>
      </c>
      <c r="S8" s="24">
        <f>SUM(C8:N8)</f>
        <v>305</v>
      </c>
      <c r="T8" s="33">
        <v>82.9</v>
      </c>
      <c r="U8" s="33">
        <v>81.6</v>
      </c>
      <c r="V8" s="12">
        <f>T8-U8</f>
        <v>1.3000000000000114</v>
      </c>
      <c r="W8" s="12">
        <f>T8-O8</f>
        <v>10.39</v>
      </c>
      <c r="X8" t="s" s="45">
        <v>38</v>
      </c>
    </row>
    <row r="9">
      <c r="A9" s="1"/>
      <c r="B9" t="s" s="11">
        <v>6</v>
      </c>
      <c r="C9" s="16">
        <v>5.61</v>
      </c>
      <c r="D9" s="16">
        <v>5.47</v>
      </c>
      <c r="E9" s="16">
        <v>5.9</v>
      </c>
      <c r="F9" s="16">
        <v>6.46</v>
      </c>
      <c r="G9" s="16">
        <v>7.16</v>
      </c>
      <c r="H9" s="16">
        <v>8.56</v>
      </c>
      <c r="I9" s="16">
        <v>9.82</v>
      </c>
      <c r="J9" s="16">
        <v>9.54</v>
      </c>
      <c r="K9" s="16">
        <v>8</v>
      </c>
      <c r="L9" s="16">
        <v>6.6</v>
      </c>
      <c r="M9" s="16">
        <v>5.61</v>
      </c>
      <c r="N9" s="16">
        <v>5.47</v>
      </c>
      <c r="O9" s="25">
        <f>SUM(C9:E9)</f>
        <v>16.98</v>
      </c>
      <c r="P9" s="25">
        <f>SUM(F9:H9)</f>
        <v>22.18</v>
      </c>
      <c r="Q9" s="25">
        <f>SUM(I9:K9)</f>
        <v>27.36</v>
      </c>
      <c r="R9" s="25">
        <f>SUM(L9:N9)</f>
        <v>17.68</v>
      </c>
      <c r="S9" s="25">
        <f>SUM(C9:N9)</f>
        <v>84.2</v>
      </c>
      <c r="T9" s="34">
        <v>23.6</v>
      </c>
      <c r="U9" s="34">
        <v>23.2</v>
      </c>
      <c r="V9" s="13">
        <f>T9-U9</f>
        <v>0.40000000000000213</v>
      </c>
      <c r="W9" s="13">
        <f>T9-O9</f>
        <v>6.620000000000001</v>
      </c>
      <c r="X9" t="s" s="46">
        <v>39</v>
      </c>
    </row>
    <row r="10">
      <c r="A10" s="1"/>
      <c r="B10" t="s" s="11">
        <v>7</v>
      </c>
      <c r="C10" s="16">
        <v>1.14</v>
      </c>
      <c r="D10" s="16">
        <v>1.16</v>
      </c>
      <c r="E10" s="16">
        <v>1.17</v>
      </c>
      <c r="F10" s="16">
        <v>1.18</v>
      </c>
      <c r="G10" s="16">
        <v>1.2</v>
      </c>
      <c r="H10" s="16">
        <v>1.21</v>
      </c>
      <c r="I10" s="16">
        <v>1.22</v>
      </c>
      <c r="J10" s="16">
        <v>1.24</v>
      </c>
      <c r="K10" s="16">
        <v>1.25</v>
      </c>
      <c r="L10" s="16">
        <v>1.26</v>
      </c>
      <c r="M10" s="16">
        <v>1.28</v>
      </c>
      <c r="N10" s="16">
        <v>1.29</v>
      </c>
      <c r="O10" s="25">
        <f>SUM(C10:E10)</f>
        <v>3.4699999999999998</v>
      </c>
      <c r="P10" s="25">
        <f>SUM(F10:H10)</f>
        <v>3.59</v>
      </c>
      <c r="Q10" s="25">
        <f>SUM(I10:K10)</f>
        <v>3.71</v>
      </c>
      <c r="R10" s="25">
        <f>SUM(L10:N10)</f>
        <v>3.83</v>
      </c>
      <c r="S10" s="25">
        <f>SUM(C10:N10)</f>
        <v>14.599999999999998</v>
      </c>
      <c r="T10" s="34">
        <v>4.1</v>
      </c>
      <c r="U10" s="34">
        <v>4.2</v>
      </c>
      <c r="V10" s="13">
        <f>T10-U10</f>
        <v>-0.10000000000000053</v>
      </c>
      <c r="W10" s="13">
        <f>T10-O10</f>
        <v>0.6299999999999999</v>
      </c>
      <c r="X10" t="s" s="46">
        <v>40</v>
      </c>
    </row>
    <row r="11">
      <c r="A11" s="1"/>
      <c r="B11" t="s" s="11">
        <v>8</v>
      </c>
      <c r="C11" s="16">
        <v>0.36</v>
      </c>
      <c r="D11" s="16">
        <v>0.4</v>
      </c>
      <c r="E11" s="16">
        <v>0.43</v>
      </c>
      <c r="F11" s="16">
        <v>0.5</v>
      </c>
      <c r="G11" s="16">
        <v>0.58</v>
      </c>
      <c r="H11" s="16">
        <v>0.65</v>
      </c>
      <c r="I11" s="16">
        <v>0.72</v>
      </c>
      <c r="J11" s="16">
        <v>0.79</v>
      </c>
      <c r="K11" s="16">
        <v>0.86</v>
      </c>
      <c r="L11" s="16">
        <v>0.93</v>
      </c>
      <c r="M11" s="16">
        <v>0.97</v>
      </c>
      <c r="N11" s="16">
        <v>1.01</v>
      </c>
      <c r="O11" s="25">
        <f>SUM(C11:E11)</f>
        <v>1.19</v>
      </c>
      <c r="P11" s="25">
        <f>SUM(F11:H11)</f>
        <v>1.73</v>
      </c>
      <c r="Q11" s="25">
        <f>SUM(I11:K11)</f>
        <v>2.37</v>
      </c>
      <c r="R11" s="25">
        <f>SUM(L11:N11)</f>
        <v>2.91</v>
      </c>
      <c r="S11" s="25">
        <f>SUM(C11:N11)</f>
        <v>8.2</v>
      </c>
      <c r="T11" s="34">
        <v>2.4</v>
      </c>
      <c r="U11" s="34">
        <v>2.5</v>
      </c>
      <c r="V11" s="13">
        <f>T11-U11</f>
        <v>-0.10000000000000009</v>
      </c>
      <c r="W11" s="13">
        <f>T11-O11</f>
        <v>1.21</v>
      </c>
      <c r="X11" t="s" s="46">
        <v>41</v>
      </c>
    </row>
    <row r="12">
      <c r="A12" s="1"/>
      <c r="B12" t="s" s="20">
        <v>9</v>
      </c>
      <c r="C12" s="21">
        <f>SUM(C8:C11)</f>
        <v>31</v>
      </c>
      <c r="D12" s="21">
        <f>SUM(D8:D11)</f>
        <v>31.2</v>
      </c>
      <c r="E12" s="21">
        <f>SUM(E8:E11)</f>
        <v>31.950000000000003</v>
      </c>
      <c r="F12" s="21">
        <f>SUM(F8:F11)</f>
        <v>32.86</v>
      </c>
      <c r="G12" s="21">
        <f>SUM(G8:G11)</f>
        <v>33.94</v>
      </c>
      <c r="H12" s="21">
        <f>SUM(H8:H11)</f>
        <v>35.7</v>
      </c>
      <c r="I12" s="21">
        <f>SUM(I8:I11)</f>
        <v>37.31999999999999</v>
      </c>
      <c r="J12" s="21">
        <f>SUM(J8:J11)</f>
        <v>37.4</v>
      </c>
      <c r="K12" s="21">
        <f>SUM(K8:K11)</f>
        <v>36.22</v>
      </c>
      <c r="L12" s="21">
        <f>SUM(L8:L11)</f>
        <v>35.18</v>
      </c>
      <c r="M12" s="21">
        <f>SUM(M8:M11)</f>
        <v>34.52</v>
      </c>
      <c r="N12" s="21">
        <f>SUM(N8:N11)</f>
        <v>34.71</v>
      </c>
      <c r="O12" s="26">
        <f>SUM(C12:E12)</f>
        <v>94.15</v>
      </c>
      <c r="P12" s="26">
        <f>SUM(F12:H12)</f>
        <v>102.5</v>
      </c>
      <c r="Q12" s="26">
        <f>SUM(I12:K12)</f>
        <v>110.94</v>
      </c>
      <c r="R12" s="26">
        <f>SUM(L12:N12)</f>
        <v>104.41</v>
      </c>
      <c r="S12" s="26">
        <f>SUM(C12:N12)</f>
        <v>411.9999999999999</v>
      </c>
      <c r="T12" s="35">
        <f>SUM(T8:T11)</f>
        <v>113</v>
      </c>
      <c r="U12" s="35">
        <f>SUM(U8:U11)</f>
        <v>111.5</v>
      </c>
      <c r="V12" s="21">
        <f>T12-U12</f>
        <v>1.5</v>
      </c>
      <c r="W12" s="21">
        <f>T12-O12</f>
        <v>18.849999999999994</v>
      </c>
      <c r="X12" t="s" s="46">
        <v>42</v>
      </c>
    </row>
    <row r="13">
      <c r="A13" s="1"/>
      <c r="B13" t="s" s="11">
        <v>10</v>
      </c>
      <c r="C13" s="16">
        <v>-10.73</v>
      </c>
      <c r="D13" s="16">
        <v>-10.72</v>
      </c>
      <c r="E13" s="16">
        <v>-11.08</v>
      </c>
      <c r="F13" s="16">
        <v>-11.52</v>
      </c>
      <c r="G13" s="16">
        <v>-12.07</v>
      </c>
      <c r="H13" s="16">
        <v>-13.07</v>
      </c>
      <c r="I13" s="16">
        <v>-13.98</v>
      </c>
      <c r="J13" s="16">
        <v>-13.88</v>
      </c>
      <c r="K13" s="16">
        <v>-12.95</v>
      </c>
      <c r="L13" s="16">
        <v>-12.11</v>
      </c>
      <c r="M13" s="16">
        <v>-11.55</v>
      </c>
      <c r="N13" s="16">
        <v>-11.54</v>
      </c>
      <c r="O13" s="25">
        <f>SUM(C13:E13)</f>
        <v>-32.53</v>
      </c>
      <c r="P13" s="25">
        <f>SUM(F13:H13)</f>
        <v>-36.66</v>
      </c>
      <c r="Q13" s="25">
        <f>SUM(I13:K13)</f>
        <v>-40.81</v>
      </c>
      <c r="R13" s="25">
        <f>SUM(L13:N13)</f>
        <v>-35.2</v>
      </c>
      <c r="S13" s="25">
        <f>SUM(C13:N13)</f>
        <v>-145.2</v>
      </c>
      <c r="T13" s="34">
        <v>-39.9</v>
      </c>
      <c r="U13" s="34">
        <v>-39.23</v>
      </c>
      <c r="V13" s="13">
        <f>T13-U13</f>
        <v>-0.6700000000000017</v>
      </c>
      <c r="W13" s="13">
        <f>T13-O13</f>
        <v>-7.369999999999997</v>
      </c>
      <c r="X13" t="s" s="46">
        <v>43</v>
      </c>
    </row>
    <row r="14">
      <c r="A14" s="1"/>
      <c r="B14" t="s" s="11">
        <v>11</v>
      </c>
      <c r="C14" s="16">
        <v>-1.64</v>
      </c>
      <c r="D14" s="16">
        <v>-1.64</v>
      </c>
      <c r="E14" s="16">
        <v>-1.64</v>
      </c>
      <c r="F14" s="16">
        <v>-1.64</v>
      </c>
      <c r="G14" s="16">
        <v>-1.63</v>
      </c>
      <c r="H14" s="16">
        <v>-1.63</v>
      </c>
      <c r="I14" s="16">
        <v>-1.63</v>
      </c>
      <c r="J14" s="16">
        <v>-1.63</v>
      </c>
      <c r="K14" s="16">
        <v>-1.63</v>
      </c>
      <c r="L14" s="16">
        <v>-1.63</v>
      </c>
      <c r="M14" s="16">
        <v>-1.63</v>
      </c>
      <c r="N14" s="16">
        <v>-1.63</v>
      </c>
      <c r="O14" s="25">
        <f>SUM(C14:E14)</f>
        <v>-4.92</v>
      </c>
      <c r="P14" s="25">
        <f>SUM(F14:H14)</f>
        <v>-4.8999999999999995</v>
      </c>
      <c r="Q14" s="25">
        <f>SUM(I14:K14)</f>
        <v>-4.89</v>
      </c>
      <c r="R14" s="25">
        <f>SUM(L14:N14)</f>
        <v>-4.89</v>
      </c>
      <c r="S14" s="25">
        <f>SUM(C14:N14)</f>
        <v>-19.599999999999994</v>
      </c>
      <c r="T14" s="34">
        <v>-5.447</v>
      </c>
      <c r="U14" s="34">
        <v>-5.32</v>
      </c>
      <c r="V14" s="13">
        <f>T14-U14</f>
        <v>-0.12699999999999978</v>
      </c>
      <c r="W14" s="13">
        <f>T14-O14</f>
        <v>-0.5270000000000001</v>
      </c>
      <c r="X14" t="s" s="46">
        <v>44</v>
      </c>
    </row>
    <row r="15">
      <c r="A15" s="1"/>
      <c r="B15" t="s" s="11">
        <v>12</v>
      </c>
      <c r="C15" s="16">
        <v>-0.05</v>
      </c>
      <c r="D15" s="16">
        <v>-0.05</v>
      </c>
      <c r="E15" s="16">
        <v>-0.05</v>
      </c>
      <c r="F15" s="16">
        <v>-0.05</v>
      </c>
      <c r="G15" s="16">
        <v>-0.05</v>
      </c>
      <c r="H15" s="16">
        <v>-0.05</v>
      </c>
      <c r="I15" s="16">
        <v>-0.05</v>
      </c>
      <c r="J15" s="16">
        <v>-0.05</v>
      </c>
      <c r="K15" s="16">
        <v>-0.05</v>
      </c>
      <c r="L15" s="16">
        <v>-0.05</v>
      </c>
      <c r="M15" s="16">
        <v>-0.05</v>
      </c>
      <c r="N15" s="16">
        <v>-0.05</v>
      </c>
      <c r="O15" s="25">
        <f>SUM(C15:E15)</f>
        <v>-0.15000000000000002</v>
      </c>
      <c r="P15" s="25">
        <f>SUM(F15:H15)</f>
        <v>-0.15000000000000002</v>
      </c>
      <c r="Q15" s="25">
        <f>SUM(I15:K15)</f>
        <v>-0.15000000000000002</v>
      </c>
      <c r="R15" s="25">
        <f>SUM(L15:N15)</f>
        <v>-0.15000000000000002</v>
      </c>
      <c r="S15" s="25">
        <f>SUM(C15:N15)</f>
        <v>-0.6</v>
      </c>
      <c r="T15" s="34">
        <v>-0.153</v>
      </c>
      <c r="U15" s="34">
        <v>-0.15</v>
      </c>
      <c r="V15" s="13">
        <f>T15-U15</f>
        <v>-0.0030000000000000027</v>
      </c>
      <c r="W15" s="13">
        <f>T15-O15</f>
        <v>-0.002999999999999975</v>
      </c>
      <c r="X15" t="s" s="46">
        <v>45</v>
      </c>
    </row>
    <row r="16">
      <c r="A16" s="1"/>
      <c r="B16" t="s" s="20">
        <v>13</v>
      </c>
      <c r="C16" s="21">
        <f>SUM(C12:C15)</f>
        <v>18.58</v>
      </c>
      <c r="D16" s="21">
        <f>SUM(D12:D15)</f>
        <v>18.789999999999996</v>
      </c>
      <c r="E16" s="21">
        <f>SUM(E12:E15)</f>
        <v>19.180000000000003</v>
      </c>
      <c r="F16" s="21">
        <f>SUM(F12:F15)</f>
        <v>19.65</v>
      </c>
      <c r="G16" s="21">
        <f>SUM(G12:G15)</f>
        <v>20.189999999999998</v>
      </c>
      <c r="H16" s="21">
        <f>SUM(H12:H15)</f>
        <v>20.950000000000003</v>
      </c>
      <c r="I16" s="21">
        <f>SUM(I12:I15)</f>
        <v>21.659999999999993</v>
      </c>
      <c r="J16" s="21">
        <f>SUM(J12:J15)</f>
        <v>21.839999999999996</v>
      </c>
      <c r="K16" s="21">
        <f>SUM(K12:K15)</f>
        <v>21.59</v>
      </c>
      <c r="L16" s="21">
        <f>SUM(L12:L15)</f>
        <v>21.39</v>
      </c>
      <c r="M16" s="21">
        <f>SUM(M12:M15)</f>
        <v>21.290000000000003</v>
      </c>
      <c r="N16" s="21">
        <f>SUM(N12:N15)</f>
        <v>21.490000000000002</v>
      </c>
      <c r="O16" s="26">
        <f>SUM(C16:E16)</f>
        <v>56.55</v>
      </c>
      <c r="P16" s="26">
        <f>SUM(F16:H16)</f>
        <v>60.79</v>
      </c>
      <c r="Q16" s="26">
        <f>SUM(I16:K16)</f>
        <v>65.08999999999999</v>
      </c>
      <c r="R16" s="26">
        <f>SUM(L16:N16)</f>
        <v>64.17000000000002</v>
      </c>
      <c r="S16" s="26">
        <f>SUM(C16:N16)</f>
        <v>246.6</v>
      </c>
      <c r="T16" s="35">
        <f>SUM(T12:T15)</f>
        <v>67.49999999999999</v>
      </c>
      <c r="U16" s="35">
        <f>SUM(U12:U15)</f>
        <v>66.80000000000001</v>
      </c>
      <c r="V16" s="21">
        <f>T16-U16</f>
        <v>0.6999999999999744</v>
      </c>
      <c r="W16" s="21">
        <f>T16-O16</f>
        <v>10.949999999999989</v>
      </c>
      <c r="X16" t="s" s="46">
        <v>46</v>
      </c>
    </row>
    <row r="17">
      <c r="A17" s="1"/>
      <c r="B17" t="s" s="22">
        <v>14</v>
      </c>
      <c r="C17" s="23">
        <f>C16/C12</f>
        <v>0.5993548387096773</v>
      </c>
      <c r="D17" s="23">
        <f>D16/D12</f>
        <v>0.6022435897435896</v>
      </c>
      <c r="E17" s="23">
        <f>E16/E12</f>
        <v>0.6003129890453834</v>
      </c>
      <c r="F17" s="23">
        <f>F16/F12</f>
        <v>0.5979914790018259</v>
      </c>
      <c r="G17" s="23">
        <f>G16/G12</f>
        <v>0.5948733058338244</v>
      </c>
      <c r="H17" s="23">
        <f>H16/H12</f>
        <v>0.5868347338935574</v>
      </c>
      <c r="I17" s="23">
        <f>I16/I12</f>
        <v>0.5803858520900321</v>
      </c>
      <c r="J17" s="23">
        <f>J16/J12</f>
        <v>0.5839572192513368</v>
      </c>
      <c r="K17" s="23">
        <f>K16/K12</f>
        <v>0.5960795140806184</v>
      </c>
      <c r="L17" s="23">
        <f>L16/L12</f>
        <v>0.6080159181353042</v>
      </c>
      <c r="M17" s="23">
        <f>M16/M12</f>
        <v>0.6167439165701043</v>
      </c>
      <c r="N17" s="23">
        <f>N16/N12</f>
        <v>0.6191299337366754</v>
      </c>
      <c r="O17" s="27">
        <f>O16/O12</f>
        <v>0.6006372809346786</v>
      </c>
      <c r="P17" s="27">
        <f>P16/P12</f>
        <v>0.5930731707317073</v>
      </c>
      <c r="Q17" s="27">
        <f>Q16/Q12</f>
        <v>0.5867135388498287</v>
      </c>
      <c r="R17" s="27">
        <f>R16/R12</f>
        <v>0.6145963030361078</v>
      </c>
      <c r="S17" s="27">
        <f>S16/S12</f>
        <v>0.5985436893203885</v>
      </c>
      <c r="T17" s="36">
        <f>T16/T12</f>
        <v>0.5973451327433628</v>
      </c>
      <c r="U17" s="36">
        <f>U16/U12</f>
        <v>0.599103139013453</v>
      </c>
      <c r="V17" s="23">
        <f>T17-U17</f>
        <v>-0.0017580062700902621</v>
      </c>
      <c r="W17" s="23">
        <f>T17-O17</f>
        <v>-0.003292148191315847</v>
      </c>
      <c r="X17" t="s" s="46">
        <v>42</v>
      </c>
    </row>
    <row r="18">
      <c r="A18" s="1"/>
      <c r="B18" t="s" s="11">
        <v>15</v>
      </c>
      <c r="C18" s="16">
        <v>-2.76</v>
      </c>
      <c r="D18" s="16">
        <v>-2.76</v>
      </c>
      <c r="E18" s="16">
        <v>-2.76</v>
      </c>
      <c r="F18" s="16">
        <v>-2.76</v>
      </c>
      <c r="G18" s="16">
        <v>-2.76</v>
      </c>
      <c r="H18" s="16">
        <v>-2.76</v>
      </c>
      <c r="I18" s="16">
        <v>-2.76</v>
      </c>
      <c r="J18" s="16">
        <v>-2.75</v>
      </c>
      <c r="K18" s="16">
        <v>-2.75</v>
      </c>
      <c r="L18" s="16">
        <v>-2.9</v>
      </c>
      <c r="M18" s="16">
        <v>-2.9</v>
      </c>
      <c r="N18" s="16">
        <v>-3.18</v>
      </c>
      <c r="O18" s="25">
        <f>SUM(C18:E18)</f>
        <v>-8.28</v>
      </c>
      <c r="P18" s="25">
        <f>SUM(F18:H18)</f>
        <v>-8.28</v>
      </c>
      <c r="Q18" s="25">
        <f>SUM(I18:K18)</f>
        <v>-8.26</v>
      </c>
      <c r="R18" s="25">
        <f>SUM(L18:N18)</f>
        <v>-8.98</v>
      </c>
      <c r="S18" s="25">
        <f>SUM(C18:N18)</f>
        <v>-33.8</v>
      </c>
      <c r="T18" s="34">
        <v>-9.3</v>
      </c>
      <c r="U18" s="34">
        <v>-9.5</v>
      </c>
      <c r="V18" s="13">
        <f>T18-U18</f>
        <v>0.1999999999999993</v>
      </c>
      <c r="W18" s="13">
        <f>T18-O18</f>
        <v>-1.0200000000000014</v>
      </c>
      <c r="X18" t="s" s="46">
        <v>47</v>
      </c>
    </row>
    <row r="19">
      <c r="A19" s="1"/>
      <c r="B19" t="s" s="11">
        <v>16</v>
      </c>
      <c r="C19" s="16">
        <v>0.68</v>
      </c>
      <c r="D19" s="16">
        <v>0.68</v>
      </c>
      <c r="E19" s="16">
        <v>0.77</v>
      </c>
      <c r="F19" s="16">
        <v>0.87</v>
      </c>
      <c r="G19" s="16">
        <v>0.97</v>
      </c>
      <c r="H19" s="16">
        <v>1.16</v>
      </c>
      <c r="I19" s="16">
        <v>1.3</v>
      </c>
      <c r="J19" s="16">
        <v>1.25</v>
      </c>
      <c r="K19" s="16">
        <v>1.06</v>
      </c>
      <c r="L19" s="16">
        <v>0.92</v>
      </c>
      <c r="M19" s="16">
        <v>0.77</v>
      </c>
      <c r="N19" s="16">
        <v>0.77</v>
      </c>
      <c r="O19" s="25">
        <f>SUM(C19:E19)</f>
        <v>2.13</v>
      </c>
      <c r="P19" s="25">
        <f>SUM(F19:H19)</f>
        <v>3</v>
      </c>
      <c r="Q19" s="25">
        <f>SUM(I19:K19)</f>
        <v>3.61</v>
      </c>
      <c r="R19" s="25">
        <f>SUM(L19:N19)</f>
        <v>2.46</v>
      </c>
      <c r="S19" s="25">
        <f>SUM(C19:N19)</f>
        <v>11.2</v>
      </c>
      <c r="T19" s="34">
        <v>3.8</v>
      </c>
      <c r="U19" s="34">
        <v>3.9</v>
      </c>
      <c r="V19" s="13">
        <f>T19-U19</f>
        <v>-0.10000000000000009</v>
      </c>
      <c r="W19" s="13">
        <f>T19-O19</f>
        <v>1.67</v>
      </c>
      <c r="X19" t="s" s="46">
        <v>48</v>
      </c>
    </row>
    <row r="20">
      <c r="A20" s="1"/>
      <c r="B20" t="s" s="20">
        <v>17</v>
      </c>
      <c r="C20" s="21">
        <f>C16+C18+C19</f>
        <v>16.5</v>
      </c>
      <c r="D20" s="21">
        <f>D16+D18+D19</f>
        <v>16.709999999999994</v>
      </c>
      <c r="E20" s="21">
        <f>E16+E18+E19</f>
        <v>17.19</v>
      </c>
      <c r="F20" s="21">
        <f>F16+F18+F19</f>
        <v>17.76</v>
      </c>
      <c r="G20" s="21">
        <f>G16+G18+G19</f>
        <v>18.4</v>
      </c>
      <c r="H20" s="21">
        <f>H16+H18+H19</f>
        <v>19.350000000000005</v>
      </c>
      <c r="I20" s="21">
        <f>I16+I18+I19</f>
        <v>20.199999999999992</v>
      </c>
      <c r="J20" s="21">
        <f>J16+J18+J19</f>
        <v>20.339999999999996</v>
      </c>
      <c r="K20" s="21">
        <f>K16+K18+K19</f>
        <v>19.9</v>
      </c>
      <c r="L20" s="21">
        <f>L16+L18+L19</f>
        <v>19.410000000000004</v>
      </c>
      <c r="M20" s="21">
        <f>M16+M18+M19</f>
        <v>19.160000000000004</v>
      </c>
      <c r="N20" s="21">
        <f>N16+N18+N19</f>
        <v>19.080000000000002</v>
      </c>
      <c r="O20" s="26">
        <f>SUM(C20:E20)</f>
        <v>50.39999999999999</v>
      </c>
      <c r="P20" s="26">
        <f>SUM(F20:H20)</f>
        <v>55.510000000000005</v>
      </c>
      <c r="Q20" s="26">
        <f>SUM(I20:K20)</f>
        <v>60.43999999999999</v>
      </c>
      <c r="R20" s="26">
        <f>SUM(L20:N20)</f>
        <v>57.650000000000006</v>
      </c>
      <c r="S20" s="26">
        <f>SUM(C20:N20)</f>
        <v>224</v>
      </c>
      <c r="T20" s="35">
        <f>T16+T18+T19</f>
        <v>61.999999999999986</v>
      </c>
      <c r="U20" s="35">
        <f>U16+U18+U19</f>
        <v>61.20000000000001</v>
      </c>
      <c r="V20" s="21">
        <f>T20-U20</f>
        <v>0.7999999999999758</v>
      </c>
      <c r="W20" s="21">
        <f>T20-O20</f>
        <v>11.599999999999994</v>
      </c>
      <c r="X20" t="s" s="46">
        <v>49</v>
      </c>
    </row>
    <row r="21">
      <c r="A21" s="1"/>
      <c r="B21" t="s" s="22">
        <v>18</v>
      </c>
      <c r="C21" s="23">
        <f>C20/C12</f>
        <v>0.532258064516129</v>
      </c>
      <c r="D21" s="23">
        <f>D20/D12</f>
        <v>0.5355769230769228</v>
      </c>
      <c r="E21" s="23">
        <f>E20/E12</f>
        <v>0.5380281690140845</v>
      </c>
      <c r="F21" s="23">
        <f>F20/F12</f>
        <v>0.5404747413268411</v>
      </c>
      <c r="G21" s="23">
        <f>G20/G12</f>
        <v>0.5421331761932823</v>
      </c>
      <c r="H21" s="23">
        <f>H20/H12</f>
        <v>0.5420168067226891</v>
      </c>
      <c r="I21" s="23">
        <f>I20/I12</f>
        <v>0.5412647374062164</v>
      </c>
      <c r="J21" s="23">
        <f>J20/J12</f>
        <v>0.5438502673796791</v>
      </c>
      <c r="K21" s="23">
        <f>K20/K12</f>
        <v>0.5494202098288238</v>
      </c>
      <c r="L21" s="23">
        <f>L20/L12</f>
        <v>0.5517339397384878</v>
      </c>
      <c r="M21" s="23">
        <f>M20/M12</f>
        <v>0.5550405561993048</v>
      </c>
      <c r="N21" s="23">
        <f>N20/N12</f>
        <v>0.5496974935177182</v>
      </c>
      <c r="O21" s="27">
        <f>O20/O12</f>
        <v>0.5353159851301114</v>
      </c>
      <c r="P21" s="27">
        <f>P20/P12</f>
        <v>0.5415609756097561</v>
      </c>
      <c r="Q21" s="27">
        <f>Q20/Q12</f>
        <v>0.5447989904452857</v>
      </c>
      <c r="R21" s="27">
        <f>R20/R12</f>
        <v>0.5521501771860934</v>
      </c>
      <c r="S21" s="27">
        <f>S20/S12</f>
        <v>0.5436893203883497</v>
      </c>
      <c r="T21" s="36">
        <f>T20/T12</f>
        <v>0.5486725663716813</v>
      </c>
      <c r="U21" s="36">
        <f>U20/U12</f>
        <v>0.5488789237668162</v>
      </c>
      <c r="V21" s="23">
        <f>T21-U21</f>
        <v>-0.00020635739513497064</v>
      </c>
      <c r="W21" s="23">
        <f>T21-O21</f>
        <v>0.01335658124156991</v>
      </c>
      <c r="X21" t="s" s="46">
        <v>42</v>
      </c>
    </row>
    <row r="22">
      <c r="A22" s="1"/>
      <c r="B22" t="s" s="11">
        <v>19</v>
      </c>
      <c r="C22" s="16"/>
      <c r="D22" s="16"/>
      <c r="E22" s="16"/>
      <c r="F22" s="16"/>
      <c r="G22" s="16">
        <v>-1.2</v>
      </c>
      <c r="H22" s="16">
        <v>-0.96</v>
      </c>
      <c r="I22" s="16"/>
      <c r="J22" s="16"/>
      <c r="K22" s="16">
        <v>-0.72</v>
      </c>
      <c r="L22" s="16"/>
      <c r="M22" s="16">
        <v>-0.72</v>
      </c>
      <c r="N22" s="16">
        <v>-1.2</v>
      </c>
      <c r="O22" s="25">
        <f>SUM(C22:E22)</f>
        <v>0</v>
      </c>
      <c r="P22" s="25">
        <f>SUM(F22:H22)</f>
        <v>-2.16</v>
      </c>
      <c r="Q22" s="25">
        <f>SUM(I22:K22)</f>
        <v>-0.72</v>
      </c>
      <c r="R22" s="25">
        <f>SUM(L22:N22)</f>
        <v>-1.92</v>
      </c>
      <c r="S22" s="25">
        <f>SUM(C22:N22)</f>
        <v>-4.8</v>
      </c>
      <c r="T22" s="34">
        <v>-1.7</v>
      </c>
      <c r="U22" s="34"/>
      <c r="V22" s="13"/>
      <c r="W22" s="13">
        <f>T22-O22</f>
        <v>-1.7</v>
      </c>
      <c r="X22" t="s" s="46">
        <v>50</v>
      </c>
    </row>
    <row r="23">
      <c r="A23" s="1"/>
      <c r="B23" t="s" s="11">
        <v>20</v>
      </c>
      <c r="C23" s="16">
        <v>0.251</v>
      </c>
      <c r="D23" s="16">
        <v>0.248</v>
      </c>
      <c r="E23" s="16">
        <v>0.257</v>
      </c>
      <c r="F23" s="16">
        <v>0.275</v>
      </c>
      <c r="G23" s="16">
        <v>0.28</v>
      </c>
      <c r="H23" s="16">
        <v>0.288</v>
      </c>
      <c r="I23" s="16">
        <v>0.286</v>
      </c>
      <c r="J23" s="16">
        <v>0.287</v>
      </c>
      <c r="K23" s="16">
        <v>0.285</v>
      </c>
      <c r="L23" s="16">
        <v>0.284</v>
      </c>
      <c r="M23" s="16">
        <v>0.249</v>
      </c>
      <c r="N23" s="16">
        <v>0.25</v>
      </c>
      <c r="O23" s="25">
        <f>SUM(C23:E23)</f>
        <v>0.756</v>
      </c>
      <c r="P23" s="25">
        <f>SUM(F23:H23)</f>
        <v>0.843</v>
      </c>
      <c r="Q23" s="25">
        <f>SUM(I23:K23)</f>
        <v>0.8579999999999999</v>
      </c>
      <c r="R23" s="25">
        <f>SUM(L23:N23)</f>
        <v>0.7829999999999999</v>
      </c>
      <c r="S23" s="25">
        <f>SUM(C23:N23)</f>
        <v>3.24</v>
      </c>
      <c r="T23" s="34">
        <v>0.82</v>
      </c>
      <c r="U23" s="34">
        <v>0.8</v>
      </c>
      <c r="V23" s="13">
        <f>T23-U23</f>
        <v>0.019999999999999907</v>
      </c>
      <c r="W23" s="13">
        <f>T23-O23</f>
        <v>0.06399999999999995</v>
      </c>
      <c r="X23" t="s" s="46">
        <v>51</v>
      </c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8"/>
      <c r="P24" s="28"/>
      <c r="Q24" s="28"/>
      <c r="R24" s="28"/>
      <c r="S24" s="28"/>
      <c r="T24" s="37"/>
      <c r="U24" s="37"/>
      <c r="V24" s="1"/>
      <c r="W24" s="1"/>
      <c r="X24" s="47"/>
    </row>
    <row r="25">
      <c r="A25" s="1"/>
      <c r="B25" t="s" s="6">
        <v>21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48"/>
    </row>
    <row r="26">
      <c r="A26" s="1"/>
      <c r="B26" t="s" s="7">
        <v>4</v>
      </c>
      <c r="C26" s="8">
        <v>45658</v>
      </c>
      <c r="D26" s="8">
        <v>45689</v>
      </c>
      <c r="E26" s="8">
        <v>45717</v>
      </c>
      <c r="F26" s="8">
        <v>45748</v>
      </c>
      <c r="G26" s="8">
        <v>45778</v>
      </c>
      <c r="H26" s="8">
        <v>45809</v>
      </c>
      <c r="I26" s="8">
        <v>45839</v>
      </c>
      <c r="J26" s="8">
        <v>45870</v>
      </c>
      <c r="K26" s="8">
        <v>45901</v>
      </c>
      <c r="L26" s="8">
        <v>45931</v>
      </c>
      <c r="M26" s="8">
        <v>45962</v>
      </c>
      <c r="N26" s="8">
        <v>45992</v>
      </c>
      <c r="O26" t="s" s="9">
        <v>28</v>
      </c>
      <c r="P26" t="s" s="9">
        <v>29</v>
      </c>
      <c r="Q26" t="s" s="9">
        <v>30</v>
      </c>
      <c r="R26" t="s" s="9">
        <v>31</v>
      </c>
      <c r="S26" t="s" s="9">
        <v>32</v>
      </c>
      <c r="T26" t="s" s="9">
        <v>33</v>
      </c>
      <c r="U26" t="s" s="9">
        <v>34</v>
      </c>
      <c r="V26" t="s" s="9">
        <v>35</v>
      </c>
      <c r="W26" t="s" s="9">
        <v>36</v>
      </c>
      <c r="X26" t="s" s="44">
        <v>37</v>
      </c>
    </row>
    <row r="27">
      <c r="A27" s="1"/>
      <c r="B27" t="s" s="10">
        <v>22</v>
      </c>
      <c r="C27" s="12">
        <f>C9</f>
        <v>5.61</v>
      </c>
      <c r="D27" s="12">
        <f>D9</f>
        <v>5.47</v>
      </c>
      <c r="E27" s="12">
        <f>E9</f>
        <v>5.9</v>
      </c>
      <c r="F27" s="12">
        <f>F9</f>
        <v>6.46</v>
      </c>
      <c r="G27" s="12">
        <f>G9</f>
        <v>7.16</v>
      </c>
      <c r="H27" s="12">
        <f>H9</f>
        <v>8.56</v>
      </c>
      <c r="I27" s="12">
        <f>I9</f>
        <v>9.82</v>
      </c>
      <c r="J27" s="12">
        <f>J9</f>
        <v>9.54</v>
      </c>
      <c r="K27" s="12">
        <f>K9</f>
        <v>8</v>
      </c>
      <c r="L27" s="12">
        <f>L9</f>
        <v>6.6</v>
      </c>
      <c r="M27" s="12">
        <f>M9</f>
        <v>5.61</v>
      </c>
      <c r="N27" s="12">
        <f>N9</f>
        <v>5.47</v>
      </c>
      <c r="O27" s="24">
        <f>SUM(C27:E27)</f>
        <v>16.98</v>
      </c>
      <c r="P27" s="24">
        <f>SUM(F27:H27)</f>
        <v>22.18</v>
      </c>
      <c r="Q27" s="24">
        <f>SUM(I27:K27)</f>
        <v>27.36</v>
      </c>
      <c r="R27" s="24">
        <f>SUM(L27:N27)</f>
        <v>17.68</v>
      </c>
      <c r="S27" s="24">
        <f>SUM(C27:N27)</f>
        <v>84.2</v>
      </c>
      <c r="T27" s="38">
        <f>T9</f>
        <v>23.6</v>
      </c>
      <c r="U27" s="38">
        <f>U9</f>
        <v>23.2</v>
      </c>
      <c r="V27" s="12">
        <f>T27-U27</f>
        <v>0.40000000000000213</v>
      </c>
      <c r="W27" s="12">
        <f>T27-O27</f>
        <v>6.620000000000001</v>
      </c>
      <c r="X27" t="s" s="45">
        <v>52</v>
      </c>
    </row>
    <row r="28">
      <c r="A28" s="1"/>
      <c r="B28" t="s" s="11">
        <v>23</v>
      </c>
      <c r="C28" s="16">
        <v>5.61</v>
      </c>
      <c r="D28" s="16">
        <v>5.47</v>
      </c>
      <c r="E28" s="16">
        <v>5.9</v>
      </c>
      <c r="F28" s="16">
        <v>6.46</v>
      </c>
      <c r="G28" s="16">
        <v>7.16</v>
      </c>
      <c r="H28" s="16">
        <v>8.56</v>
      </c>
      <c r="I28" s="16">
        <v>9.82</v>
      </c>
      <c r="J28" s="16">
        <v>9.54</v>
      </c>
      <c r="K28" s="16">
        <v>8</v>
      </c>
      <c r="L28" s="16">
        <v>6.6</v>
      </c>
      <c r="M28" s="16">
        <v>5.61</v>
      </c>
      <c r="N28" s="16">
        <v>5.47</v>
      </c>
      <c r="O28" s="25">
        <f>SUM(C28:E28)</f>
        <v>16.98</v>
      </c>
      <c r="P28" s="25">
        <f>SUM(F28:H28)</f>
        <v>22.18</v>
      </c>
      <c r="Q28" s="25">
        <f>SUM(I28:K28)</f>
        <v>27.36</v>
      </c>
      <c r="R28" s="25">
        <f>SUM(L28:N28)</f>
        <v>17.68</v>
      </c>
      <c r="S28" s="25">
        <f>SUM(C28:N28)</f>
        <v>84.2</v>
      </c>
      <c r="T28" s="34">
        <v>23.6</v>
      </c>
      <c r="U28" s="34">
        <v>23.2</v>
      </c>
      <c r="V28" s="13">
        <f>T28-U28</f>
        <v>0.40000000000000213</v>
      </c>
      <c r="W28" s="13">
        <f>T28-O28</f>
        <v>6.620000000000001</v>
      </c>
      <c r="X28" t="s" s="46">
        <v>53</v>
      </c>
    </row>
    <row r="29">
      <c r="A29" s="1"/>
      <c r="B29" t="s" s="20">
        <v>24</v>
      </c>
      <c r="C29" s="21">
        <f>C27-C28</f>
        <v>0</v>
      </c>
      <c r="D29" s="21">
        <f>D27-D28</f>
        <v>0</v>
      </c>
      <c r="E29" s="21">
        <f>E27-E28</f>
        <v>0</v>
      </c>
      <c r="F29" s="21">
        <f>F27-F28</f>
        <v>0</v>
      </c>
      <c r="G29" s="21">
        <f>G27-G28</f>
        <v>0</v>
      </c>
      <c r="H29" s="21">
        <f>H27-H28</f>
        <v>0</v>
      </c>
      <c r="I29" s="21">
        <f>I27-I28</f>
        <v>0</v>
      </c>
      <c r="J29" s="21">
        <f>J27-J28</f>
        <v>0</v>
      </c>
      <c r="K29" s="21">
        <f>K27-K28</f>
        <v>0</v>
      </c>
      <c r="L29" s="21">
        <f>L27-L28</f>
        <v>0</v>
      </c>
      <c r="M29" s="21">
        <f>M27-M28</f>
        <v>0</v>
      </c>
      <c r="N29" s="21">
        <f>N27-N28</f>
        <v>0</v>
      </c>
      <c r="O29" s="26">
        <f>SUM(C29:E29)</f>
        <v>0</v>
      </c>
      <c r="P29" s="26">
        <f>SUM(F29:H29)</f>
        <v>0</v>
      </c>
      <c r="Q29" s="26">
        <f>SUM(I29:K29)</f>
        <v>0</v>
      </c>
      <c r="R29" s="26">
        <f>SUM(L29:N29)</f>
        <v>0</v>
      </c>
      <c r="S29" s="26">
        <f>SUM(C29:N29)</f>
        <v>0</v>
      </c>
      <c r="T29" s="35">
        <f>T27-T28</f>
        <v>0</v>
      </c>
      <c r="U29" s="35">
        <f>U27-U28</f>
        <v>0</v>
      </c>
      <c r="V29" s="21">
        <f>T29-U29</f>
        <v>0</v>
      </c>
      <c r="W29" s="21">
        <f>T29-O29</f>
        <v>0</v>
      </c>
      <c r="X29" t="s" s="46">
        <v>42</v>
      </c>
    </row>
    <row r="30">
      <c r="A30" s="1"/>
      <c r="B30" t="s" s="11">
        <v>25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5"/>
      <c r="P30" s="25"/>
      <c r="Q30" s="25"/>
      <c r="R30" s="25"/>
      <c r="S30" s="29">
        <v>92.380652</v>
      </c>
      <c r="T30" s="39"/>
      <c r="U30" s="39"/>
      <c r="V30" s="13"/>
      <c r="W30" s="13"/>
      <c r="X30" t="s" s="46">
        <v>54</v>
      </c>
    </row>
    <row r="31">
      <c r="A31" s="1"/>
      <c r="B31" t="s" s="18">
        <v>26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30"/>
      <c r="P31" s="30"/>
      <c r="Q31" s="30"/>
      <c r="R31" s="30"/>
      <c r="S31" s="30">
        <f>S27-S30</f>
        <v>-8.180651999999995</v>
      </c>
      <c r="T31" s="40"/>
      <c r="U31" s="40"/>
      <c r="V31" s="19"/>
      <c r="W31" s="19"/>
      <c r="X31" t="s" s="46">
        <v>42</v>
      </c>
    </row>
    <row r="32">
      <c r="A32" s="1"/>
      <c r="B32" t="s" s="11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31"/>
      <c r="P32" s="31"/>
      <c r="Q32" s="31"/>
      <c r="R32" s="31"/>
      <c r="S32" s="32">
        <f>S31/S27</f>
        <v>-0.09715738717339661</v>
      </c>
      <c r="T32" s="41"/>
      <c r="U32" s="41"/>
      <c r="V32" s="11"/>
      <c r="W32" s="11"/>
      <c r="X32" t="s" s="46">
        <v>42</v>
      </c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47"/>
    </row>
    <row r="34">
      <c r="A34" s="1"/>
      <c r="B34" t="s" s="6">
        <v>329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48"/>
    </row>
    <row r="35">
      <c r="A35" s="1"/>
      <c r="B35" t="s" s="7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t="s" s="9">
        <v>100</v>
      </c>
      <c r="U35" s="7"/>
      <c r="V35" s="7"/>
      <c r="W35" s="7"/>
      <c r="X35" t="s" s="44">
        <v>37</v>
      </c>
    </row>
    <row r="36">
      <c r="A36" s="1"/>
      <c r="B36" t="s" s="10">
        <v>330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5">
        <v>361</v>
      </c>
      <c r="U36" s="10"/>
      <c r="V36" s="10"/>
      <c r="W36" s="10"/>
      <c r="X36" t="s" s="45">
        <v>336</v>
      </c>
    </row>
    <row r="37">
      <c r="A37" s="1"/>
      <c r="B37" t="s" s="11">
        <v>331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6">
        <v>317.452825</v>
      </c>
      <c r="U37" s="11"/>
      <c r="V37" s="11"/>
      <c r="W37" s="11"/>
      <c r="X37" t="s" s="46">
        <v>337</v>
      </c>
    </row>
    <row r="38">
      <c r="A38" s="1"/>
      <c r="B38" t="s" s="11">
        <v>332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3">
        <f>T36-T37</f>
        <v>43.54717499999998</v>
      </c>
      <c r="U38" s="11"/>
      <c r="V38" s="11"/>
      <c r="W38" s="11"/>
      <c r="X38" t="s" s="46">
        <v>338</v>
      </c>
    </row>
    <row r="39">
      <c r="A39" s="1"/>
      <c r="B39" t="s" s="11">
        <v>333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3">
        <f>T8*U39</f>
        <v>331.6</v>
      </c>
      <c r="U39" s="17">
        <v>4</v>
      </c>
      <c r="V39" t="s" s="43">
        <v>348</v>
      </c>
      <c r="W39" s="11"/>
      <c r="X39" t="s" s="46">
        <v>42</v>
      </c>
    </row>
    <row r="40">
      <c r="A40" s="1"/>
      <c r="B40" t="s" s="11">
        <v>334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3">
        <f>T39-T36</f>
        <v>-29.399999999999977</v>
      </c>
      <c r="U40" s="17"/>
      <c r="V40" s="43"/>
      <c r="W40" s="11"/>
      <c r="X40" t="s" s="46">
        <v>42</v>
      </c>
    </row>
    <row r="41">
      <c r="A41" s="1"/>
      <c r="B41" t="s" s="18">
        <v>335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9">
        <f>(T36-T8)/U41</f>
        <v>92.7</v>
      </c>
      <c r="U41" s="17">
        <v>3</v>
      </c>
      <c r="V41" t="s" s="43">
        <v>349</v>
      </c>
      <c r="W41" s="11"/>
      <c r="X41" t="s" s="46">
        <v>42</v>
      </c>
    </row>
  </sheetData>
  <mergeCells count="1">
    <mergeCell ref="B4:X4"/>
  </mergeCells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" sqref="A1"/>
    </sheetView>
  </sheetViews>
  <cols>
    <col min="1" max="1" width="2.21875" customWidth="1"/>
    <col min="2" max="2" width="55.21875" customWidth="1"/>
    <col min="3" max="3" width="9.7890625" customWidth="1"/>
    <col min="4" max="14" width="10.9296875" customWidth="1"/>
    <col min="15" max="15" width="72.35937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1"/>
      <c r="B2" t="s" s="2">
        <v>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>
      <c r="A3" s="1"/>
      <c r="B3" t="s" s="3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42" customHeight="1">
      <c r="A4" s="1"/>
      <c r="B4" t="s" s="5">
        <v>56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>
      <c r="A6" s="1"/>
      <c r="B6" t="s" s="6">
        <v>57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>
      <c r="A7" s="1"/>
      <c r="B7" t="s" s="7">
        <v>58</v>
      </c>
      <c r="C7" t="s" s="7">
        <v>91</v>
      </c>
      <c r="D7" t="s" s="9">
        <v>98</v>
      </c>
      <c r="E7" t="s" s="9">
        <v>102</v>
      </c>
      <c r="F7" t="s" s="9">
        <v>105</v>
      </c>
      <c r="G7" t="s" s="9">
        <v>108</v>
      </c>
      <c r="H7" t="s" s="9">
        <v>110</v>
      </c>
      <c r="I7" t="s" s="9">
        <v>111</v>
      </c>
      <c r="J7" t="s" s="9">
        <v>112</v>
      </c>
      <c r="K7" t="s" s="9">
        <v>113</v>
      </c>
      <c r="L7" t="s" s="9">
        <v>114</v>
      </c>
      <c r="M7" t="s" s="9">
        <v>34</v>
      </c>
      <c r="N7" t="s" s="9">
        <v>115</v>
      </c>
      <c r="O7" t="s" s="7">
        <v>37</v>
      </c>
    </row>
    <row r="8">
      <c r="A8" s="1"/>
      <c r="B8" t="s" s="10">
        <v>59</v>
      </c>
      <c r="C8" t="s" s="10">
        <v>92</v>
      </c>
      <c r="D8" s="15">
        <v>172.025</v>
      </c>
      <c r="E8" s="15">
        <v>183.825</v>
      </c>
      <c r="F8" s="15">
        <v>183.575</v>
      </c>
      <c r="G8" s="15">
        <v>192.175</v>
      </c>
      <c r="H8" s="15">
        <v>194.125</v>
      </c>
      <c r="I8" s="15">
        <v>197.075</v>
      </c>
      <c r="J8" s="15">
        <v>199.75</v>
      </c>
      <c r="K8" s="15">
        <v>200.65</v>
      </c>
      <c r="L8" s="33">
        <v>202.2</v>
      </c>
      <c r="M8" s="15">
        <v>201</v>
      </c>
      <c r="N8" s="15">
        <v>232</v>
      </c>
      <c r="O8" t="s" s="45">
        <v>116</v>
      </c>
    </row>
    <row r="9">
      <c r="A9" s="1"/>
      <c r="B9" t="s" s="11">
        <v>60</v>
      </c>
      <c r="C9" t="s" s="11">
        <v>92</v>
      </c>
      <c r="D9" s="16">
        <v>208</v>
      </c>
      <c r="E9" s="16">
        <v>208</v>
      </c>
      <c r="F9" s="16">
        <v>220</v>
      </c>
      <c r="G9" s="16">
        <v>220</v>
      </c>
      <c r="H9" s="16">
        <v>220</v>
      </c>
      <c r="I9" s="16">
        <v>220</v>
      </c>
      <c r="J9" s="16">
        <v>220</v>
      </c>
      <c r="K9" s="16">
        <v>220</v>
      </c>
      <c r="L9" s="34">
        <v>220</v>
      </c>
      <c r="M9" s="16">
        <v>220</v>
      </c>
      <c r="N9" s="16">
        <v>250</v>
      </c>
      <c r="O9" t="s" s="46">
        <v>117</v>
      </c>
    </row>
    <row r="10">
      <c r="A10" s="1"/>
      <c r="B10" t="s" s="18">
        <v>61</v>
      </c>
      <c r="C10" t="s" s="18">
        <v>93</v>
      </c>
      <c r="D10" s="63">
        <f>D8/D9</f>
        <v>0.8270432692307692</v>
      </c>
      <c r="E10" s="63">
        <f>E8/E9</f>
        <v>0.8837740384615385</v>
      </c>
      <c r="F10" s="63">
        <f>F8/F9</f>
        <v>0.8344318181818181</v>
      </c>
      <c r="G10" s="63">
        <f>G8/G9</f>
        <v>0.8735227272727273</v>
      </c>
      <c r="H10" s="63">
        <f>H8/H9</f>
        <v>0.8823863636363637</v>
      </c>
      <c r="I10" s="63">
        <f>I8/I9</f>
        <v>0.8957954545454545</v>
      </c>
      <c r="J10" s="63">
        <f>J8/J9</f>
        <v>0.9079545454545455</v>
      </c>
      <c r="K10" s="63">
        <f>K8/K9</f>
        <v>0.9120454545454546</v>
      </c>
      <c r="L10" s="66">
        <f>L8/L9</f>
        <v>0.9190909090909091</v>
      </c>
      <c r="M10" s="63">
        <f>M8/M9</f>
        <v>0.9136363636363637</v>
      </c>
      <c r="N10" s="63">
        <f>N8/N9</f>
        <v>0.928</v>
      </c>
      <c r="O10" t="s" s="46">
        <v>118</v>
      </c>
    </row>
    <row r="11">
      <c r="A11" s="1"/>
      <c r="B11" t="s" s="11">
        <v>62</v>
      </c>
      <c r="C11" t="s" s="11">
        <v>93</v>
      </c>
      <c r="D11" s="54">
        <v>0.906</v>
      </c>
      <c r="E11" s="54">
        <v>0.908</v>
      </c>
      <c r="F11" s="54">
        <v>0.912</v>
      </c>
      <c r="G11" s="54">
        <v>0.91</v>
      </c>
      <c r="H11" s="54">
        <v>0.904</v>
      </c>
      <c r="I11" s="54">
        <v>0.915</v>
      </c>
      <c r="J11" s="54">
        <v>0.908</v>
      </c>
      <c r="K11" s="54">
        <v>0.91</v>
      </c>
      <c r="L11" s="67">
        <v>0.913</v>
      </c>
      <c r="M11" s="14"/>
      <c r="N11" s="54">
        <v>0.9</v>
      </c>
      <c r="O11" t="s" s="46">
        <v>119</v>
      </c>
    </row>
    <row r="12">
      <c r="A12" s="1"/>
      <c r="B12" t="s" s="11">
        <v>63</v>
      </c>
      <c r="C12" t="s" s="11">
        <v>93</v>
      </c>
      <c r="D12" s="14">
        <f>1-D11</f>
        <v>0.09399999999999997</v>
      </c>
      <c r="E12" s="14">
        <f>1-E11</f>
        <v>0.09199999999999997</v>
      </c>
      <c r="F12" s="14">
        <f>1-F11</f>
        <v>0.08799999999999997</v>
      </c>
      <c r="G12" s="14">
        <f>1-G11</f>
        <v>0.08999999999999997</v>
      </c>
      <c r="H12" s="14">
        <f>1-H11</f>
        <v>0.09599999999999997</v>
      </c>
      <c r="I12" s="14">
        <f>1-I11</f>
        <v>0.08499999999999996</v>
      </c>
      <c r="J12" s="14">
        <f>1-J11</f>
        <v>0.09199999999999997</v>
      </c>
      <c r="K12" s="14">
        <f>1-K11</f>
        <v>0.08999999999999997</v>
      </c>
      <c r="L12" s="68">
        <f>1-L11</f>
        <v>0.08699999999999997</v>
      </c>
      <c r="M12" s="14"/>
      <c r="N12" s="14">
        <f>1-N11</f>
        <v>0.09999999999999998</v>
      </c>
      <c r="O12" t="s" s="46">
        <v>42</v>
      </c>
    </row>
    <row r="13">
      <c r="A13" s="1"/>
      <c r="B13" t="s" s="11">
        <v>64</v>
      </c>
      <c r="C13" t="s" s="11">
        <v>94</v>
      </c>
      <c r="D13" s="55">
        <v>1.32</v>
      </c>
      <c r="E13" s="55">
        <v>1.31</v>
      </c>
      <c r="F13" s="55">
        <v>1.31</v>
      </c>
      <c r="G13" s="55">
        <v>1.31</v>
      </c>
      <c r="H13" s="55">
        <v>1.31</v>
      </c>
      <c r="I13" s="55">
        <v>1.3</v>
      </c>
      <c r="J13" s="55">
        <v>1.3</v>
      </c>
      <c r="K13" s="55">
        <v>1.29</v>
      </c>
      <c r="L13" s="69">
        <v>1.29</v>
      </c>
      <c r="M13" s="50"/>
      <c r="N13" s="55">
        <v>1.29</v>
      </c>
      <c r="O13" t="s" s="46">
        <v>120</v>
      </c>
    </row>
    <row r="14">
      <c r="A14" s="1"/>
      <c r="B14" t="s" s="11">
        <v>65</v>
      </c>
      <c r="C14" t="s" s="11">
        <v>93</v>
      </c>
      <c r="D14" s="56">
        <v>99.9992</v>
      </c>
      <c r="E14" s="56">
        <v>99.9996</v>
      </c>
      <c r="F14" s="56">
        <v>99.9991</v>
      </c>
      <c r="G14" s="56">
        <v>99.9995</v>
      </c>
      <c r="H14" s="56">
        <v>99.9996</v>
      </c>
      <c r="I14" s="56">
        <v>99.9993</v>
      </c>
      <c r="J14" s="56">
        <v>99.9992</v>
      </c>
      <c r="K14" s="56">
        <v>99.9995</v>
      </c>
      <c r="L14" s="70">
        <v>99.9996</v>
      </c>
      <c r="M14" s="51"/>
      <c r="N14" s="51"/>
      <c r="O14" t="s" s="46">
        <v>121</v>
      </c>
    </row>
    <row r="15">
      <c r="A15" s="1"/>
      <c r="B15" t="s" s="11">
        <v>66</v>
      </c>
      <c r="C15" t="s" s="11">
        <v>95</v>
      </c>
      <c r="D15" s="16">
        <v>228.395472</v>
      </c>
      <c r="E15" s="16">
        <v>244.237088</v>
      </c>
      <c r="F15" s="16">
        <v>252.552576</v>
      </c>
      <c r="G15" s="16">
        <v>262.414864</v>
      </c>
      <c r="H15" s="16">
        <v>295.951276</v>
      </c>
      <c r="I15" s="16">
        <v>302.332488</v>
      </c>
      <c r="J15" s="16">
        <v>308.825016</v>
      </c>
      <c r="K15" s="16">
        <v>312.89122</v>
      </c>
      <c r="L15" s="34">
        <v>331.6</v>
      </c>
      <c r="M15" s="13"/>
      <c r="N15" s="13"/>
      <c r="O15" t="s" s="46">
        <v>122</v>
      </c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7"/>
    </row>
    <row r="17">
      <c r="A17" s="1"/>
      <c r="B17" t="s" s="6">
        <v>67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48"/>
    </row>
    <row r="18">
      <c r="A18" s="1"/>
      <c r="B18" t="s" s="7">
        <v>68</v>
      </c>
      <c r="C18" t="s" s="7">
        <v>91</v>
      </c>
      <c r="D18" t="s" s="9">
        <v>99</v>
      </c>
      <c r="E18" t="s" s="9">
        <v>103</v>
      </c>
      <c r="F18" t="s" s="9">
        <v>106</v>
      </c>
      <c r="G18" t="s" s="7">
        <v>109</v>
      </c>
      <c r="H18" s="7"/>
      <c r="I18" s="7"/>
      <c r="J18" s="7"/>
      <c r="K18" s="7"/>
      <c r="L18" s="7"/>
      <c r="M18" s="7"/>
      <c r="N18" s="7"/>
      <c r="O18" t="s" s="44">
        <v>37</v>
      </c>
    </row>
    <row r="19">
      <c r="A19" s="1"/>
      <c r="B19" t="s" s="10">
        <v>69</v>
      </c>
      <c r="C19" t="s" s="10">
        <v>92</v>
      </c>
      <c r="D19" s="15">
        <v>188.6</v>
      </c>
      <c r="E19" s="12">
        <f>H8</f>
        <v>194.125</v>
      </c>
      <c r="F19" s="12">
        <f>E19-D19</f>
        <v>5.525000000000006</v>
      </c>
      <c r="G19" t="s" s="61">
        <v>103</v>
      </c>
      <c r="H19" s="10"/>
      <c r="I19" s="10"/>
      <c r="J19" s="10"/>
      <c r="K19" s="10"/>
      <c r="L19" s="10"/>
      <c r="M19" s="10"/>
      <c r="N19" s="10"/>
      <c r="O19" t="s" s="45">
        <v>123</v>
      </c>
    </row>
    <row r="20">
      <c r="A20" s="1"/>
      <c r="B20" t="s" s="11">
        <v>70</v>
      </c>
      <c r="C20" t="s" s="11">
        <v>92</v>
      </c>
      <c r="D20" s="16">
        <v>214</v>
      </c>
      <c r="E20" s="13">
        <f>H9</f>
        <v>220</v>
      </c>
      <c r="F20" s="13">
        <f>E20-D20</f>
        <v>6</v>
      </c>
      <c r="G20" t="s" s="62">
        <v>103</v>
      </c>
      <c r="H20" s="11"/>
      <c r="I20" s="11"/>
      <c r="J20" s="11"/>
      <c r="K20" s="11"/>
      <c r="L20" s="11"/>
      <c r="M20" s="11"/>
      <c r="N20" s="11"/>
      <c r="O20" t="s" s="46">
        <v>124</v>
      </c>
    </row>
    <row r="21">
      <c r="A21" s="1"/>
      <c r="B21" t="s" s="11">
        <v>71</v>
      </c>
      <c r="C21" t="s" s="11">
        <v>93</v>
      </c>
      <c r="D21" s="14">
        <f>D19/D20</f>
        <v>0.8813084112149533</v>
      </c>
      <c r="E21" s="14">
        <f>E19/E20</f>
        <v>0.8823863636363637</v>
      </c>
      <c r="F21" s="14">
        <f>E21-D21</f>
        <v>0.0010779524214103997</v>
      </c>
      <c r="G21" t="s" s="62">
        <v>103</v>
      </c>
      <c r="H21" s="11"/>
      <c r="I21" s="11"/>
      <c r="J21" s="11"/>
      <c r="K21" s="11"/>
      <c r="L21" s="11"/>
      <c r="M21" s="11"/>
      <c r="N21" s="11"/>
      <c r="O21" t="s" s="46">
        <v>42</v>
      </c>
    </row>
    <row r="22">
      <c r="A22" s="1"/>
      <c r="B22" t="s" s="11">
        <v>72</v>
      </c>
      <c r="C22" t="s" s="11">
        <v>92</v>
      </c>
      <c r="D22" s="16">
        <v>13.6</v>
      </c>
      <c r="E22" s="13">
        <f>L8-H8</f>
        <v>8.074999999999989</v>
      </c>
      <c r="F22" s="13">
        <f>E22-D22</f>
        <v>-5.525000000000011</v>
      </c>
      <c r="G22" t="s" s="62">
        <v>103</v>
      </c>
      <c r="H22" s="11"/>
      <c r="I22" s="11"/>
      <c r="J22" s="11"/>
      <c r="K22" s="11"/>
      <c r="L22" s="11"/>
      <c r="M22" s="11"/>
      <c r="N22" s="11"/>
      <c r="O22" t="s" s="46">
        <v>125</v>
      </c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47"/>
    </row>
    <row r="24">
      <c r="A24" s="1"/>
      <c r="B24" t="s" s="6">
        <v>73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48"/>
    </row>
    <row r="25">
      <c r="A25" s="1"/>
      <c r="B25" t="s" s="7">
        <v>68</v>
      </c>
      <c r="C25" t="s" s="7">
        <v>91</v>
      </c>
      <c r="D25" t="s" s="9">
        <v>100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t="s" s="44">
        <v>37</v>
      </c>
    </row>
    <row r="26">
      <c r="A26" s="1"/>
      <c r="B26" t="s" s="10">
        <v>74</v>
      </c>
      <c r="C26" t="s" s="10">
        <v>92</v>
      </c>
      <c r="D26" s="57">
        <v>200.65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t="s" s="45">
        <v>126</v>
      </c>
    </row>
    <row r="27">
      <c r="A27" s="1"/>
      <c r="B27" t="s" s="11">
        <v>75</v>
      </c>
      <c r="C27" t="s" s="11">
        <v>92</v>
      </c>
      <c r="D27" s="58">
        <v>1.55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t="s" s="46">
        <v>127</v>
      </c>
    </row>
    <row r="28">
      <c r="A28" s="1"/>
      <c r="B28" t="s" s="11">
        <v>76</v>
      </c>
      <c r="C28" t="s" s="11">
        <v>92</v>
      </c>
      <c r="D28" s="58">
        <v>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t="s" s="46">
        <v>127</v>
      </c>
    </row>
    <row r="29">
      <c r="A29" s="1"/>
      <c r="B29" t="s" s="18">
        <v>77</v>
      </c>
      <c r="C29" t="s" s="18">
        <v>92</v>
      </c>
      <c r="D29" s="64">
        <f>D26+D27-D28</f>
        <v>202.20000000000002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t="s" s="46">
        <v>128</v>
      </c>
    </row>
    <row r="30">
      <c r="A30" s="1"/>
      <c r="B30" t="s" s="11">
        <v>78</v>
      </c>
      <c r="C30" t="s" s="11">
        <v>92</v>
      </c>
      <c r="D30" s="58">
        <v>4.2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t="s" s="46">
        <v>129</v>
      </c>
    </row>
    <row r="31">
      <c r="A31" s="1"/>
      <c r="B31" t="s" s="11">
        <v>79</v>
      </c>
      <c r="C31" t="s" s="11">
        <v>92</v>
      </c>
      <c r="D31" s="58">
        <v>232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t="s" s="46">
        <v>130</v>
      </c>
    </row>
    <row r="32">
      <c r="A32" s="1"/>
      <c r="B32" t="s" s="11">
        <v>80</v>
      </c>
      <c r="C32" t="s" s="11">
        <v>92</v>
      </c>
      <c r="D32" s="58">
        <v>24.5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t="s" s="46">
        <v>131</v>
      </c>
    </row>
    <row r="33">
      <c r="A33" s="1"/>
      <c r="B33" t="s" s="20">
        <v>81</v>
      </c>
      <c r="C33" t="s" s="20">
        <v>92</v>
      </c>
      <c r="D33" s="65">
        <f>D31-D29</f>
        <v>29.799999999999983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t="s" s="46">
        <v>42</v>
      </c>
    </row>
    <row r="34">
      <c r="A34" s="1"/>
      <c r="B34" t="s" s="11">
        <v>82</v>
      </c>
      <c r="C34" t="s" s="11">
        <v>92</v>
      </c>
      <c r="D34" s="52">
        <f>D33-D32</f>
        <v>5.299999999999983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t="s" s="46">
        <v>42</v>
      </c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7"/>
    </row>
    <row r="36">
      <c r="A36" s="1"/>
      <c r="B36" t="s" s="6">
        <v>83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48"/>
    </row>
    <row r="37">
      <c r="A37" s="1"/>
      <c r="B37" t="s" s="7">
        <v>68</v>
      </c>
      <c r="C37" t="s" s="7">
        <v>91</v>
      </c>
      <c r="D37" s="49">
        <v>46066</v>
      </c>
      <c r="E37" s="49">
        <v>46171</v>
      </c>
      <c r="F37" t="s" s="9">
        <v>107</v>
      </c>
      <c r="G37" s="7"/>
      <c r="H37" s="7"/>
      <c r="I37" s="7"/>
      <c r="J37" s="7"/>
      <c r="K37" s="7"/>
      <c r="L37" s="7"/>
      <c r="M37" s="7"/>
      <c r="N37" s="7"/>
      <c r="O37" t="s" s="44">
        <v>37</v>
      </c>
    </row>
    <row r="38">
      <c r="A38" s="1"/>
      <c r="B38" t="s" s="10">
        <v>84</v>
      </c>
      <c r="C38" t="s" s="10">
        <v>96</v>
      </c>
      <c r="D38" s="59">
        <v>36</v>
      </c>
      <c r="E38" s="59">
        <v>30</v>
      </c>
      <c r="F38" s="53">
        <f>E38-D38</f>
        <v>-6</v>
      </c>
      <c r="G38" s="10"/>
      <c r="H38" s="10"/>
      <c r="I38" s="10"/>
      <c r="J38" s="10"/>
      <c r="K38" s="10"/>
      <c r="L38" s="10"/>
      <c r="M38" s="10"/>
      <c r="N38" s="10"/>
      <c r="O38" t="s" s="45">
        <v>132</v>
      </c>
    </row>
    <row r="39">
      <c r="A39" s="1"/>
      <c r="B39" t="s" s="11">
        <v>85</v>
      </c>
      <c r="C39" t="s" s="11">
        <v>92</v>
      </c>
      <c r="D39" s="16">
        <v>169.3</v>
      </c>
      <c r="E39" s="16">
        <v>176.3</v>
      </c>
      <c r="F39" s="13">
        <f>E39-D39</f>
        <v>7</v>
      </c>
      <c r="G39" s="11"/>
      <c r="H39" s="11"/>
      <c r="I39" s="11"/>
      <c r="J39" s="11"/>
      <c r="K39" s="11"/>
      <c r="L39" s="11"/>
      <c r="M39" s="11"/>
      <c r="N39" s="11"/>
      <c r="O39" t="s" s="46">
        <v>133</v>
      </c>
    </row>
    <row r="40">
      <c r="A40" s="1"/>
      <c r="B40" t="s" s="11">
        <v>86</v>
      </c>
      <c r="C40" t="s" s="11">
        <v>92</v>
      </c>
      <c r="D40" s="16">
        <v>36.1</v>
      </c>
      <c r="E40" s="16">
        <v>49.7</v>
      </c>
      <c r="F40" s="13">
        <f>E40-D40</f>
        <v>13.600000000000001</v>
      </c>
      <c r="G40" s="11"/>
      <c r="H40" s="11"/>
      <c r="I40" s="11"/>
      <c r="J40" s="11"/>
      <c r="K40" s="11"/>
      <c r="L40" s="11"/>
      <c r="M40" s="11"/>
      <c r="N40" s="11"/>
      <c r="O40" t="s" s="46">
        <v>133</v>
      </c>
    </row>
    <row r="41">
      <c r="A41" s="1"/>
      <c r="B41" t="s" s="11">
        <v>87</v>
      </c>
      <c r="C41" t="s" s="11">
        <v>92</v>
      </c>
      <c r="D41" s="13"/>
      <c r="E41" s="16">
        <v>8.8</v>
      </c>
      <c r="F41" s="13"/>
      <c r="G41" s="11"/>
      <c r="H41" s="11"/>
      <c r="I41" s="11"/>
      <c r="J41" s="11"/>
      <c r="K41" s="11"/>
      <c r="L41" s="11"/>
      <c r="M41" s="11"/>
      <c r="N41" s="11"/>
      <c r="O41" t="s" s="46">
        <v>134</v>
      </c>
    </row>
    <row r="42">
      <c r="A42" s="1"/>
      <c r="B42" t="s" s="11">
        <v>88</v>
      </c>
      <c r="C42" t="s" s="11">
        <v>92</v>
      </c>
      <c r="D42" s="13"/>
      <c r="E42" s="16">
        <v>18</v>
      </c>
      <c r="F42" s="13"/>
      <c r="G42" s="11"/>
      <c r="H42" s="11"/>
      <c r="I42" s="11"/>
      <c r="J42" s="11"/>
      <c r="K42" s="11"/>
      <c r="L42" s="11"/>
      <c r="M42" s="11"/>
      <c r="N42" s="11"/>
      <c r="O42" t="s" s="46">
        <v>135</v>
      </c>
    </row>
    <row r="43">
      <c r="A43" s="1"/>
      <c r="B43" t="s" s="11">
        <v>89</v>
      </c>
      <c r="C43" t="s" s="11">
        <v>97</v>
      </c>
      <c r="D43" s="11"/>
      <c r="E43" s="60">
        <v>118</v>
      </c>
      <c r="F43" s="11"/>
      <c r="G43" s="11"/>
      <c r="H43" s="11"/>
      <c r="I43" s="11"/>
      <c r="J43" s="11"/>
      <c r="K43" s="11"/>
      <c r="L43" s="11"/>
      <c r="M43" s="11"/>
      <c r="N43" s="11"/>
      <c r="O43" t="s" s="46">
        <v>136</v>
      </c>
    </row>
    <row r="44">
      <c r="A44" s="1"/>
      <c r="B44" t="s" s="11">
        <v>90</v>
      </c>
      <c r="C44" t="s" s="11">
        <v>92</v>
      </c>
      <c r="D44" s="11"/>
      <c r="E44" s="16">
        <v>12</v>
      </c>
      <c r="F44" s="11"/>
      <c r="G44" s="11"/>
      <c r="H44" s="11"/>
      <c r="I44" s="11"/>
      <c r="J44" s="11"/>
      <c r="K44" s="11"/>
      <c r="L44" s="11"/>
      <c r="M44" s="11"/>
      <c r="N44" s="11"/>
      <c r="O44" t="s" s="46">
        <v>137</v>
      </c>
    </row>
  </sheetData>
  <mergeCells count="1">
    <mergeCell ref="B4:O4"/>
  </mergeCells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showGridLines="0" workbookViewId="0">
      <selection activeCell="A1" sqref="A1"/>
    </sheetView>
  </sheetViews>
  <cols>
    <col min="1" max="1" width="2.21875" customWidth="1"/>
    <col min="2" max="2" width="74.21875" customWidth="1"/>
    <col min="3" max="3" width="7.50390625" customWidth="1"/>
    <col min="4" max="6" width="16.64453125" customWidth="1"/>
    <col min="7" max="7" width="68.50390625" customWidth="1"/>
    <col min="8" max="16" width="7.929687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t="s" s="2">
        <v>138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t="s" s="3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42" customHeight="1">
      <c r="A4" s="1"/>
      <c r="B4" t="s" s="5">
        <v>339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>
      <c r="A6" s="1"/>
      <c r="B6" t="s" s="6">
        <v>140</v>
      </c>
      <c r="C6" s="6"/>
      <c r="D6" s="6"/>
      <c r="E6" s="6"/>
      <c r="F6" s="6"/>
      <c r="G6" s="6"/>
      <c r="H6" s="1"/>
      <c r="I6" s="1"/>
      <c r="J6" s="1"/>
      <c r="K6" s="1"/>
      <c r="L6" s="1"/>
      <c r="M6" s="1"/>
      <c r="N6" s="1"/>
      <c r="O6" s="1"/>
      <c r="P6" s="1"/>
    </row>
    <row r="7">
      <c r="A7" s="1"/>
      <c r="B7" t="s" s="7">
        <v>68</v>
      </c>
      <c r="C7" t="s" s="7">
        <v>91</v>
      </c>
      <c r="D7" t="s" s="9">
        <v>100</v>
      </c>
      <c r="E7" s="7"/>
      <c r="F7" s="7"/>
      <c r="G7" t="s" s="7">
        <v>37</v>
      </c>
      <c r="H7" s="1"/>
      <c r="I7" s="1"/>
      <c r="J7" s="1"/>
      <c r="K7" s="1"/>
      <c r="L7" s="1"/>
      <c r="M7" s="1"/>
      <c r="N7" s="1"/>
      <c r="O7" s="1"/>
      <c r="P7" s="1"/>
    </row>
    <row r="8">
      <c r="A8" s="1"/>
      <c r="B8" t="s" s="10">
        <v>141</v>
      </c>
      <c r="C8" t="s" s="10">
        <v>95</v>
      </c>
      <c r="D8" s="15">
        <v>75.7</v>
      </c>
      <c r="E8" s="10"/>
      <c r="F8" s="10"/>
      <c r="G8" t="s" s="45">
        <v>202</v>
      </c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t="s" s="11">
        <v>142</v>
      </c>
      <c r="C9" t="s" s="11">
        <v>95</v>
      </c>
      <c r="D9" s="16">
        <v>420</v>
      </c>
      <c r="E9" s="11"/>
      <c r="F9" s="11"/>
      <c r="G9" t="s" s="46">
        <v>203</v>
      </c>
      <c r="H9" s="1"/>
      <c r="I9" s="1"/>
      <c r="J9" s="1"/>
      <c r="K9" s="1"/>
      <c r="L9" s="1"/>
      <c r="M9" s="1"/>
      <c r="N9" s="1"/>
      <c r="O9" s="1"/>
      <c r="P9" s="1"/>
    </row>
    <row r="10">
      <c r="A10" s="1"/>
      <c r="B10" t="s" s="11">
        <v>143</v>
      </c>
      <c r="C10" t="s" s="11">
        <v>95</v>
      </c>
      <c r="D10" s="16">
        <v>15.2</v>
      </c>
      <c r="E10" s="11"/>
      <c r="F10" s="11"/>
      <c r="G10" t="s" s="46">
        <v>204</v>
      </c>
      <c r="H10" s="1"/>
      <c r="I10" s="1"/>
      <c r="J10" s="1"/>
      <c r="K10" s="1"/>
      <c r="L10" s="1"/>
      <c r="M10" s="1"/>
      <c r="N10" s="1"/>
      <c r="O10" s="1"/>
      <c r="P10" s="1"/>
    </row>
    <row r="11">
      <c r="A11" s="1"/>
      <c r="B11" t="s" s="18">
        <v>144</v>
      </c>
      <c r="C11" t="s" s="18">
        <v>95</v>
      </c>
      <c r="D11" s="19">
        <f>D9+D10</f>
        <v>435.2</v>
      </c>
      <c r="E11" s="11"/>
      <c r="F11" s="11"/>
      <c r="G11" t="s" s="46">
        <v>42</v>
      </c>
      <c r="H11" s="1"/>
      <c r="I11" s="1"/>
      <c r="J11" s="1"/>
      <c r="K11" s="1"/>
      <c r="L11" s="1"/>
      <c r="M11" s="1"/>
      <c r="N11" s="1"/>
      <c r="O11" s="1"/>
      <c r="P11" s="1"/>
    </row>
    <row r="12">
      <c r="A12" s="1"/>
      <c r="B12" t="s" s="11">
        <v>145</v>
      </c>
      <c r="C12" t="s" s="11">
        <v>93</v>
      </c>
      <c r="D12" s="81">
        <v>0.25</v>
      </c>
      <c r="E12" s="11"/>
      <c r="F12" s="11"/>
      <c r="G12" t="s" s="46">
        <v>205</v>
      </c>
      <c r="H12" s="1"/>
      <c r="I12" s="1"/>
      <c r="J12" s="1"/>
      <c r="K12" s="1"/>
      <c r="L12" s="1"/>
      <c r="M12" s="1"/>
      <c r="N12" s="1"/>
      <c r="O12" s="1"/>
      <c r="P12" s="1"/>
    </row>
    <row r="13">
      <c r="A13" s="1"/>
      <c r="B13" t="s" s="11">
        <v>146</v>
      </c>
      <c r="C13" t="s" s="11">
        <v>95</v>
      </c>
      <c r="D13" s="13">
        <f>D11*D12</f>
        <v>108.8</v>
      </c>
      <c r="E13" s="11"/>
      <c r="F13" s="11"/>
      <c r="G13" t="s" s="46">
        <v>42</v>
      </c>
      <c r="H13" s="1"/>
      <c r="I13" s="1"/>
      <c r="J13" s="1"/>
      <c r="K13" s="1"/>
      <c r="L13" s="1"/>
      <c r="M13" s="1"/>
      <c r="N13" s="1"/>
      <c r="O13" s="1"/>
      <c r="P13" s="1"/>
    </row>
    <row r="14">
      <c r="A14" s="1"/>
      <c r="B14" t="s" s="11">
        <v>147</v>
      </c>
      <c r="C14" t="s" s="11">
        <v>95</v>
      </c>
      <c r="D14" s="13">
        <f>D8-D13</f>
        <v>-33.099999999999994</v>
      </c>
      <c r="E14" s="11"/>
      <c r="F14" s="11"/>
      <c r="G14" t="s" s="46">
        <v>42</v>
      </c>
      <c r="H14" s="1"/>
      <c r="I14" s="1"/>
      <c r="J14" s="1"/>
      <c r="K14" s="1"/>
      <c r="L14" s="1"/>
      <c r="M14" s="1"/>
      <c r="N14" s="1"/>
      <c r="O14" s="1"/>
      <c r="P14" s="1"/>
    </row>
    <row r="15">
      <c r="A15" s="1"/>
      <c r="B15" t="s" s="11">
        <v>148</v>
      </c>
      <c r="C15" t="s" s="11">
        <v>93</v>
      </c>
      <c r="D15" s="14">
        <f>D8/D11</f>
        <v>0.17394301470588236</v>
      </c>
      <c r="E15" s="11"/>
      <c r="F15" s="11"/>
      <c r="G15" t="s" s="46">
        <v>42</v>
      </c>
      <c r="H15" s="1"/>
      <c r="I15" s="1"/>
      <c r="J15" s="1"/>
      <c r="K15" s="1"/>
      <c r="L15" s="1"/>
      <c r="M15" s="1"/>
      <c r="N15" s="1"/>
      <c r="O15" s="1"/>
      <c r="P15" s="1"/>
    </row>
    <row r="16">
      <c r="A16" s="1"/>
      <c r="B16" s="1"/>
      <c r="C16" s="1"/>
      <c r="D16" s="72"/>
      <c r="E16" s="1"/>
      <c r="F16" s="1"/>
      <c r="G16" s="47"/>
      <c r="H16" s="1"/>
      <c r="I16" s="1"/>
      <c r="J16" s="1"/>
      <c r="K16" s="1"/>
      <c r="L16" s="1"/>
      <c r="M16" s="1"/>
      <c r="N16" s="1"/>
      <c r="O16" s="1"/>
      <c r="P16" s="1"/>
    </row>
    <row r="17">
      <c r="A17" s="1"/>
      <c r="B17" t="s" s="6">
        <v>149</v>
      </c>
      <c r="C17" s="6"/>
      <c r="D17" s="73"/>
      <c r="E17" s="6"/>
      <c r="F17" s="6"/>
      <c r="G17" s="48"/>
      <c r="H17" s="1"/>
      <c r="I17" s="1"/>
      <c r="J17" s="1"/>
      <c r="K17" s="1"/>
      <c r="L17" s="1"/>
      <c r="M17" s="1"/>
      <c r="N17" s="1"/>
      <c r="O17" s="1"/>
      <c r="P17" s="1"/>
    </row>
    <row r="18">
      <c r="A18" s="1"/>
      <c r="B18" t="s" s="7">
        <v>68</v>
      </c>
      <c r="C18" t="s" s="7">
        <v>91</v>
      </c>
      <c r="D18" t="s" s="74">
        <v>100</v>
      </c>
      <c r="E18" s="7"/>
      <c r="F18" s="7"/>
      <c r="G18" t="s" s="44">
        <v>37</v>
      </c>
      <c r="H18" s="1"/>
      <c r="I18" s="1"/>
      <c r="J18" s="1"/>
      <c r="K18" s="1"/>
      <c r="L18" s="1"/>
      <c r="M18" s="1"/>
      <c r="N18" s="1"/>
      <c r="O18" s="1"/>
      <c r="P18" s="1"/>
    </row>
    <row r="19">
      <c r="A19" s="1"/>
      <c r="B19" t="s" s="10">
        <v>150</v>
      </c>
      <c r="C19" t="s" s="10">
        <v>95</v>
      </c>
      <c r="D19" s="15">
        <v>618</v>
      </c>
      <c r="E19" s="10"/>
      <c r="F19" s="10"/>
      <c r="G19" t="s" s="45">
        <v>206</v>
      </c>
      <c r="H19" s="1"/>
      <c r="I19" s="1"/>
      <c r="J19" s="1"/>
      <c r="K19" s="1"/>
      <c r="L19" s="1"/>
      <c r="M19" s="1"/>
      <c r="N19" s="1"/>
      <c r="O19" s="1"/>
      <c r="P19" s="1"/>
    </row>
    <row r="20">
      <c r="A20" s="1"/>
      <c r="B20" t="s" s="11">
        <v>151</v>
      </c>
      <c r="C20" t="s" s="11">
        <v>95</v>
      </c>
      <c r="D20" s="16">
        <v>341</v>
      </c>
      <c r="E20" s="11"/>
      <c r="F20" s="11"/>
      <c r="G20" t="s" s="46">
        <v>207</v>
      </c>
      <c r="H20" s="1"/>
      <c r="I20" s="1"/>
      <c r="J20" s="1"/>
      <c r="K20" s="1"/>
      <c r="L20" s="1"/>
      <c r="M20" s="1"/>
      <c r="N20" s="1"/>
      <c r="O20" s="1"/>
      <c r="P20" s="1"/>
    </row>
    <row r="21">
      <c r="A21" s="1"/>
      <c r="B21" t="s" s="11">
        <v>152</v>
      </c>
      <c r="C21" t="s" s="11">
        <v>95</v>
      </c>
      <c r="D21" s="16">
        <v>24.3</v>
      </c>
      <c r="E21" s="11"/>
      <c r="F21" s="11"/>
      <c r="G21" t="s" s="46">
        <v>208</v>
      </c>
      <c r="H21" s="1"/>
      <c r="I21" s="1"/>
      <c r="J21" s="1"/>
      <c r="K21" s="1"/>
      <c r="L21" s="1"/>
      <c r="M21" s="1"/>
      <c r="N21" s="1"/>
      <c r="O21" s="1"/>
      <c r="P21" s="1"/>
    </row>
    <row r="22">
      <c r="A22" s="1"/>
      <c r="B22" t="s" s="11">
        <v>153</v>
      </c>
      <c r="C22" t="s" s="11">
        <v>95</v>
      </c>
      <c r="D22" s="16">
        <v>23.7</v>
      </c>
      <c r="E22" s="11"/>
      <c r="F22" s="11"/>
      <c r="G22" t="s" s="46">
        <v>133</v>
      </c>
      <c r="H22" s="1"/>
      <c r="I22" s="1"/>
      <c r="J22" s="1"/>
      <c r="K22" s="1"/>
      <c r="L22" s="1"/>
      <c r="M22" s="1"/>
      <c r="N22" s="1"/>
      <c r="O22" s="1"/>
      <c r="P22" s="1"/>
    </row>
    <row r="23">
      <c r="A23" s="1"/>
      <c r="B23" t="s" s="11">
        <v>154</v>
      </c>
      <c r="C23" t="s" s="11">
        <v>95</v>
      </c>
      <c r="D23" s="16">
        <v>23</v>
      </c>
      <c r="E23" s="11"/>
      <c r="F23" s="11"/>
      <c r="G23" t="s" s="46">
        <v>133</v>
      </c>
      <c r="H23" s="1"/>
      <c r="I23" s="1"/>
      <c r="J23" s="1"/>
      <c r="K23" s="1"/>
      <c r="L23" s="1"/>
      <c r="M23" s="1"/>
      <c r="N23" s="1"/>
      <c r="O23" s="1"/>
      <c r="P23" s="1"/>
    </row>
    <row r="24">
      <c r="A24" s="1"/>
      <c r="B24" t="s" s="18">
        <v>155</v>
      </c>
      <c r="C24" t="s" s="18">
        <v>95</v>
      </c>
      <c r="D24" s="19">
        <f>SUM(D21:D23)</f>
        <v>71</v>
      </c>
      <c r="E24" s="11"/>
      <c r="F24" s="11"/>
      <c r="G24" t="s" s="46">
        <v>42</v>
      </c>
      <c r="H24" s="1"/>
      <c r="I24" s="1"/>
      <c r="J24" s="1"/>
      <c r="K24" s="1"/>
      <c r="L24" s="1"/>
      <c r="M24" s="1"/>
      <c r="N24" s="1"/>
      <c r="O24" s="1"/>
      <c r="P24" s="1"/>
    </row>
    <row r="25">
      <c r="A25" s="1"/>
      <c r="B25" t="s" s="11">
        <v>156</v>
      </c>
      <c r="C25" t="s" s="11">
        <v>95</v>
      </c>
      <c r="D25" s="13">
        <f>D20+D24</f>
        <v>412</v>
      </c>
      <c r="E25" s="11"/>
      <c r="F25" s="11"/>
      <c r="G25" t="s" s="46">
        <v>42</v>
      </c>
      <c r="H25" s="1"/>
      <c r="I25" s="1"/>
      <c r="J25" s="1"/>
      <c r="K25" s="1"/>
      <c r="L25" s="1"/>
      <c r="M25" s="1"/>
      <c r="N25" s="1"/>
      <c r="O25" s="1"/>
      <c r="P25" s="1"/>
    </row>
    <row r="26">
      <c r="A26" s="1"/>
      <c r="B26" t="s" s="11">
        <v>157</v>
      </c>
      <c r="C26" t="s" s="11">
        <v>95</v>
      </c>
      <c r="D26" s="16">
        <v>412</v>
      </c>
      <c r="E26" s="11"/>
      <c r="F26" s="11"/>
      <c r="G26" t="s" s="46">
        <v>209</v>
      </c>
      <c r="H26" s="1"/>
      <c r="I26" s="1"/>
      <c r="J26" s="1"/>
      <c r="K26" s="1"/>
      <c r="L26" s="1"/>
      <c r="M26" s="1"/>
      <c r="N26" s="1"/>
      <c r="O26" s="1"/>
      <c r="P26" s="1"/>
    </row>
    <row r="27">
      <c r="A27" s="1"/>
      <c r="B27" t="s" s="11">
        <v>158</v>
      </c>
      <c r="C27" t="s" s="11">
        <v>95</v>
      </c>
      <c r="D27" s="13">
        <f>D25-D26</f>
        <v>0</v>
      </c>
      <c r="E27" s="11"/>
      <c r="F27" s="11"/>
      <c r="G27" t="s" s="46">
        <v>210</v>
      </c>
      <c r="H27" s="1"/>
      <c r="I27" s="1"/>
      <c r="J27" s="1"/>
      <c r="K27" s="1"/>
      <c r="L27" s="1"/>
      <c r="M27" s="1"/>
      <c r="N27" s="1"/>
      <c r="O27" s="1"/>
      <c r="P27" s="1"/>
    </row>
    <row r="28">
      <c r="A28" s="1"/>
      <c r="B28" t="s" s="11">
        <v>159</v>
      </c>
      <c r="C28" t="s" s="11">
        <v>95</v>
      </c>
      <c r="D28" s="13">
        <f>D19-D25</f>
        <v>206</v>
      </c>
      <c r="E28" s="11"/>
      <c r="F28" s="11"/>
      <c r="G28" t="s" s="46">
        <v>42</v>
      </c>
      <c r="H28" s="1"/>
      <c r="I28" s="1"/>
      <c r="J28" s="1"/>
      <c r="K28" s="1"/>
      <c r="L28" s="1"/>
      <c r="M28" s="1"/>
      <c r="N28" s="1"/>
      <c r="O28" s="1"/>
      <c r="P28" s="1"/>
    </row>
    <row r="29">
      <c r="A29" s="1"/>
      <c r="B29" t="s" s="11">
        <v>160</v>
      </c>
      <c r="C29" t="s" s="11">
        <v>95</v>
      </c>
      <c r="D29" s="16">
        <v>206</v>
      </c>
      <c r="E29" s="11"/>
      <c r="F29" s="11"/>
      <c r="G29" t="s" s="46">
        <v>211</v>
      </c>
      <c r="H29" s="1"/>
      <c r="I29" s="1"/>
      <c r="J29" s="1"/>
      <c r="K29" s="1"/>
      <c r="L29" s="1"/>
      <c r="M29" s="1"/>
      <c r="N29" s="1"/>
      <c r="O29" s="1"/>
      <c r="P29" s="1"/>
    </row>
    <row r="30">
      <c r="A30" s="1"/>
      <c r="B30" t="s" s="11">
        <v>161</v>
      </c>
      <c r="C30" t="s" s="11">
        <v>95</v>
      </c>
      <c r="D30" s="13">
        <f>D29-D28</f>
        <v>0</v>
      </c>
      <c r="E30" s="11"/>
      <c r="F30" s="11"/>
      <c r="G30" t="s" s="46">
        <v>42</v>
      </c>
      <c r="H30" s="1"/>
      <c r="I30" s="1"/>
      <c r="J30" s="1"/>
      <c r="K30" s="1"/>
      <c r="L30" s="1"/>
      <c r="M30" s="1"/>
      <c r="N30" s="1"/>
      <c r="O30" s="1"/>
      <c r="P30" s="1"/>
    </row>
    <row r="31">
      <c r="A31" s="1"/>
      <c r="B31" t="s" s="11">
        <v>162</v>
      </c>
      <c r="C31" t="s" s="11">
        <v>95</v>
      </c>
      <c r="D31" s="16">
        <v>589.2</v>
      </c>
      <c r="E31" s="11"/>
      <c r="F31" s="11"/>
      <c r="G31" t="s" s="46">
        <v>212</v>
      </c>
      <c r="H31" s="1"/>
      <c r="I31" s="1"/>
      <c r="J31" s="1"/>
      <c r="K31" s="1"/>
      <c r="L31" s="1"/>
      <c r="M31" s="1"/>
      <c r="N31" s="1"/>
      <c r="O31" s="1"/>
      <c r="P31" s="1"/>
    </row>
    <row r="32">
      <c r="A32" s="1"/>
      <c r="B32" t="s" s="18">
        <v>163</v>
      </c>
      <c r="C32" t="s" s="18">
        <v>95</v>
      </c>
      <c r="D32" s="19">
        <f>D31-D20</f>
        <v>248.20000000000005</v>
      </c>
      <c r="E32" s="11"/>
      <c r="F32" s="11"/>
      <c r="G32" t="s" s="46">
        <v>42</v>
      </c>
      <c r="H32" s="1"/>
      <c r="I32" s="1"/>
      <c r="J32" s="1"/>
      <c r="K32" s="1"/>
      <c r="L32" s="1"/>
      <c r="M32" s="1"/>
      <c r="N32" s="1"/>
      <c r="O32" s="1"/>
      <c r="P32" s="1"/>
    </row>
    <row r="33">
      <c r="A33" s="1"/>
      <c r="B33" t="s" s="18">
        <v>164</v>
      </c>
      <c r="C33" t="s" s="18">
        <v>95</v>
      </c>
      <c r="D33" s="19">
        <f>D32-D29</f>
        <v>42.200000000000045</v>
      </c>
      <c r="E33" s="11"/>
      <c r="F33" s="11"/>
      <c r="G33" t="s" s="46">
        <v>42</v>
      </c>
      <c r="H33" s="1"/>
      <c r="I33" s="1"/>
      <c r="J33" s="1"/>
      <c r="K33" s="1"/>
      <c r="L33" s="1"/>
      <c r="M33" s="1"/>
      <c r="N33" s="1"/>
      <c r="O33" s="1"/>
      <c r="P33" s="1"/>
    </row>
    <row r="34">
      <c r="A34" s="1"/>
      <c r="B34" t="s" s="11">
        <v>165</v>
      </c>
      <c r="C34" t="s" s="11">
        <v>95</v>
      </c>
      <c r="D34" s="16">
        <v>-1.8</v>
      </c>
      <c r="E34" s="11"/>
      <c r="F34" s="11"/>
      <c r="G34" t="s" s="46">
        <v>213</v>
      </c>
      <c r="H34" s="1"/>
      <c r="I34" s="1"/>
      <c r="J34" s="1"/>
      <c r="K34" s="1"/>
      <c r="L34" s="1"/>
      <c r="M34" s="1"/>
      <c r="N34" s="1"/>
      <c r="O34" s="1"/>
      <c r="P34" s="1"/>
    </row>
    <row r="35">
      <c r="A35" s="1"/>
      <c r="B35" t="s" s="11">
        <v>166</v>
      </c>
      <c r="C35" t="s" s="11">
        <v>95</v>
      </c>
      <c r="D35" s="16">
        <v>4.6</v>
      </c>
      <c r="E35" s="11"/>
      <c r="F35" s="11"/>
      <c r="G35" t="s" s="46">
        <v>214</v>
      </c>
      <c r="H35" s="1"/>
      <c r="I35" s="1"/>
      <c r="J35" s="1"/>
      <c r="K35" s="1"/>
      <c r="L35" s="1"/>
      <c r="M35" s="1"/>
      <c r="N35" s="1"/>
      <c r="O35" s="1"/>
      <c r="P35" s="1"/>
    </row>
    <row r="36">
      <c r="A36" s="1"/>
      <c r="B36" t="s" s="11">
        <v>167</v>
      </c>
      <c r="C36" t="s" s="11">
        <v>95</v>
      </c>
      <c r="D36" s="16">
        <v>1.2</v>
      </c>
      <c r="E36" s="11"/>
      <c r="F36" s="11"/>
      <c r="G36" t="s" s="46">
        <v>133</v>
      </c>
      <c r="H36" t="s" s="84">
        <v>230</v>
      </c>
      <c r="I36" t="s" s="84">
        <v>231</v>
      </c>
      <c r="J36" t="s" s="84">
        <v>232</v>
      </c>
      <c r="K36" t="s" s="84">
        <v>233</v>
      </c>
      <c r="L36" t="s" s="84">
        <v>234</v>
      </c>
      <c r="M36" t="s" s="84">
        <v>235</v>
      </c>
      <c r="N36" t="s" s="84">
        <v>236</v>
      </c>
      <c r="O36" t="s" s="84">
        <v>237</v>
      </c>
      <c r="P36" t="s" s="84">
        <v>238</v>
      </c>
    </row>
    <row r="37">
      <c r="A37" s="1"/>
      <c r="B37" t="s" s="11">
        <v>168</v>
      </c>
      <c r="C37" t="s" s="11">
        <v>95</v>
      </c>
      <c r="D37" s="13">
        <f>SUM(H37:P37)</f>
        <v>127.7</v>
      </c>
      <c r="E37" s="11"/>
      <c r="F37" s="11"/>
      <c r="G37" t="s" s="46">
        <v>215</v>
      </c>
      <c r="H37" s="77">
        <v>19.4</v>
      </c>
      <c r="I37" s="77">
        <v>18.4</v>
      </c>
      <c r="J37" s="77">
        <v>17.1</v>
      </c>
      <c r="K37" s="77">
        <v>15.8</v>
      </c>
      <c r="L37" s="77">
        <v>14.5</v>
      </c>
      <c r="M37" s="77">
        <v>13</v>
      </c>
      <c r="N37" s="77">
        <v>11.4</v>
      </c>
      <c r="O37" s="77">
        <v>9.8</v>
      </c>
      <c r="P37" s="77">
        <v>8.3</v>
      </c>
    </row>
    <row r="38">
      <c r="A38" s="1"/>
      <c r="B38" s="1"/>
      <c r="C38" s="1"/>
      <c r="D38" s="1"/>
      <c r="E38" s="1"/>
      <c r="F38" s="1"/>
      <c r="G38" s="47"/>
      <c r="H38" s="1"/>
      <c r="I38" s="1"/>
      <c r="J38" s="1"/>
      <c r="K38" s="1"/>
      <c r="L38" s="1"/>
      <c r="M38" s="1"/>
      <c r="N38" s="1"/>
      <c r="O38" s="1"/>
      <c r="P38" s="1"/>
    </row>
    <row r="39">
      <c r="A39" s="1"/>
      <c r="B39" t="s" s="6">
        <v>169</v>
      </c>
      <c r="C39" s="6"/>
      <c r="D39" s="6"/>
      <c r="E39" s="6"/>
      <c r="F39" s="6"/>
      <c r="G39" s="48"/>
      <c r="H39" s="1"/>
      <c r="I39" s="1"/>
      <c r="J39" s="1"/>
      <c r="K39" s="1"/>
      <c r="L39" s="1"/>
      <c r="M39" s="1"/>
      <c r="N39" s="1"/>
      <c r="O39" s="1"/>
      <c r="P39" s="1"/>
    </row>
    <row r="40">
      <c r="A40" s="1"/>
      <c r="B40" t="s" s="7">
        <v>68</v>
      </c>
      <c r="C40" t="s" s="7">
        <v>91</v>
      </c>
      <c r="D40" t="s" s="9">
        <v>197</v>
      </c>
      <c r="E40" t="s" s="9">
        <v>199</v>
      </c>
      <c r="F40" t="s" s="9">
        <v>201</v>
      </c>
      <c r="G40" t="s" s="44">
        <v>37</v>
      </c>
      <c r="H40" s="1"/>
      <c r="I40" s="1"/>
      <c r="J40" s="1"/>
      <c r="K40" s="1"/>
      <c r="L40" s="1"/>
      <c r="M40" s="1"/>
      <c r="N40" s="1"/>
      <c r="O40" s="1"/>
      <c r="P40" s="1"/>
    </row>
    <row r="41">
      <c r="A41" s="1"/>
      <c r="B41" t="s" s="10">
        <v>170</v>
      </c>
      <c r="C41" t="s" s="10">
        <v>95</v>
      </c>
      <c r="D41" s="15">
        <v>1150</v>
      </c>
      <c r="E41" s="15">
        <v>1150</v>
      </c>
      <c r="F41" s="12">
        <f>E41</f>
        <v>1150</v>
      </c>
      <c r="G41" t="s" s="45">
        <v>216</v>
      </c>
      <c r="H41" s="1"/>
      <c r="I41" s="1"/>
      <c r="J41" s="1"/>
      <c r="K41" s="1"/>
      <c r="L41" s="1"/>
      <c r="M41" s="1"/>
      <c r="N41" s="1"/>
      <c r="O41" s="1"/>
      <c r="P41" s="1"/>
    </row>
    <row r="42">
      <c r="A42" s="1"/>
      <c r="B42" t="s" s="11">
        <v>171</v>
      </c>
      <c r="C42" t="s" s="11">
        <v>95</v>
      </c>
      <c r="D42" s="16">
        <v>420</v>
      </c>
      <c r="E42" s="16">
        <v>485</v>
      </c>
      <c r="F42" s="13">
        <f>E42</f>
        <v>485</v>
      </c>
      <c r="G42" t="s" s="46">
        <v>217</v>
      </c>
      <c r="H42" s="1"/>
      <c r="I42" s="1"/>
      <c r="J42" s="1"/>
      <c r="K42" s="1"/>
      <c r="L42" s="1"/>
      <c r="M42" s="1"/>
      <c r="N42" s="1"/>
      <c r="O42" s="1"/>
      <c r="P42" s="1"/>
    </row>
    <row r="43">
      <c r="A43" s="1"/>
      <c r="B43" t="s" s="20">
        <v>172</v>
      </c>
      <c r="C43" t="s" s="20">
        <v>95</v>
      </c>
      <c r="D43" s="21">
        <f>D41+D42</f>
        <v>1570</v>
      </c>
      <c r="E43" s="21">
        <f>E41+E42</f>
        <v>1635</v>
      </c>
      <c r="F43" s="21">
        <f>F41+F42</f>
        <v>1635</v>
      </c>
      <c r="G43" t="s" s="46">
        <v>42</v>
      </c>
      <c r="H43" s="1"/>
      <c r="I43" s="1"/>
      <c r="J43" s="1"/>
      <c r="K43" s="1"/>
      <c r="L43" s="1"/>
      <c r="M43" s="1"/>
      <c r="N43" s="1"/>
      <c r="O43" s="1"/>
      <c r="P43" s="1"/>
    </row>
    <row r="44">
      <c r="A44" s="1"/>
      <c r="B44" t="s" s="11">
        <v>173</v>
      </c>
      <c r="C44" t="s" s="11">
        <v>95</v>
      </c>
      <c r="D44" s="16">
        <v>85</v>
      </c>
      <c r="E44" s="16">
        <v>91.2</v>
      </c>
      <c r="F44" s="13">
        <f>E44</f>
        <v>91.2</v>
      </c>
      <c r="G44" t="s" s="46">
        <v>218</v>
      </c>
      <c r="H44" s="1"/>
      <c r="I44" s="1"/>
      <c r="J44" s="1"/>
      <c r="K44" s="1"/>
      <c r="L44" s="1"/>
      <c r="M44" s="1"/>
      <c r="N44" s="1"/>
      <c r="O44" s="1"/>
      <c r="P44" s="1"/>
    </row>
    <row r="45">
      <c r="A45" s="1"/>
      <c r="B45" t="s" s="11">
        <v>174</v>
      </c>
      <c r="C45" t="s" s="11">
        <v>95</v>
      </c>
      <c r="D45" s="16">
        <v>150</v>
      </c>
      <c r="E45" s="13">
        <f>D45</f>
        <v>150</v>
      </c>
      <c r="F45" s="13">
        <f>D45</f>
        <v>150</v>
      </c>
      <c r="G45" t="s" s="46">
        <v>340</v>
      </c>
      <c r="H45" s="1"/>
      <c r="I45" s="1"/>
      <c r="J45" s="1"/>
      <c r="K45" s="1"/>
      <c r="L45" s="1"/>
      <c r="M45" s="1"/>
      <c r="N45" s="1"/>
      <c r="O45" s="1"/>
      <c r="P45" s="1"/>
    </row>
    <row r="46">
      <c r="A46" s="1"/>
      <c r="B46" t="s" s="11">
        <v>175</v>
      </c>
      <c r="C46" t="s" s="11">
        <v>95</v>
      </c>
      <c r="D46" s="13">
        <f>MIN(D44,D45)</f>
        <v>85</v>
      </c>
      <c r="E46" s="13">
        <f>MIN(E44,E45)</f>
        <v>91.2</v>
      </c>
      <c r="F46" s="13">
        <f>MIN(F44,F45)</f>
        <v>91.2</v>
      </c>
      <c r="G46" t="s" s="46">
        <v>42</v>
      </c>
      <c r="H46" s="1"/>
      <c r="I46" s="1"/>
      <c r="J46" s="1"/>
      <c r="K46" s="1"/>
      <c r="L46" s="1"/>
      <c r="M46" s="1"/>
      <c r="N46" s="1"/>
      <c r="O46" s="1"/>
      <c r="P46" s="1"/>
    </row>
    <row r="47">
      <c r="A47" s="1"/>
      <c r="B47" t="s" s="20">
        <v>176</v>
      </c>
      <c r="C47" t="s" s="20">
        <v>95</v>
      </c>
      <c r="D47" s="21">
        <f>D43-D46</f>
        <v>1485</v>
      </c>
      <c r="E47" s="21">
        <f>E43-E46</f>
        <v>1543.8</v>
      </c>
      <c r="F47" s="21">
        <f>F43-F46</f>
        <v>1543.8</v>
      </c>
      <c r="G47" t="s" s="46">
        <v>220</v>
      </c>
      <c r="H47" s="1"/>
      <c r="I47" s="1"/>
      <c r="J47" s="1"/>
      <c r="K47" s="1"/>
      <c r="L47" s="1"/>
      <c r="M47" s="1"/>
      <c r="N47" s="1"/>
      <c r="O47" s="1"/>
      <c r="P47" s="1"/>
    </row>
    <row r="48">
      <c r="A48" s="1"/>
      <c r="B48" t="s" s="11">
        <v>177</v>
      </c>
      <c r="C48" t="s" s="11">
        <v>95</v>
      </c>
      <c r="D48" s="16">
        <v>224</v>
      </c>
      <c r="E48" s="82">
        <f>Monthly!S20</f>
        <v>224</v>
      </c>
      <c r="F48" s="13">
        <f>E48</f>
        <v>224</v>
      </c>
      <c r="G48" t="s" s="46">
        <v>221</v>
      </c>
      <c r="H48" s="1"/>
      <c r="I48" s="1"/>
      <c r="J48" s="1"/>
      <c r="K48" s="1"/>
      <c r="L48" s="1"/>
      <c r="M48" s="1"/>
      <c r="N48" s="1"/>
      <c r="O48" s="1"/>
      <c r="P48" s="1"/>
    </row>
    <row r="49">
      <c r="A49" s="1"/>
      <c r="B49" t="s" s="11">
        <v>178</v>
      </c>
      <c r="C49" t="s" s="11">
        <v>95</v>
      </c>
      <c r="D49" s="13"/>
      <c r="E49" s="82">
        <f>Monthly!T20</f>
        <v>61.999999999999986</v>
      </c>
      <c r="F49" s="13">
        <f>E49</f>
        <v>61.999999999999986</v>
      </c>
      <c r="G49" t="s" s="46">
        <v>222</v>
      </c>
      <c r="H49" s="1"/>
      <c r="I49" s="1"/>
      <c r="J49" s="1"/>
      <c r="K49" s="1"/>
      <c r="L49" s="1"/>
      <c r="M49" s="1"/>
      <c r="N49" s="1"/>
      <c r="O49" s="1"/>
      <c r="P49" s="1"/>
    </row>
    <row r="50">
      <c r="A50" s="1"/>
      <c r="B50" t="s" s="11">
        <v>179</v>
      </c>
      <c r="C50" t="s" s="11">
        <v>95</v>
      </c>
      <c r="D50" s="13"/>
      <c r="E50" s="82">
        <f>-Monthly!O20</f>
        <v>-50.39999999999999</v>
      </c>
      <c r="F50" s="13">
        <f>E50</f>
        <v>-50.39999999999999</v>
      </c>
      <c r="G50" t="s" s="46">
        <v>223</v>
      </c>
      <c r="H50" s="1"/>
      <c r="I50" s="1"/>
      <c r="J50" s="1"/>
      <c r="K50" s="1"/>
      <c r="L50" s="1"/>
      <c r="M50" s="1"/>
      <c r="N50" s="1"/>
      <c r="O50" s="1"/>
      <c r="P50" s="1"/>
    </row>
    <row r="51">
      <c r="A51" s="1"/>
      <c r="B51" t="s" s="20">
        <v>180</v>
      </c>
      <c r="C51" t="s" s="20">
        <v>95</v>
      </c>
      <c r="D51" s="21">
        <f>SUM(D48:D50)</f>
        <v>224</v>
      </c>
      <c r="E51" s="21">
        <f>SUM(E48:E50)</f>
        <v>235.60000000000002</v>
      </c>
      <c r="F51" s="21">
        <f>SUM(F48:F50)</f>
        <v>235.60000000000002</v>
      </c>
      <c r="G51" t="s" s="46">
        <v>42</v>
      </c>
      <c r="H51" s="1"/>
      <c r="I51" s="1"/>
      <c r="J51" s="1"/>
      <c r="K51" s="1"/>
      <c r="L51" s="1"/>
      <c r="M51" s="1"/>
      <c r="N51" s="1"/>
      <c r="O51" s="1"/>
      <c r="P51" s="1"/>
    </row>
    <row r="52">
      <c r="A52" s="1"/>
      <c r="B52" t="s" s="11">
        <v>181</v>
      </c>
      <c r="C52" t="s" s="11">
        <v>95</v>
      </c>
      <c r="D52" s="13"/>
      <c r="E52" s="13"/>
      <c r="F52" s="82">
        <f>-(Monthly!S23+Monthly!T23-Monthly!O23)</f>
        <v>-3.3040000000000003</v>
      </c>
      <c r="G52" t="s" s="46">
        <v>341</v>
      </c>
      <c r="H52" s="1"/>
      <c r="I52" s="1"/>
      <c r="J52" s="1"/>
      <c r="K52" s="1"/>
      <c r="L52" s="1"/>
      <c r="M52" s="1"/>
      <c r="N52" s="1"/>
      <c r="O52" s="1"/>
      <c r="P52" s="1"/>
    </row>
    <row r="53">
      <c r="A53" s="1"/>
      <c r="B53" t="s" s="11">
        <v>182</v>
      </c>
      <c r="C53" t="s" s="11">
        <v>95</v>
      </c>
      <c r="D53" s="13"/>
      <c r="E53" s="13"/>
      <c r="F53" s="16">
        <v>-8.4</v>
      </c>
      <c r="G53" t="s" s="46">
        <v>342</v>
      </c>
      <c r="H53" s="1"/>
      <c r="I53" s="1"/>
      <c r="J53" s="1"/>
      <c r="K53" s="1"/>
      <c r="L53" s="1"/>
      <c r="M53" s="1"/>
      <c r="N53" s="1"/>
      <c r="O53" s="1"/>
      <c r="P53" s="1"/>
    </row>
    <row r="54">
      <c r="A54" s="1"/>
      <c r="B54" t="s" s="11">
        <v>183</v>
      </c>
      <c r="C54" t="s" s="11">
        <v>95</v>
      </c>
      <c r="D54" s="13"/>
      <c r="E54" s="13"/>
      <c r="F54" s="16">
        <v>-2.2</v>
      </c>
      <c r="G54" t="s" s="46">
        <v>226</v>
      </c>
      <c r="H54" s="1"/>
      <c r="I54" s="1"/>
      <c r="J54" s="1"/>
      <c r="K54" s="1"/>
      <c r="L54" s="1"/>
      <c r="M54" s="1"/>
      <c r="N54" s="1"/>
      <c r="O54" s="1"/>
      <c r="P54" s="1"/>
    </row>
    <row r="55">
      <c r="A55" s="1"/>
      <c r="B55" t="s" s="11">
        <v>184</v>
      </c>
      <c r="C55" t="s" s="11">
        <v>93</v>
      </c>
      <c r="D55" s="13"/>
      <c r="E55" s="13"/>
      <c r="F55" s="81">
        <v>0.25</v>
      </c>
      <c r="G55" t="s" s="46">
        <v>205</v>
      </c>
      <c r="H55" s="1"/>
      <c r="I55" s="1"/>
      <c r="J55" s="1"/>
      <c r="K55" s="1"/>
      <c r="L55" s="1"/>
      <c r="M55" s="1"/>
      <c r="N55" s="1"/>
      <c r="O55" s="1"/>
      <c r="P55" s="1"/>
    </row>
    <row r="56">
      <c r="A56" s="1"/>
      <c r="B56" t="s" s="11">
        <v>185</v>
      </c>
      <c r="C56" t="s" s="11">
        <v>95</v>
      </c>
      <c r="D56" s="13"/>
      <c r="E56" s="13"/>
      <c r="F56" s="13">
        <f>-F53*F55</f>
        <v>2.1</v>
      </c>
      <c r="G56" t="s" s="46">
        <v>42</v>
      </c>
      <c r="H56" s="1"/>
      <c r="I56" s="1"/>
      <c r="J56" s="1"/>
      <c r="K56" s="1"/>
      <c r="L56" s="1"/>
      <c r="M56" s="1"/>
      <c r="N56" s="1"/>
      <c r="O56" s="1"/>
      <c r="P56" s="1"/>
    </row>
    <row r="57">
      <c r="A57" s="1"/>
      <c r="B57" t="s" s="20">
        <v>186</v>
      </c>
      <c r="C57" t="s" s="20">
        <v>95</v>
      </c>
      <c r="D57" s="21">
        <f>D51</f>
        <v>224</v>
      </c>
      <c r="E57" s="21">
        <f>E51</f>
        <v>235.60000000000002</v>
      </c>
      <c r="F57" s="21">
        <f>F51+F52+F53+F54+F56</f>
        <v>223.79600000000002</v>
      </c>
      <c r="G57" t="s" s="46">
        <v>42</v>
      </c>
      <c r="H57" s="1"/>
      <c r="I57" s="1"/>
      <c r="J57" s="1"/>
      <c r="K57" s="1"/>
      <c r="L57" s="1"/>
      <c r="M57" s="1"/>
      <c r="N57" s="1"/>
      <c r="O57" s="1"/>
      <c r="P57" s="1"/>
    </row>
    <row r="58">
      <c r="A58" s="1"/>
      <c r="B58" t="s" s="18">
        <v>187</v>
      </c>
      <c r="C58" t="s" s="18">
        <v>94</v>
      </c>
      <c r="D58" s="83">
        <f>D47/D57</f>
        <v>6.629464285714286</v>
      </c>
      <c r="E58" s="83">
        <f>E47/E57</f>
        <v>6.552631578947367</v>
      </c>
      <c r="F58" s="83">
        <f>F47/F57</f>
        <v>6.8982466174551815</v>
      </c>
      <c r="G58" t="s" s="46">
        <v>42</v>
      </c>
      <c r="H58" s="1"/>
      <c r="I58" s="1"/>
      <c r="J58" s="1"/>
      <c r="K58" s="1"/>
      <c r="L58" s="1"/>
      <c r="M58" s="1"/>
      <c r="N58" s="1"/>
      <c r="O58" s="1"/>
      <c r="P58" s="1"/>
    </row>
    <row r="59">
      <c r="A59" s="1"/>
      <c r="B59" t="s" s="11">
        <v>188</v>
      </c>
      <c r="C59" t="s" s="11">
        <v>94</v>
      </c>
      <c r="D59" s="78">
        <v>7.5</v>
      </c>
      <c r="E59" s="75">
        <f>D59</f>
        <v>7.5</v>
      </c>
      <c r="F59" s="75">
        <f>D59</f>
        <v>7.5</v>
      </c>
      <c r="G59" t="s" s="46">
        <v>343</v>
      </c>
      <c r="H59" s="1"/>
      <c r="I59" s="1"/>
      <c r="J59" s="1"/>
      <c r="K59" s="1"/>
      <c r="L59" s="1"/>
      <c r="M59" s="1"/>
      <c r="N59" s="1"/>
      <c r="O59" s="1"/>
      <c r="P59" s="1"/>
    </row>
    <row r="60">
      <c r="A60" s="1"/>
      <c r="B60" t="s" s="11">
        <v>189</v>
      </c>
      <c r="C60" t="s" s="11">
        <v>94</v>
      </c>
      <c r="D60" s="75">
        <f>D59-D58</f>
        <v>0.8705357142857144</v>
      </c>
      <c r="E60" s="75">
        <f>E59-E58</f>
        <v>0.9473684210526327</v>
      </c>
      <c r="F60" s="75">
        <f>F59-F58</f>
        <v>0.6017533825448185</v>
      </c>
      <c r="G60" t="s" s="46">
        <v>42</v>
      </c>
      <c r="H60" s="1"/>
      <c r="I60" s="1"/>
      <c r="J60" s="1"/>
      <c r="K60" s="1"/>
      <c r="L60" s="1"/>
      <c r="M60" s="1"/>
      <c r="N60" s="1"/>
      <c r="O60" s="1"/>
      <c r="P60" s="1"/>
    </row>
    <row r="61">
      <c r="A61" s="1"/>
      <c r="B61" t="s" s="18">
        <v>190</v>
      </c>
      <c r="C61" t="s" s="18">
        <v>93</v>
      </c>
      <c r="D61" s="63">
        <f>1-D58/D59</f>
        <v>0.1160714285714286</v>
      </c>
      <c r="E61" s="63">
        <f>1-E58/E59</f>
        <v>0.12631578947368438</v>
      </c>
      <c r="F61" s="63">
        <f>1-F58/F59</f>
        <v>0.08023378433930917</v>
      </c>
      <c r="G61" t="s" s="46">
        <v>42</v>
      </c>
      <c r="H61" s="1"/>
      <c r="I61" s="1"/>
      <c r="J61" s="1"/>
      <c r="K61" s="1"/>
      <c r="L61" s="1"/>
      <c r="M61" s="1"/>
      <c r="N61" s="1"/>
      <c r="O61" s="1"/>
      <c r="P61" s="1"/>
    </row>
    <row r="62">
      <c r="A62" s="1"/>
      <c r="B62" t="s" s="11">
        <v>191</v>
      </c>
      <c r="C62" t="s" s="11">
        <v>95</v>
      </c>
      <c r="D62" s="13">
        <f>D59*D57-D47</f>
        <v>195</v>
      </c>
      <c r="E62" s="13">
        <f>E59*E57-E47</f>
        <v>223.20000000000027</v>
      </c>
      <c r="F62" s="13">
        <f>F59*F57-F47</f>
        <v>134.6700000000003</v>
      </c>
      <c r="G62" t="s" s="46">
        <v>42</v>
      </c>
      <c r="H62" s="1"/>
      <c r="I62" s="1"/>
      <c r="J62" s="1"/>
      <c r="K62" s="1"/>
      <c r="L62" s="1"/>
      <c r="M62" s="1"/>
      <c r="N62" s="1"/>
      <c r="O62" s="1"/>
      <c r="P62" s="1"/>
    </row>
    <row r="63">
      <c r="A63" s="1"/>
      <c r="B63" t="s" s="11">
        <v>192</v>
      </c>
      <c r="C63" t="s" s="11">
        <v>95</v>
      </c>
      <c r="D63" s="13"/>
      <c r="E63" s="13">
        <f>$D$37</f>
        <v>127.7</v>
      </c>
      <c r="F63" s="13">
        <f>$D$37</f>
        <v>127.7</v>
      </c>
      <c r="G63" t="s" s="46">
        <v>228</v>
      </c>
      <c r="H63" s="1"/>
      <c r="I63" s="1"/>
      <c r="J63" s="1"/>
      <c r="K63" s="1"/>
      <c r="L63" s="1"/>
      <c r="M63" s="1"/>
      <c r="N63" s="1"/>
      <c r="O63" s="1"/>
      <c r="P63" s="1"/>
    </row>
    <row r="64">
      <c r="A64" s="1"/>
      <c r="B64" t="s" s="11">
        <v>193</v>
      </c>
      <c r="C64" t="s" s="11">
        <v>95</v>
      </c>
      <c r="D64" s="13"/>
      <c r="E64" s="13">
        <f>E62-E63</f>
        <v>95.50000000000027</v>
      </c>
      <c r="F64" s="13">
        <f>F62-F63</f>
        <v>6.970000000000297</v>
      </c>
      <c r="G64" t="s" s="46">
        <v>42</v>
      </c>
      <c r="H64" s="1"/>
      <c r="I64" s="1"/>
      <c r="J64" s="1"/>
      <c r="K64" s="1"/>
      <c r="L64" s="1"/>
      <c r="M64" s="1"/>
      <c r="N64" s="1"/>
      <c r="O64" s="1"/>
      <c r="P64" s="1"/>
    </row>
    <row r="65">
      <c r="A65" s="1"/>
      <c r="B65" t="s" s="11">
        <v>194</v>
      </c>
      <c r="C65" t="s" s="11">
        <v>95</v>
      </c>
      <c r="D65" s="13"/>
      <c r="E65" s="79">
        <v>2.875</v>
      </c>
      <c r="F65" s="13"/>
      <c r="G65" t="s" s="46">
        <v>229</v>
      </c>
      <c r="H65" s="1"/>
      <c r="I65" s="1"/>
      <c r="J65" s="1"/>
      <c r="K65" s="1"/>
      <c r="L65" s="1"/>
      <c r="M65" s="1"/>
      <c r="N65" s="1"/>
      <c r="O65" s="1"/>
      <c r="P65" s="1"/>
    </row>
    <row r="66">
      <c r="A66" s="1"/>
      <c r="B66" s="1"/>
      <c r="C66" s="1"/>
      <c r="D66" s="1"/>
      <c r="E66" s="1"/>
      <c r="F66" s="1"/>
      <c r="G66" s="47"/>
      <c r="H66" s="1"/>
      <c r="I66" s="1"/>
      <c r="J66" s="1"/>
      <c r="K66" s="1"/>
      <c r="L66" s="1"/>
      <c r="M66" s="1"/>
      <c r="N66" s="1"/>
      <c r="O66" s="1"/>
      <c r="P66" s="1"/>
    </row>
    <row r="67">
      <c r="A67" s="1"/>
      <c r="B67" t="s" s="6">
        <v>195</v>
      </c>
      <c r="C67" s="6"/>
      <c r="D67" t="s" s="71">
        <v>198</v>
      </c>
      <c r="E67" t="s" s="71">
        <v>200</v>
      </c>
      <c r="F67" t="s" s="71">
        <v>106</v>
      </c>
      <c r="G67" s="48"/>
      <c r="H67" s="1"/>
      <c r="I67" s="1"/>
      <c r="J67" s="1"/>
      <c r="K67" s="1"/>
      <c r="L67" s="1"/>
      <c r="M67" s="1"/>
      <c r="N67" s="1"/>
      <c r="O67" s="1"/>
      <c r="P67" s="1"/>
    </row>
    <row r="68">
      <c r="A68" s="1"/>
      <c r="B68" t="s" s="10">
        <v>196</v>
      </c>
      <c r="C68" s="10"/>
      <c r="D68" s="76">
        <f>D58</f>
        <v>6.629464285714286</v>
      </c>
      <c r="E68" s="80">
        <v>6.63</v>
      </c>
      <c r="F68" s="76">
        <f>D68-E68</f>
        <v>-0.000535714285714306</v>
      </c>
      <c r="G68" s="45"/>
      <c r="H68" s="1"/>
      <c r="I68" s="1"/>
      <c r="J68" s="1"/>
      <c r="K68" s="1"/>
      <c r="L68" s="1"/>
      <c r="M68" s="1"/>
      <c r="N68" s="1"/>
      <c r="O68" s="1"/>
      <c r="P68" s="1"/>
    </row>
    <row r="70">
      <c r="B70" t="s" s="107">
        <v>356</v>
      </c>
      <c r="C70" s="107"/>
      <c r="D70" s="107"/>
      <c r="E70" s="107"/>
      <c r="F70" s="107"/>
      <c r="G70" s="107"/>
    </row>
    <row r="71">
      <c r="B71" t="s">
        <v>351</v>
      </c>
      <c r="C71" s="108">
        <f>D37</f>
        <v>127.7</v>
      </c>
      <c r="D71" s="108">
        <f>D37</f>
        <v>127.7</v>
      </c>
      <c r="G71" t="s" s="109">
        <v>228</v>
      </c>
    </row>
    <row r="72">
      <c r="B72" t="s">
        <v>352</v>
      </c>
      <c r="C72" s="108">
        <f>F62</f>
        <v>134.6700000000003</v>
      </c>
      <c r="D72" s="108">
        <f>F62</f>
        <v>134.6700000000003</v>
      </c>
      <c r="G72" t="s" s="109">
        <v>354</v>
      </c>
    </row>
    <row r="73">
      <c r="B73" t="s">
        <v>353</v>
      </c>
      <c r="C73" s="108">
        <f>E62</f>
        <v>223.20000000000027</v>
      </c>
      <c r="D73" s="108">
        <f>E62</f>
        <v>223.20000000000027</v>
      </c>
      <c r="G73" t="s" s="109">
        <v>355</v>
      </c>
    </row>
  </sheetData>
  <mergeCells count="1">
    <mergeCell ref="B4:G4"/>
  </mergeCells>
  <pageMargins left="0.7" right="0.7" top="0.75" bottom="0.75" header="0.3" footer="0.3"/>
  <drawing r:id="rId1"/>
  <legacyDrawing r:id="rId3"/>
</worksheet>
</file>

<file path=ccalc/calcState.xml><?xml version="1.0" encoding="utf-8"?>
<calcState xmlns="urn:twentyai:ccalc:calc-state" version="1" digest="bfdc71a2e2b0e8f6d5084d62b819ee06a0b1873bb7c4554defed97e6cee80327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2026-10-22T23:45:47Z</dcterms:created>
  <dcterms:modified xsi:type="dcterms:W3CDTF">2026-10-22T23:45:47Z</dcterms:modified>
  <cp:category/>
  <cp:contentStatus/>
</cp:coreProperties>
</file>