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3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Returns Output" sheetId="1" r:id="rId1"/>
    <sheet name="Assumptions" sheetId="2" r:id="rId2"/>
    <sheet name="LBO Inputs" sheetId="3" r:id="rId3"/>
    <sheet name="Deal Returns" sheetId="4" r:id="rId4"/>
    <sheet name="Equity Funding" sheetId="5" r:id="rId5"/>
    <sheet name="Value Creation" sheetId="6" r:id="rId6"/>
    <sheet name="Fund Waterfall" sheetId="7" r:id="rId7"/>
    <sheet name="LP View" sheetId="8" r:id="rId8"/>
  </sheets>
  <definedNames>
    <definedName name="_xlnm.Print_Area" localSheetId="0">'Returns Output'!$B$2:$J$59</definedName>
  </definedNames>
  <calcPr/>
  <extLst>
    <ext xmlns:xccaches="urn:twentyai:ccalc:caches" uri="{3C5F2E7A-9B41-4D6E-A8C2-19409CCA1C01}">
      <xccaches:writer/>
    </ext>
  </extLst>
</workbook>
</file>

<file path=xl/comments3.xml><?xml version="1.0" encoding="utf-8"?>
<comments xmlns="http://schemas.openxmlformats.org/spreadsheetml/2006/main">
  <authors>
    <author>Compound</author>
  </authors>
  <commentList>
    <comment ref="D10" authorId="0">
      <text>
        <r>
          <t xml:space="preserve">LBO model workbook (Model E34)</t>
        </r>
      </text>
    </comment>
    <comment ref="D11" authorId="0">
      <text>
        <r>
          <t xml:space="preserve">LBO model workbook (Model E10)</t>
        </r>
      </text>
    </comment>
    <comment ref="D12" authorId="0">
      <text>
        <r>
          <t xml:space="preserve">LBO model workbook (Model I139)</t>
        </r>
      </text>
    </comment>
    <comment ref="D13" authorId="0">
      <text>
        <r>
          <t xml:space="preserve">CWAN 8-K Merger Closing (2026-06-25) p. 4</t>
        </r>
      </text>
    </comment>
    <comment ref="D14" authorId="0">
      <text>
        <r>
          <t xml:space="preserve">LBO model workbook (Model G48)</t>
        </r>
      </text>
    </comment>
    <comment ref="D24" authorId="0">
      <text>
        <r>
          <t xml:space="preserve">LBO model workbook (Model U26)</t>
        </r>
      </text>
    </comment>
    <comment ref="D37" authorId="0">
      <text>
        <r>
          <t xml:space="preserve">LBO model workbook (Driver Assumptions E223)</t>
        </r>
      </text>
    </comment>
    <comment ref="D6" authorId="0">
      <text>
        <r>
          <t xml:space="preserve">LBO model workbook (Model E4)</t>
        </r>
      </text>
    </comment>
    <comment ref="D7" authorId="0">
      <text>
        <r>
          <t xml:space="preserve">LBO model workbook (Model U18)</t>
        </r>
      </text>
    </comment>
    <comment ref="D8" authorId="0">
      <text>
        <r>
          <t xml:space="preserve">LBO model workbook (Model I32)</t>
        </r>
      </text>
    </comment>
    <comment ref="D9" authorId="0">
      <text>
        <r>
          <t xml:space="preserve">LBO model workbook (Model I31)</t>
        </r>
      </text>
    </comment>
    <comment ref="I25" authorId="0">
      <text>
        <r>
          <t xml:space="preserve">Cited for F25:I25
LBO model workbook (Model K182:N182)</t>
        </r>
      </text>
    </comment>
    <comment ref="I26" authorId="0">
      <text>
        <r>
          <t xml:space="preserve">Cited for F26:I26
LBO model workbook (Model K188:N188)</t>
        </r>
      </text>
    </comment>
    <comment ref="I27" authorId="0">
      <text>
        <r>
          <t xml:space="preserve">Cited for F27:I27
LBO model workbook (Model K187:N187)</t>
        </r>
      </text>
    </comment>
    <comment ref="I28" authorId="0">
      <text>
        <r>
          <t xml:space="preserve">LBO model workbook (Model I204)</t>
        </r>
      </text>
    </comment>
    <comment ref="I29" authorId="0">
      <text>
        <r>
          <t xml:space="preserve">Cited for F29:I29
LBO model workbook (Model K178:N178)</t>
        </r>
      </text>
    </comment>
    <comment ref="I38" authorId="0">
      <text>
        <r>
          <t xml:space="preserve">Cited for F38:I38
LBO model workbook (Driver Assumptions E199:E202)</t>
        </r>
      </text>
    </comment>
    <comment ref="I39" authorId="0">
      <text>
        <r>
          <t xml:space="preserve">Cited for F39:I39
LBO model workbook (Driver Assumptions E207:E210)</t>
        </r>
      </text>
    </comment>
    <comment ref="I40" authorId="0">
      <text>
        <r>
          <t xml:space="preserve">Cited for F40:I40
LBO model workbook (Driver Assumptions E211:E214)</t>
        </r>
      </text>
    </comment>
    <comment ref="I41" authorId="0">
      <text>
        <r>
          <t xml:space="preserve">LBO model workbook (Driver Assumptions E221)</t>
        </r>
      </text>
    </comment>
    <comment ref="I42" authorId="0">
      <text>
        <r>
          <t xml:space="preserve">Cited for F42:I42
LBO model workbook (Driver Assumptions E191:E194)</t>
        </r>
      </text>
    </comment>
    <comment ref="J15" authorId="0">
      <text>
        <r>
          <t xml:space="preserve">Cited for E15:J15
LBO model workbook (Model J104:O104)</t>
        </r>
      </text>
    </comment>
    <comment ref="J16" authorId="0">
      <text>
        <r>
          <t xml:space="preserve">Cited for E16:J16
LBO model workbook (Model J158:O158)</t>
        </r>
      </text>
    </comment>
    <comment ref="J20" authorId="0">
      <text>
        <r>
          <t xml:space="preserve">Cited for E20:J20
LBO model workbook (Driver Assumptions F117:F122)</t>
        </r>
      </text>
    </comment>
    <comment ref="J21" authorId="0">
      <text>
        <r>
          <t xml:space="preserve">Cited for E21:J21
LBO model workbook (Driver Assumptions F129:F134)</t>
        </r>
      </text>
    </comment>
    <comment ref="J22" authorId="0">
      <text>
        <r>
          <t xml:space="preserve">Cited for E22:J22
LBO model workbook (Model J99:O99)</t>
        </r>
      </text>
    </comment>
    <comment ref="J23" authorId="0">
      <text>
        <r>
          <t xml:space="preserve">Cited for E23:J23
LBO model workbook (Model J162:O162)</t>
        </r>
      </text>
    </comment>
    <comment ref="J33" authorId="0">
      <text>
        <r>
          <t xml:space="preserve">Cited for E33:J33
LBO model workbook (Driver Assumptions E117:E122)</t>
        </r>
      </text>
    </comment>
    <comment ref="J34" authorId="0">
      <text>
        <r>
          <t xml:space="preserve">Cited for E34:J34
LBO model workbook (Driver Assumptions E129:E134)</t>
        </r>
      </text>
    </comment>
    <comment ref="J35" authorId="0">
      <text>
        <r>
          <t xml:space="preserve">Cited for E35:J35
LBO model workbook (Driver Assumptions E141:E146)</t>
        </r>
      </text>
    </comment>
    <comment ref="J36" authorId="0">
      <text>
        <r>
          <t xml:space="preserve">Cited for E36:J36
LBO model workbook (Driver Assumptions E159:E164)</t>
        </r>
      </text>
    </comment>
  </commentList>
</comments>
</file>

<file path=xl/comments5.xml><?xml version="1.0" encoding="utf-8"?>
<comments xmlns="http://schemas.openxmlformats.org/spreadsheetml/2006/main">
  <authors>
    <author>Compound</author>
  </authors>
  <commentList>
    <comment ref="D10" authorId="0">
      <text>
        <r>
          <t xml:space="preserve">CWAN DEFM14A Definitive Merger Proxy (filed 2026-04-08) p. 108</t>
        </r>
      </text>
    </comment>
    <comment ref="D12" authorId="0">
      <text>
        <r>
          <t xml:space="preserve">CWAN DEFM14A Definitive Merger Proxy (filed 2026-04-08) p. 107</t>
        </r>
      </text>
    </comment>
    <comment ref="D17" authorId="0">
      <text>
        <r>
          <t xml:space="preserve">Clearwater Analytics Holdings, Inc. 4 (2026-06-25) ownership.xml</t>
        </r>
      </text>
    </comment>
    <comment ref="D18" authorId="0">
      <text>
        <r>
          <t xml:space="preserve">Clearwater Analytics Holdings, Inc. 4 (2026-06-25) ownership.xml</t>
        </r>
      </text>
    </comment>
    <comment ref="D7" authorId="0">
      <text>
        <r>
          <t xml:space="preserve">CWAN DEFM14A Definitive Merger Proxy (filed 2026-04-08) p. 108</t>
        </r>
      </text>
    </comment>
    <comment ref="D8" authorId="0">
      <text>
        <r>
          <t xml:space="preserve">CWAN DEFM14A Definitive Merger Proxy (filed 2026-04-08) p. 108</t>
        </r>
      </text>
    </comment>
    <comment ref="D9" authorId="0">
      <text>
        <r>
          <t xml:space="preserve">CWAN DEFM14A Definitive Merger Proxy (filed 2026-04-08) p. 108</t>
        </r>
      </text>
    </comment>
    <comment ref="H7" authorId="0">
      <text>
        <r>
          <t xml:space="preserve">Cited for H7:H10
LBO model workbook (Model N30:N33)</t>
        </r>
      </text>
    </comment>
  </commentList>
</comments>
</file>

<file path=xl/sharedStrings.xml><?xml version="1.0" encoding="utf-8"?>
<sst xmlns="http://schemas.openxmlformats.org/spreadsheetml/2006/main" count="312" uniqueCount="312">
  <si>
    <t>LBO Inputs: outputs copied from CWAN LBO Model (Compound, 2026-10-20)</t>
  </si>
  <si>
    <t>($ in millions)</t>
  </si>
  <si>
    <t>Transaction at Close (Both Cases)</t>
  </si>
  <si>
    <t>Close date</t>
  </si>
  <si>
    <t>Transaction enterprise value</t>
  </si>
  <si>
    <t/>
  </si>
  <si>
    <t>Financing fees &amp; OID</t>
  </si>
  <si>
    <t>Sponsor equity invested (excl. rollover)</t>
  </si>
  <si>
    <t>Management rollover</t>
  </si>
  <si>
    <t>Net debt at close</t>
  </si>
  <si>
    <t>Memo: equity funded per closing 8-K (approx.)</t>
  </si>
  <si>
    <t>Outside-in Case</t>
  </si>
  <si>
    <t>Fiscal year ending 31-Dec</t>
  </si>
  <si>
    <t>Revenue</t>
  </si>
  <si>
    <t>Adj. EBITDA (pre-SBC)</t>
  </si>
  <si>
    <t>FCF after tax and capex, pre-interest (FY2026E from close)</t>
  </si>
  <si>
    <t>Net debt (incl. PIK)</t>
  </si>
  <si>
    <t>Entry / exit NTM multiple (flat)</t>
  </si>
  <si>
    <t>Exit equity value</t>
  </si>
  <si>
    <t>MOIC (LBO)</t>
  </si>
  <si>
    <t>IRR (LBO convention)</t>
  </si>
  <si>
    <t>XIRR, FY2030 exit (LBO)</t>
  </si>
  <si>
    <t>Exit enterprise value</t>
  </si>
  <si>
    <t>Management Case</t>
  </si>
  <si>
    <t>Assumptions</t>
  </si>
  <si>
    <t>(illustrative inputs; each is an assumption unless sourced on LBO Inputs)</t>
  </si>
  <si>
    <t>Exit and Extrapolation</t>
  </si>
  <si>
    <t>Selected exit (fiscal year-end)</t>
  </si>
  <si>
    <t>Exit NTM multiple vs. entry (turns)</t>
  </si>
  <si>
    <t>FY2032E revenue growth vs. FY2031E (pp)</t>
  </si>
  <si>
    <t>FY2032E Adj. EBITDA margin vs. FY2031E (pp)</t>
  </si>
  <si>
    <t>Management Incentive Pool (Illustrative)</t>
  </si>
  <si>
    <t>Pool, % of exit equity value above hurdle</t>
  </si>
  <si>
    <t>Hurdle: MOIC on sponsor equity invested</t>
  </si>
  <si>
    <t>Time vesting period (years, ratable)</t>
  </si>
  <si>
    <t>Full acceleration on a sale (1 = yes, 0 = no)</t>
  </si>
  <si>
    <t>Fund Terms (Illustrative LPA)</t>
  </si>
  <si>
    <t>Management fee, % of committed capital (investment period)</t>
  </si>
  <si>
    <t>Investment period (years from close)</t>
  </si>
  <si>
    <t>Management fee after investment period, % of invested capital</t>
  </si>
  <si>
    <t>Preferred return (annual compounding)</t>
  </si>
  <si>
    <t>GP catch-up rate</t>
  </si>
  <si>
    <t>Carried interest</t>
  </si>
  <si>
    <t>Day count (days per year)</t>
  </si>
  <si>
    <t>&lt;&lt; Flat-multiple exit at each fiscal year-end, as in the LBO model; FY2030 is the base exit</t>
  </si>
  <si>
    <t>&lt;&lt; Zero keeps the LBO's flat exit multiple; the multiple-change bar in the bridge is then zero</t>
  </si>
  <si>
    <t>&lt;&lt; FY2031 exit only: the LBO forecast ends at FY2031E, so FY2032E (NTM) grows at FY2031E's rate plus this shift</t>
  </si>
  <si>
    <t>&lt;&lt; FY2031 exit only: FY2032E margin held at FY2031E plus this shift</t>
  </si>
  <si>
    <t>&lt;&lt; Proxy: Parent agreed to a post-closing equity incentive program for key employees; size not disclosed</t>
  </si>
  <si>
    <t>&lt;&lt; Pool shares value created above invested capital (1.00x); nothing paid below it</t>
  </si>
  <si>
    <t>&lt;&lt; Five-year ratable time vesting from close</t>
  </si>
  <si>
    <t>&lt;&lt; With acceleration, the whole pool vests at any exit; set 0 to forfeit the unvested part</t>
  </si>
  <si>
    <t>&lt;&lt; On LP commitments; commitments sized so the deal plus investment-period fees fill them</t>
  </si>
  <si>
    <t>&lt;&lt; Fees switch to invested capital after the investment period (FY2031 exit only)</t>
  </si>
  <si>
    <t>&lt;&lt; Same rate on invested capital after the investment period</t>
  </si>
  <si>
    <t>&lt;&lt; Accrues on contributed capital (deal equity and fees) from each contribution date</t>
  </si>
  <si>
    <t>&lt;&lt; 100%: all cash after the preferred return goes to the GP until it holds 20% of profit</t>
  </si>
  <si>
    <t>&lt;&lt; 80/20 LP/GP split above the catch-up</t>
  </si>
  <si>
    <t>&lt;&lt; Fee pro-ration and preferred return on actual days / 365, as XIRR</t>
  </si>
  <si>
    <t>Deal Returns: Sponsor Equity, Dated Cash Flows by Exit Year</t>
  </si>
  <si>
    <t>Outside-in Case: Exit Build</t>
  </si>
  <si>
    <t>Exit at fiscal year-end</t>
  </si>
  <si>
    <t>Years from close</t>
  </si>
  <si>
    <t>NTM revenue (next fiscal year)</t>
  </si>
  <si>
    <t>NTM Adj. EBITDA margin</t>
  </si>
  <si>
    <t>NTM Adj. EBITDA (pre-SBC)</t>
  </si>
  <si>
    <t>(×) Exit NTM multiple</t>
  </si>
  <si>
    <t>Exit enterprise value ($m)</t>
  </si>
  <si>
    <t/>
  </si>
  <si>
    <t>Exit equity value ($m)</t>
  </si>
  <si>
    <t>Sponsor equity cash flows by exit year (dated; before incentive pool)</t>
  </si>
  <si>
    <t>Date</t>
  </si>
  <si>
    <t>(–) Sponsor equity invested at close</t>
  </si>
  <si>
    <t>(+) Exit proceeds: FY2026E year-end</t>
  </si>
  <si>
    <t>(+) Exit proceeds: FY2027E year-end</t>
  </si>
  <si>
    <t>(+) Exit proceeds: FY2028E year-end</t>
  </si>
  <si>
    <t>(+) Exit proceeds: FY2029E year-end</t>
  </si>
  <si>
    <t>(+) Exit proceeds: FY2030E year-end</t>
  </si>
  <si>
    <t>(+) Exit proceeds: FY2031E year-end</t>
  </si>
  <si>
    <t>XIRR (dated cash flows)</t>
  </si>
  <si>
    <t>MOIC</t>
  </si>
  <si>
    <t>IRR, LBO convention: MOIC^(1 / years from close) – 1</t>
  </si>
  <si>
    <t>IRR(), annual periods (close–FY2026E stub counted as a full year)</t>
  </si>
  <si>
    <t>XIRR less IRR() (bps)</t>
  </si>
  <si>
    <t>XIRR less LBO convention (bps)</t>
  </si>
  <si>
    <t/>
  </si>
  <si>
    <t>Unlevered FCF</t>
  </si>
  <si>
    <t/>
  </si>
  <si>
    <t>(+) FCF, FY2026E (from close) and exit EV in exit year</t>
  </si>
  <si>
    <t>(+) FCF, FY2027E and exit EV in exit year</t>
  </si>
  <si>
    <t>(+) FCF, FY2028E and exit EV in exit year</t>
  </si>
  <si>
    <t>(+) FCF, FY2029E and exit EV in exit year</t>
  </si>
  <si>
    <t>(+) FCF, FY2030E and exit EV in exit year</t>
  </si>
  <si>
    <t>(+) FCF, FY2031E and exit EV in exit year</t>
  </si>
  <si>
    <t>Unlevered XIRR</t>
  </si>
  <si>
    <t>Unlevered MOIC</t>
  </si>
  <si>
    <t>Levered XIRR (sponsor equity)</t>
  </si>
  <si>
    <t>Leverage effect: levered less unlevered (bps)</t>
  </si>
  <si>
    <t>Returns by exit year</t>
  </si>
  <si>
    <t>Hold period (years)</t>
  </si>
  <si>
    <t>XIRR</t>
  </si>
  <si>
    <t/>
  </si>
  <si>
    <t>Marginal IRR of holding one more year</t>
  </si>
  <si>
    <t>Tie-out to LBO model</t>
  </si>
  <si>
    <t/>
  </si>
  <si>
    <t/>
  </si>
  <si>
    <t>LBO MOIC</t>
  </si>
  <si>
    <t>Difference (x)</t>
  </si>
  <si>
    <t>LBO IRR (LBO convention)</t>
  </si>
  <si>
    <t>Difference vs. IRR, LBO convention (bps)</t>
  </si>
  <si>
    <t>LBO XIRR, FY2030 exit</t>
  </si>
  <si>
    <t>Difference vs. XIRR (bps)</t>
  </si>
  <si>
    <t>Management Case: Exit Build</t>
  </si>
  <si>
    <t>Equity Funding, Incentive Pool and Proceeds by Investor</t>
  </si>
  <si>
    <t>Equity Commitment Letters vs. Equity Funded at Close</t>
  </si>
  <si>
    <t>Investor</t>
  </si>
  <si>
    <t>Permira</t>
  </si>
  <si>
    <t>Warburg Pincus</t>
  </si>
  <si>
    <t>Francisco Partners</t>
  </si>
  <si>
    <t>Temasek (Robson)</t>
  </si>
  <si>
    <t>Total sponsor equity ($m)</t>
  </si>
  <si>
    <t>Memo: aggregate equity commitment per merger proxy</t>
  </si>
  <si>
    <t>Difference vs. sum of letters</t>
  </si>
  <si>
    <t>Modeled funded equity less 8-K figure</t>
  </si>
  <si>
    <t>CEO Class A shares held after closing (Form 4, 25-Jun-26)</t>
  </si>
  <si>
    <t>CFO Class A shares held after closing (Form 4, 25-Jun-26)</t>
  </si>
  <si>
    <t>Commitment</t>
  </si>
  <si>
    <t>% of total</t>
  </si>
  <si>
    <t>Funded at close</t>
  </si>
  <si>
    <t>Reduction</t>
  </si>
  <si>
    <t>Funded (LBO)</t>
  </si>
  <si>
    <t>Difference</t>
  </si>
  <si>
    <t>&lt;&lt; Reduction from commitments to funded equity split pro rata to commitments (assumption; the letters leave the split to the manner agreed among the investors)</t>
  </si>
  <si>
    <t>&lt;&lt; No rollover: executives' closing Form 4s show all Class A shares disposed at $24.55, nil held after</t>
  </si>
  <si>
    <t>Management Incentive Pool (Illustrative) and Sponsor Returns Before and After</t>
  </si>
  <si>
    <t>Outside-in case</t>
  </si>
  <si>
    <t>(–) Hurdle: sponsor equity invested × hurdle MOIC</t>
  </si>
  <si>
    <t>Value above hurdle</t>
  </si>
  <si>
    <t>(×) Pool, % of value above hurdle</t>
  </si>
  <si>
    <t>(×) Vested at exit</t>
  </si>
  <si>
    <t>(–) Management incentive pool</t>
  </si>
  <si>
    <t>Sponsor proceeds after incentive pool ($m)</t>
  </si>
  <si>
    <t>Pool, % of exit equity value</t>
  </si>
  <si>
    <t>Sponsor MOIC, before pool</t>
  </si>
  <si>
    <t>Sponsor MOIC, after pool</t>
  </si>
  <si>
    <t>Sponsor XIRR, before pool</t>
  </si>
  <si>
    <t>Sponsor XIRR, after pool</t>
  </si>
  <si>
    <t>Pool cost to sponsor XIRR (bps)</t>
  </si>
  <si>
    <t>Sponsor cash flows after incentive pool (dated)</t>
  </si>
  <si>
    <t>(+) Proceeds after pool, if exited at this date</t>
  </si>
  <si>
    <t>Management case</t>
  </si>
  <si>
    <t>Proceeds by Investor at Exit (After Incentive Pool; Pro Rata to Funded Equity)</t>
  </si>
  <si>
    <t>Total sponsor proceeds ($m)</t>
  </si>
  <si>
    <t>MOIC, each investor (after pool)</t>
  </si>
  <si>
    <t/>
  </si>
  <si>
    <t>Value-Creation Bridge: Sponsor Equity Invested to Exit Equity Value</t>
  </si>
  <si>
    <t>Outside-in Case: Value-Creation Bridge by Exit Year</t>
  </si>
  <si>
    <t>Entry: FY2026E revenue</t>
  </si>
  <si>
    <t>Entry: FY2026E Adj. EBITDA margin</t>
  </si>
  <si>
    <t>Entry: FY2026E Adj. EBITDA (pre-SBC)</t>
  </si>
  <si>
    <t>Entry NTM multiple: TEV / FY2026E Adj. EBITDA</t>
  </si>
  <si>
    <t>Sponsor equity invested</t>
  </si>
  <si>
    <t>(+) Revenue growth (at entry margin and multiple)</t>
  </si>
  <si>
    <t>(+) Margin expansion (at entry multiple)</t>
  </si>
  <si>
    <t>(+) Multiple change (exit vs. entry NTM multiple)</t>
  </si>
  <si>
    <t/>
  </si>
  <si>
    <t/>
  </si>
  <si>
    <t>Exit equity value, bridge ($m)</t>
  </si>
  <si>
    <t>Exit equity value, exit build</t>
  </si>
  <si>
    <t>Share of value created (exit equity value less equity invested)</t>
  </si>
  <si>
    <t>Revenue growth</t>
  </si>
  <si>
    <t>Margin expansion</t>
  </si>
  <si>
    <t>Multiple change</t>
  </si>
  <si>
    <t/>
  </si>
  <si>
    <t/>
  </si>
  <si>
    <t>Total</t>
  </si>
  <si>
    <t>Management Case: Value-Creation Bridge by Exit Year</t>
  </si>
  <si>
    <t>Fund Waterfall: European (Whole-Fund) and American (Deal-by-Deal), by Exit Year</t>
  </si>
  <si>
    <t>($ in millions; illustrative LPA terms on Assumptions; this deal treated as the fund's only investment)</t>
  </si>
  <si>
    <t>Fund Terms and Fee Schedule</t>
  </si>
  <si>
    <t>Sponsor equity invested (deal capital)</t>
  </si>
  <si>
    <t>LP commitments: deal capital ÷ (1 – fee rate × investment period)</t>
  </si>
  <si>
    <t>Investment period ends</t>
  </si>
  <si>
    <t>Management fee, investment period (per year)</t>
  </si>
  <si>
    <t>Fee schedule (paid in advance at each date)</t>
  </si>
  <si>
    <t>Fee period ends</t>
  </si>
  <si>
    <t>Days in investment period</t>
  </si>
  <si>
    <t>Days after investment period</t>
  </si>
  <si>
    <t>Fee on committed capital</t>
  </si>
  <si>
    <t>Fee on invested capital</t>
  </si>
  <si>
    <t>Management fee paid ($m)</t>
  </si>
  <si>
    <t>Cumulative management fees paid</t>
  </si>
  <si>
    <t>Outside-in Case: Distribution Waterfall by Exit Year</t>
  </si>
  <si>
    <t>Management fees paid before exit</t>
  </si>
  <si>
    <t>Total paid-in capital ($m)</t>
  </si>
  <si>
    <t>Preferred return accrued on deal capital</t>
  </si>
  <si>
    <t>Preferred return accrued on fees</t>
  </si>
  <si>
    <t>Total preferred return accrued ($m)</t>
  </si>
  <si>
    <t>Distributable proceeds, after incentive pool ($m)</t>
  </si>
  <si>
    <t>European (whole-fund) waterfall</t>
  </si>
  <si>
    <t>Tier 1: return of paid-in capital to LPs</t>
  </si>
  <si>
    <t>Cash remaining</t>
  </si>
  <si>
    <t>Tier 2: preferred return to LPs</t>
  </si>
  <si>
    <t>Tier 3: GP catch-up distributions</t>
  </si>
  <si>
    <t>of which to GP</t>
  </si>
  <si>
    <t>Tier 4: 80% to LPs</t>
  </si>
  <si>
    <t>Tier 4: 20% to GP</t>
  </si>
  <si>
    <t>LP distributions, European ($m)</t>
  </si>
  <si>
    <t>GP carried interest, European ($m)</t>
  </si>
  <si>
    <t>GP carry, % of fund profit</t>
  </si>
  <si>
    <t>LP net MOIC, European</t>
  </si>
  <si>
    <t>LP net XIRR, European</t>
  </si>
  <si>
    <t>American (deal-by-deal) waterfall: deal capital and its preferred return only</t>
  </si>
  <si>
    <t>Tier 1: return of deal capital to LPs</t>
  </si>
  <si>
    <t>Tier 2: preferred return on deal capital to LPs</t>
  </si>
  <si>
    <t>LP distributions, American, before clawback ($m)</t>
  </si>
  <si>
    <t>GP carried interest, American, before clawback ($m)</t>
  </si>
  <si>
    <t>(–) GP clawback at fund wind-up (vs. whole-of-life carry)</t>
  </si>
  <si>
    <t>GP carried interest, American, after clawback ($m)</t>
  </si>
  <si>
    <t>LP distributions, American, after clawback ($m)</t>
  </si>
  <si>
    <t>LP net MOIC, American, before clawback</t>
  </si>
  <si>
    <t>LP net XIRR, American, before clawback</t>
  </si>
  <si>
    <t>Gross to net</t>
  </si>
  <si>
    <t>Gross MOIC (deal, before incentive pool)</t>
  </si>
  <si>
    <t>Gross XIRR (deal, before incentive pool)</t>
  </si>
  <si>
    <t>Gross MOIC, after incentive pool</t>
  </si>
  <si>
    <t>Gross XIRR, after incentive pool</t>
  </si>
  <si>
    <t>LP XIRR, net of fees, before carry</t>
  </si>
  <si>
    <t>LP net MOIC, American (before clawback)</t>
  </si>
  <si>
    <t>LP net XIRR, American (before clawback)</t>
  </si>
  <si>
    <t>Gross-to-net spread, XIRR (bps)</t>
  </si>
  <si>
    <t>of which: incentive pool (bps)</t>
  </si>
  <si>
    <t>of which: management fees (bps)</t>
  </si>
  <si>
    <t>of which: carried interest (bps)</t>
  </si>
  <si>
    <t>Gross-to-net spread, MOIC (x)</t>
  </si>
  <si>
    <t>LP cash flows by exit year (dated): European</t>
  </si>
  <si>
    <t>Fee called</t>
  </si>
  <si>
    <t>(–) Capital called at close, and fees</t>
  </si>
  <si>
    <t>(–) Fees called / (+) distribution at exit</t>
  </si>
  <si>
    <t>LP cash flows by exit year (dated): American, before clawback</t>
  </si>
  <si>
    <t>LP cash flows by exit year (dated): net of fees, before carry</t>
  </si>
  <si>
    <t>Management Case: Distribution Waterfall by Exit Year</t>
  </si>
  <si>
    <t>LP View: Net Cash Flows, DPI, RVPI and TVPI by Year (European Waterfall)</t>
  </si>
  <si>
    <t>($ in millions; residual value marked at the LBO's implied equity value each year-end, after incentive pool and accrued carry)</t>
  </si>
  <si>
    <t>Exit at (selected on Assumptions)</t>
  </si>
  <si>
    <t>Outside-in Case: LP Net Cash Flows and Multiples</t>
  </si>
  <si>
    <t>(–) Capital called for the deal</t>
  </si>
  <si>
    <t>(–) Management fees called</t>
  </si>
  <si>
    <t>(+) Distributions to LPs</t>
  </si>
  <si>
    <t>Net cash flow to LPs ($m)</t>
  </si>
  <si>
    <t>Cumulative net cash flow (J-curve)</t>
  </si>
  <si>
    <t>Paid-in capital, cumulative</t>
  </si>
  <si>
    <t>Distributions, cumulative</t>
  </si>
  <si>
    <t>Implied equity value (LBO; cost at close)</t>
  </si>
  <si>
    <t>(–) Management incentive pool on implied value</t>
  </si>
  <si>
    <t>Fund NAV, before carry</t>
  </si>
  <si>
    <t>Preferred return accrued to date</t>
  </si>
  <si>
    <t>(–) Accrued carried interest (hypothetical liquidation)</t>
  </si>
  <si>
    <t>Residual value to LPs (NAV) ($m)</t>
  </si>
  <si>
    <t>DPI (distributions / paid-in)</t>
  </si>
  <si>
    <t>RVPI (residual value / paid-in)</t>
  </si>
  <si>
    <t>TVPI (total value / paid-in)</t>
  </si>
  <si>
    <t>LP net XIRR to selected exit</t>
  </si>
  <si>
    <t>Management Case: LP Net Cash Flows and Multiples</t>
  </si>
  <si>
    <t>Clearwater Analytics Take-Private: Sponsor and LP Returns</t>
  </si>
  <si>
    <t>Returns by Exit Year</t>
  </si>
  <si>
    <t>Gross MOIC</t>
  </si>
  <si>
    <t>Gross XIRR</t>
  </si>
  <si>
    <t>LP net MOIC (European waterfall)</t>
  </si>
  <si>
    <t>LP net XIRR (European waterfall)</t>
  </si>
  <si>
    <t>Outside-in</t>
  </si>
  <si>
    <t>Management</t>
  </si>
  <si>
    <t>$m</t>
  </si>
  <si>
    <t>% of value</t>
  </si>
  <si>
    <t>(+) Revenue growth</t>
  </si>
  <si>
    <t>(+) Margin expansion</t>
  </si>
  <si>
    <t>(+) Multiple change</t>
  </si>
  <si>
    <t>European</t>
  </si>
  <si>
    <t>American</t>
  </si>
  <si>
    <t>Distributable proceeds (after incentive pool)</t>
  </si>
  <si>
    <t>Tier 1: return of capital</t>
  </si>
  <si>
    <t>Tier 2: 8% preferred return</t>
  </si>
  <si>
    <t>Tier 3: 100% GP catch-up</t>
  </si>
  <si>
    <t>Tier 4: 80/20 split</t>
  </si>
  <si>
    <t>LP distributions ($m)</t>
  </si>
  <si>
    <t>GP carried interest, before clawback ($m)</t>
  </si>
  <si>
    <t>(–) GP clawback at fund wind-up</t>
  </si>
  <si>
    <t>GP carried interest, after clawback ($m)</t>
  </si>
  <si>
    <t>Paid-in capital (deal capital and fees)</t>
  </si>
  <si>
    <t>Gross, deal (before incentive pool)</t>
  </si>
  <si>
    <t>Gross, after incentive pool</t>
  </si>
  <si>
    <t>LP, net of fees, before carry</t>
  </si>
  <si>
    <t>LP net, European (whole-fund)</t>
  </si>
  <si>
    <t>LP net, American (deal-by-deal, before clawback)</t>
  </si>
  <si>
    <t>Gross-to-net spread (gross deal less LP net, European)</t>
  </si>
  <si>
    <t>Source: CWAN LBO Model (Compound, 2026-10-20); CWAN merger proxy (DEFM14A, 8-Apr-26). Fund terms and incentive pool are illustrative assumptions.</t>
  </si>
  <si>
    <t>Value added in the year</t>
  </si>
  <si>
    <t>LBO exit equity value</t>
  </si>
  <si>
    <t>Company merger costs</t>
  </si>
  <si>
    <t/>
  </si>
  <si>
    <t/>
  </si>
  <si>
    <t>Deferred award liability, net of tax, at fiscal year-end</t>
  </si>
  <si>
    <t>(–) Net debt and unpaid deferred awards (net of tax) at exit</t>
  </si>
  <si>
    <t/>
  </si>
  <si>
    <t>(–) TEV less deferred awards, plus merger costs, at close</t>
  </si>
  <si>
    <t>(+) Debt paydown and cash build, less unpaid deferred awards</t>
  </si>
  <si>
    <t>(+) Deferred awards assumed at close, less fees</t>
  </si>
  <si>
    <t>Debt paydown, cash build and unpaid deferred awards</t>
  </si>
  <si>
    <t>Deferred awards assumed, less fees</t>
  </si>
  <si>
    <t>Deferred award liability at close (paid within SBC as cash)</t>
  </si>
  <si>
    <t>Deferred award payout above SBC as cash (FY2026E from close)</t>
  </si>
  <si>
    <t>Unlevered cash flows by exit year (dated; deferred awards paid within SBC as cash)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</si>
</sst>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&quot;FY&quot;yyyy&quot;E&quot;"/>
    <numFmt numFmtId="165" formatCode="0.00_);(0.00)"/>
    <numFmt numFmtId="166" formatCode="#,##0_);(#,##0);&quot;–&quot;_)"/>
    <numFmt numFmtId="167" formatCode="0.0%_);(0.0%);&quot;–&quot;_)"/>
    <numFmt numFmtId="168" formatCode="0.0&quot;x&quot;_);(0.0&quot;x&quot;)"/>
    <numFmt numFmtId="169" formatCode="dd-mmm-yy"/>
    <numFmt numFmtId="170" formatCode="0.00&quot;x&quot;_);(0.00&quot;x&quot;)"/>
    <numFmt numFmtId="171" formatCode="#,##0.0_);(#,##0.0);&quot;–&quot;_)"/>
    <numFmt numFmtId="172" formatCode="#,##0&quot; bps&quot;_);(#,##0&quot; bps&quot;)"/>
    <numFmt numFmtId="173" formatCode="0.0%_);(0.0%)"/>
    <numFmt numFmtId="174" formatCode="0.00&quot;x&quot;"/>
    <numFmt numFmtId="175" formatCode="0.0&quot;x&quot;"/>
    <numFmt numFmtId="176" formatCode="#,##0.0_);(#,##0.0)"/>
    <numFmt numFmtId="177" formatCode="0.0%"/>
  </numFmts>
  <fonts count="17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u val="singleAccounting"/>
      <sz val="10"/>
      <color rgb="FF000000"/>
      <name val="Arial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i/>
      <sz val="10"/>
      <color rgb="FF646464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b/>
      <u val="singleAccounting"/>
      <sz val="10"/>
      <color rgb="FF008000"/>
      <name val="Arial"/>
      <family val="2"/>
    </font>
    <font>
      <b/>
      <i/>
      <sz val="10"/>
      <color rgb="FF000000"/>
      <name val="Arial"/>
      <family val="2"/>
    </font>
    <font>
      <i/>
      <sz val="8"/>
      <color rgb="FF000000"/>
      <name val="Arial"/>
      <family val="2"/>
    </font>
    <font>
      <i/>
      <sz val="10"/>
      <color rgb="FF008000"/>
      <name val="Arial"/>
      <family val="2"/>
    </font>
    <font>
      <sz val="10"/>
      <color rgb="FF6464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</fills>
  <borders count="3"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/>
      <diagonal/>
    </border>
  </borders>
  <cellStyleXfs count="1">
    <xf borderId="0" fillId="0" fontId="0" numFmtId="0" applyAlignment="1" applyFont="1" applyFill="1"/>
  </cellStyleXfs>
  <cellXfs count="57">
    <xf xfId="0" borderId="0" fillId="0" fontId="0" numFmtId="0"/>
    <xf xfId="0" borderId="0" fillId="0" fontId="1" numFmtId="0" applyFont="1"/>
    <xf xfId="0" borderId="0" fillId="0" fontId="2" numFmtId="0" applyFont="1"/>
    <xf xfId="0" borderId="0" fillId="0" fontId="3" numFmtId="0" applyFont="1"/>
    <xf xfId="0" borderId="0" fillId="0" fontId="0" numFmtId="166" applyAlignment="1">
      <alignment horizontal="right"/>
    </xf>
    <xf xfId="0" borderId="0" fillId="0" fontId="0" numFmtId="170" applyAlignment="1">
      <alignment horizontal="right"/>
    </xf>
    <xf xfId="0" borderId="0" fillId="0" fontId="0" numFmtId="167" applyAlignment="1">
      <alignment horizontal="right"/>
    </xf>
    <xf xfId="0" borderId="0" fillId="0" fontId="0" numFmtId="172" applyAlignment="1">
      <alignment horizontal="right"/>
    </xf>
    <xf xfId="0" borderId="0" fillId="0" fontId="3" numFmtId="0" applyAlignment="1" applyFont="1">
      <alignment indent="1"/>
    </xf>
    <xf xfId="0" borderId="0" fillId="0" fontId="0" numFmtId="0" applyAlignment="1">
      <alignment indent="1"/>
    </xf>
    <xf xfId="0" borderId="1" fillId="0" fontId="1" numFmtId="0" applyFont="1"/>
    <xf xfId="0" borderId="1" fillId="0" fontId="1" numFmtId="166" applyAlignment="1" applyFont="1">
      <alignment horizontal="right"/>
    </xf>
    <xf xfId="0" borderId="1" fillId="0" fontId="1" numFmtId="0" applyAlignment="1" applyFont="1"/>
    <xf xfId="0" borderId="0" fillId="0" fontId="1" numFmtId="170" applyAlignment="1" applyFont="1">
      <alignment horizontal="right"/>
    </xf>
    <xf xfId="0" borderId="0" fillId="0" fontId="1" numFmtId="167" applyAlignment="1" applyFont="1">
      <alignment horizontal="right"/>
    </xf>
    <xf xfId="0" borderId="0" fillId="0" fontId="1" numFmtId="0" applyAlignment="1" applyFont="1"/>
    <xf xfId="0" borderId="0" fillId="2" fontId="5" numFmtId="0" applyFont="1" applyFill="1"/>
    <xf xfId="0" borderId="0" fillId="0" fontId="6" numFmtId="164" applyAlignment="1" applyFont="1">
      <alignment horizontal="center"/>
    </xf>
    <xf xfId="0" borderId="0" fillId="0" fontId="6" numFmtId="0" applyAlignment="1" applyFont="1">
      <alignment horizontal="center"/>
    </xf>
    <xf xfId="0" borderId="0" fillId="0" fontId="6" numFmtId="0" applyAlignment="1" applyFont="1">
      <alignment horizontal="centerContinuous"/>
    </xf>
    <xf xfId="0" borderId="0" fillId="0" fontId="9" numFmtId="0" applyFont="1"/>
    <xf xfId="0" borderId="0" fillId="0" fontId="0" numFmtId="165" applyAlignment="1">
      <alignment horizontal="right"/>
    </xf>
    <xf xfId="0" borderId="0" fillId="0" fontId="10" numFmtId="166" applyAlignment="1" applyFont="1">
      <alignment horizontal="right"/>
    </xf>
    <xf xfId="0" borderId="0" fillId="0" fontId="10" numFmtId="169" applyAlignment="1" applyFont="1">
      <alignment horizontal="right"/>
    </xf>
    <xf xfId="0" borderId="0" fillId="0" fontId="10" numFmtId="170" applyAlignment="1" applyFont="1">
      <alignment horizontal="right"/>
    </xf>
    <xf xfId="0" borderId="0" fillId="0" fontId="10" numFmtId="167" applyAlignment="1" applyFont="1">
      <alignment horizontal="right"/>
    </xf>
    <xf xfId="0" borderId="0" fillId="0" fontId="3" numFmtId="167" applyAlignment="1" applyFont="1">
      <alignment horizontal="right"/>
    </xf>
    <xf xfId="0" borderId="1" fillId="0" fontId="11" numFmtId="166" applyAlignment="1" applyFont="1">
      <alignment horizontal="right"/>
    </xf>
    <xf xfId="0" borderId="0" fillId="0" fontId="12" numFmtId="164" applyAlignment="1" applyFont="1">
      <alignment horizontal="center"/>
    </xf>
    <xf xfId="0" borderId="0" fillId="0" fontId="7" numFmtId="171" applyAlignment="1" applyFont="1">
      <alignment horizontal="right"/>
    </xf>
    <xf xfId="0" borderId="0" fillId="0" fontId="0" numFmtId="171" applyAlignment="1">
      <alignment horizontal="right"/>
    </xf>
    <xf xfId="0" borderId="0" fillId="0" fontId="10" numFmtId="171" applyAlignment="1" applyFont="1">
      <alignment horizontal="right"/>
    </xf>
    <xf xfId="0" borderId="0" fillId="0" fontId="7" numFmtId="166" applyAlignment="1" applyFont="1">
      <alignment horizontal="right"/>
    </xf>
    <xf xfId="0" borderId="1" fillId="0" fontId="1" numFmtId="171" applyAlignment="1" applyFont="1">
      <alignment horizontal="right"/>
    </xf>
    <xf xfId="0" borderId="1" fillId="0" fontId="1" numFmtId="167" applyAlignment="1" applyFont="1">
      <alignment horizontal="right"/>
    </xf>
    <xf xfId="0" borderId="0" fillId="0" fontId="0" numFmtId="169" applyAlignment="1">
      <alignment horizontal="right"/>
    </xf>
    <xf xfId="0" borderId="0" fillId="0" fontId="12" numFmtId="169" applyAlignment="1" applyFont="1">
      <alignment horizontal="center"/>
    </xf>
    <xf xfId="0" borderId="0" fillId="3" fontId="7" numFmtId="169" applyAlignment="1" applyFont="1" applyFill="1">
      <alignment horizontal="right"/>
    </xf>
    <xf xfId="0" borderId="0" fillId="3" fontId="7" numFmtId="168" applyAlignment="1" applyFont="1" applyFill="1">
      <alignment horizontal="right"/>
    </xf>
    <xf xfId="0" borderId="0" fillId="3" fontId="7" numFmtId="173" applyAlignment="1" applyFont="1" applyFill="1">
      <alignment horizontal="right"/>
    </xf>
    <xf xfId="0" borderId="0" fillId="3" fontId="7" numFmtId="174" applyAlignment="1" applyFont="1" applyFill="1">
      <alignment horizontal="right"/>
    </xf>
    <xf xfId="0" borderId="0" fillId="3" fontId="7" numFmtId="1" applyAlignment="1" applyFont="1" applyFill="1">
      <alignment horizontal="right"/>
    </xf>
    <xf xfId="0" borderId="0" fillId="0" fontId="7" numFmtId="169" applyAlignment="1" applyFont="1">
      <alignment horizontal="right"/>
    </xf>
    <xf xfId="0" borderId="0" fillId="0" fontId="7" numFmtId="175" applyAlignment="1" applyFont="1">
      <alignment horizontal="right"/>
    </xf>
    <xf xfId="0" borderId="0" fillId="0" fontId="7" numFmtId="176" applyAlignment="1" applyFont="1">
      <alignment horizontal="right"/>
    </xf>
    <xf xfId="0" borderId="0" fillId="0" fontId="7" numFmtId="174" applyAlignment="1" applyFont="1">
      <alignment horizontal="right"/>
    </xf>
    <xf xfId="0" borderId="0" fillId="0" fontId="7" numFmtId="177" applyAlignment="1" applyFont="1">
      <alignment horizontal="right"/>
    </xf>
    <xf xfId="0" borderId="0" fillId="0" fontId="0" numFmtId="177"/>
    <xf xfId="0" borderId="0" fillId="0" fontId="14" numFmtId="0" applyFont="1"/>
    <xf xfId="0" borderId="0" fillId="0" fontId="10" numFmtId="165" applyAlignment="1" applyFont="1">
      <alignment horizontal="right"/>
    </xf>
    <xf xfId="0" borderId="0" fillId="0" fontId="15" numFmtId="167" applyAlignment="1" applyFont="1">
      <alignment horizontal="right"/>
    </xf>
    <xf xfId="0" borderId="0" fillId="0" fontId="10" numFmtId="168" applyAlignment="1" applyFont="1">
      <alignment horizontal="right"/>
    </xf>
    <xf xfId="0" borderId="2" fillId="0" fontId="0" numFmtId="0" applyAlignment="1"/>
    <xf xfId="0" borderId="2" fillId="0" fontId="0" numFmtId="0"/>
    <xf xfId="0" borderId="2" fillId="0" fontId="10" numFmtId="166" applyAlignment="1" applyFont="1">
      <alignment horizontal="right"/>
    </xf>
    <xf xfId="0" borderId="2" fillId="0" fontId="0" numFmtId="166" applyAlignment="1">
      <alignment horizontal="right"/>
    </xf>
    <xf xfId="0" borderId="0" fillId="0" fontId="16" numFmtId="0" applyFont="1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commentsDrawing3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comments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59"/>
  <sheetViews>
    <sheetView showGridLines="0" tabSelected="1" workbookViewId="0">
      <selection activeCell="A1" sqref="A1"/>
    </sheetView>
  </sheetViews>
  <cols>
    <col min="1" max="1" width="2" customWidth="1"/>
    <col min="2" max="2" width="60" customWidth="1"/>
    <col min="3" max="10" width="11" customWidth="1"/>
    <col min="11" max="11" width="2" customWidth="1"/>
  </cols>
  <sheetData>
    <row r="2">
      <c r="B2" t="s" s="2">
        <v>264</v>
      </c>
    </row>
    <row r="3">
      <c r="B3" t="str" s="8">
        <f>"($ in millions; close 25-Jun-26; exit at fiscal year-end on a flat NTM multiple; selected exit "&amp;TEXT(Assumptions!$D$6,"""FY""yyyy")&amp;")"</f>
        <v>($ in millions; close 25-Jun-26; exit at fiscal year-end on a flat NTM multiple; selected exit FY2030)</v>
      </c>
    </row>
    <row r="5">
      <c r="B5" t="s" s="16">
        <v>265</v>
      </c>
      <c r="C5" s="16"/>
      <c r="D5" s="16"/>
      <c r="E5" s="16"/>
      <c r="F5" s="16"/>
      <c r="G5" s="16"/>
      <c r="H5" s="16"/>
      <c r="I5" s="16"/>
      <c r="J5" s="16"/>
    </row>
    <row r="6">
      <c r="B6" t="s">
        <v>61</v>
      </c>
      <c r="F6" s="17">
        <f>'Deal Returns'!F6</f>
        <v>46752</v>
      </c>
      <c r="G6" s="17">
        <f>'Deal Returns'!G6</f>
        <v>47118</v>
      </c>
      <c r="H6" s="17">
        <f>'Deal Returns'!H6</f>
        <v>47483</v>
      </c>
      <c r="I6" s="17">
        <f>'Deal Returns'!I6</f>
        <v>47848</v>
      </c>
      <c r="J6" s="17">
        <f>'Deal Returns'!J6</f>
        <v>48213</v>
      </c>
    </row>
    <row r="7">
      <c r="B7" t="s" s="15">
        <v>135</v>
      </c>
    </row>
    <row r="8">
      <c r="B8" t="s">
        <v>18</v>
      </c>
      <c r="F8" s="4">
        <f>'Deal Returns'!F14</f>
        <v>8616.545201991903</v>
      </c>
      <c r="G8" s="4">
        <f>'Deal Returns'!G14</f>
        <v>10252.000870159249</v>
      </c>
      <c r="H8" s="4">
        <f>'Deal Returns'!H14</f>
        <v>11877.707845807152</v>
      </c>
      <c r="I8" s="4">
        <f>'Deal Returns'!I14</f>
        <v>13617.17509368273</v>
      </c>
      <c r="J8" s="4">
        <f>'Deal Returns'!J14</f>
        <v>15448.117319740028</v>
      </c>
    </row>
    <row r="9">
      <c r="B9" t="s" s="1">
        <v>266</v>
      </c>
      <c r="C9" s="1"/>
      <c r="D9" s="1"/>
      <c r="E9" s="1"/>
      <c r="F9" s="13">
        <f>'Deal Returns'!F26</f>
        <v>1.5019168837360741</v>
      </c>
      <c r="G9" s="13">
        <f>'Deal Returns'!G26</f>
        <v>1.7869868767600263</v>
      </c>
      <c r="H9" s="13">
        <f>'Deal Returns'!H26</f>
        <v>2.0703576126517906</v>
      </c>
      <c r="I9" s="13">
        <f>'Deal Returns'!I26</f>
        <v>2.3735574644539152</v>
      </c>
      <c r="J9" s="13">
        <f>'Deal Returns'!J26</f>
        <v>2.692701968195979</v>
      </c>
    </row>
    <row r="10">
      <c r="B10" t="s" s="1">
        <v>267</v>
      </c>
      <c r="C10" s="1"/>
      <c r="D10" s="1"/>
      <c r="E10" s="1"/>
      <c r="F10" s="14">
        <f>'Deal Returns'!F25</f>
        <v>0.3073209702968598</v>
      </c>
      <c r="G10" s="14">
        <f>'Deal Returns'!G25</f>
        <v>0.25900197625160215</v>
      </c>
      <c r="H10" s="14">
        <f>'Deal Returns'!H25</f>
        <v>0.22962204813957215</v>
      </c>
      <c r="I10" s="14">
        <f>'Deal Returns'!I25</f>
        <v>0.21071793437004088</v>
      </c>
      <c r="J10" s="14">
        <f>'Deal Returns'!J25</f>
        <v>0.19653367400169372</v>
      </c>
    </row>
    <row r="11">
      <c r="B11" t="s">
        <v>102</v>
      </c>
      <c r="F11" s="6">
        <f>'Deal Returns'!F53</f>
        <v>0.307320965922542</v>
      </c>
      <c r="G11" s="6">
        <f>'Deal Returns'!G53</f>
        <v>0.1892392835852308</v>
      </c>
      <c r="H11" s="6">
        <f>'Deal Returns'!H53</f>
        <v>0.15857460375173082</v>
      </c>
      <c r="I11" s="6">
        <f>'Deal Returns'!I53</f>
        <v>0.14644805803079364</v>
      </c>
      <c r="J11" s="6">
        <f>'Deal Returns'!J53</f>
        <v>0.1344583008928708</v>
      </c>
    </row>
    <row r="12">
      <c r="B12" t="s">
        <v>268</v>
      </c>
      <c r="F12" s="5">
        <f>'Fund Waterfall'!F44</f>
        <v>1.3312546571711323</v>
      </c>
      <c r="G12" s="5">
        <f>'Fund Waterfall'!G44</f>
        <v>1.5060667025527013</v>
      </c>
      <c r="H12" s="5">
        <f>'Fund Waterfall'!H44</f>
        <v>1.672577024721906</v>
      </c>
      <c r="I12" s="5">
        <f>'Fund Waterfall'!I44</f>
        <v>1.8456244246910372</v>
      </c>
      <c r="J12" s="5">
        <f>'Fund Waterfall'!J44</f>
        <v>2.0241438107999823</v>
      </c>
    </row>
    <row r="13">
      <c r="B13" t="s" s="1">
        <v>269</v>
      </c>
      <c r="C13" s="1"/>
      <c r="D13" s="1"/>
      <c r="E13" s="1"/>
      <c r="F13" s="14">
        <f>'Fund Waterfall'!F45</f>
        <v>0.2090527713298798</v>
      </c>
      <c r="G13" s="14">
        <f>'Fund Waterfall'!G45</f>
        <v>0.17940716147422794</v>
      </c>
      <c r="H13" s="14">
        <f>'Fund Waterfall'!H45</f>
        <v>0.16136124730110174</v>
      </c>
      <c r="I13" s="14">
        <f>'Fund Waterfall'!I45</f>
        <v>0.15008512139320376</v>
      </c>
      <c r="J13" s="14">
        <f>'Fund Waterfall'!J45</f>
        <v>0.141773122549057</v>
      </c>
    </row>
    <row r="14">
      <c r="B14" t="s" s="15">
        <v>150</v>
      </c>
    </row>
    <row r="15">
      <c r="B15" t="s">
        <v>18</v>
      </c>
      <c r="F15" s="4">
        <f>'Deal Returns'!F75</f>
        <v>10156.292721850674</v>
      </c>
      <c r="G15" s="4">
        <f>'Deal Returns'!G75</f>
        <v>13225.344037397816</v>
      </c>
      <c r="H15" s="4">
        <f>'Deal Returns'!H75</f>
        <v>16723.02991828694</v>
      </c>
      <c r="I15" s="4">
        <f>'Deal Returns'!I75</f>
        <v>20418.829752739195</v>
      </c>
      <c r="J15" s="4">
        <f>'Deal Returns'!J75</f>
        <v>24552.556081087343</v>
      </c>
    </row>
    <row r="16">
      <c r="B16" t="s" s="1">
        <v>266</v>
      </c>
      <c r="C16" s="1"/>
      <c r="D16" s="1"/>
      <c r="E16" s="1"/>
      <c r="F16" s="13">
        <f>'Deal Returns'!F87</f>
        <v>1.7703043572018935</v>
      </c>
      <c r="G16" s="13">
        <f>'Deal Returns'!G87</f>
        <v>2.3052588987050338</v>
      </c>
      <c r="H16" s="13">
        <f>'Deal Returns'!H87</f>
        <v>2.9149270841975508</v>
      </c>
      <c r="I16" s="13">
        <f>'Deal Returns'!I87</f>
        <v>3.559127751651793</v>
      </c>
      <c r="J16" s="13">
        <f>'Deal Returns'!J87</f>
        <v>4.279661703455955</v>
      </c>
    </row>
    <row r="17">
      <c r="B17" t="s" s="1">
        <v>267</v>
      </c>
      <c r="C17" s="1"/>
      <c r="D17" s="1"/>
      <c r="E17" s="1"/>
      <c r="F17" s="14">
        <f>'Deal Returns'!F86</f>
        <v>0.4568843781948091</v>
      </c>
      <c r="G17" s="14">
        <f>'Deal Returns'!G86</f>
        <v>0.392852419614792</v>
      </c>
      <c r="H17" s="14">
        <f>'Deal Returns'!H86</f>
        <v>0.35511439442634585</v>
      </c>
      <c r="I17" s="14">
        <f>'Deal Returns'!I86</f>
        <v>0.32423140406608586</v>
      </c>
      <c r="J17" s="14">
        <f>'Deal Returns'!J86</f>
        <v>0.3012909710407258</v>
      </c>
    </row>
    <row r="18">
      <c r="B18" t="s">
        <v>102</v>
      </c>
      <c r="F18" s="6">
        <f>'Deal Returns'!F114</f>
        <v>0.4568843754849812</v>
      </c>
      <c r="G18" s="6">
        <f>'Deal Returns'!G114</f>
        <v>0.3012431551436401</v>
      </c>
      <c r="H18" s="6">
        <f>'Deal Returns'!H114</f>
        <v>0.26446842297626305</v>
      </c>
      <c r="I18" s="6">
        <f>'Deal Returns'!I114</f>
        <v>0.2210006112834153</v>
      </c>
      <c r="J18" s="6">
        <f>'Deal Returns'!J114</f>
        <v>0.20244677968352254</v>
      </c>
    </row>
    <row r="19">
      <c r="B19" t="s">
        <v>268</v>
      </c>
      <c r="F19" s="5">
        <f>'Fund Waterfall'!F135</f>
        <v>1.5223426181366542</v>
      </c>
      <c r="G19" s="5">
        <f>'Fund Waterfall'!G135</f>
        <v>1.8672824315171757</v>
      </c>
      <c r="H19" s="5">
        <f>'Fund Waterfall'!H135</f>
        <v>2.249077952312103</v>
      </c>
      <c r="I19" s="5">
        <f>'Fund Waterfall'!I135</f>
        <v>2.638549574781089</v>
      </c>
      <c r="J19" s="5">
        <f>'Fund Waterfall'!J135</f>
        <v>3.06558209882897</v>
      </c>
    </row>
    <row r="20">
      <c r="B20" t="s" s="1">
        <v>269</v>
      </c>
      <c r="C20" s="1"/>
      <c r="D20" s="1"/>
      <c r="E20" s="1"/>
      <c r="F20" s="14">
        <f>'Fund Waterfall'!F136</f>
        <v>0.32152497172355665</v>
      </c>
      <c r="G20" s="14">
        <f>'Fund Waterfall'!G136</f>
        <v>0.28588824868202223</v>
      </c>
      <c r="H20" s="14">
        <f>'Fund Waterfall'!H136</f>
        <v>0.2653200328350068</v>
      </c>
      <c r="I20" s="14">
        <f>'Fund Waterfall'!I136</f>
        <v>0.24706147313117982</v>
      </c>
      <c r="J20" s="14">
        <f>'Fund Waterfall'!J136</f>
        <v>0.23347705006599423</v>
      </c>
    </row>
    <row r="22">
      <c r="B22" t="str" s="16">
        <f>"Value-Creation Bridge: "&amp;TEXT(Assumptions!$D$6,"""FY""yyyy")&amp;" Exit"</f>
        <v>Value-Creation Bridge: FY2030 Exit</v>
      </c>
      <c r="C22" s="16"/>
      <c r="D22" s="16"/>
      <c r="E22" s="16"/>
      <c r="F22" s="16"/>
      <c r="G22" s="16"/>
      <c r="H22" s="16"/>
      <c r="I22" s="16"/>
      <c r="J22" s="16"/>
    </row>
    <row r="23">
      <c r="F23" t="s" s="19">
        <v>270</v>
      </c>
      <c r="G23" s="19"/>
      <c r="H23" t="s" s="19">
        <v>271</v>
      </c>
      <c r="I23" s="19"/>
    </row>
    <row r="24">
      <c r="F24" t="s" s="18">
        <v>272</v>
      </c>
      <c r="G24" t="s" s="18">
        <v>273</v>
      </c>
      <c r="H24" t="s" s="18">
        <v>272</v>
      </c>
      <c r="I24" t="s" s="18">
        <v>273</v>
      </c>
    </row>
    <row r="25">
      <c r="B25" t="s">
        <v>161</v>
      </c>
      <c r="F25" s="4">
        <f>INDEX('Value Creation'!$F$12:$J$12,MATCH(Assumptions!$D$6,'Value Creation'!$F$6:$J$6,0))</f>
        <v>5737.031985790003</v>
      </c>
      <c r="H25" s="4">
        <f>INDEX('Value Creation'!$F$41:$J$41,MATCH(Assumptions!$D$6,'Value Creation'!$F$35:$J$35,0))</f>
        <v>5737.031985790003</v>
      </c>
    </row>
    <row r="26">
      <c r="B26" t="s" s="9">
        <v>274</v>
      </c>
      <c r="F26" s="4">
        <f>INDEX('Value Creation'!$F$13:$J$13,MATCH(Assumptions!$D$6,'Value Creation'!$F$6:$J$6,0))</f>
        <v>6185.038875102444</v>
      </c>
      <c r="G26" s="6">
        <f>F26/(F$31-F$25)</f>
        <v>0.784889156252445</v>
      </c>
      <c r="H26" s="4">
        <f>INDEX('Value Creation'!$F$42:$J$42,MATCH(Assumptions!$D$6,'Value Creation'!$F$35:$J$35,0))</f>
        <v>10308.850148581123</v>
      </c>
      <c r="I26" s="6">
        <f>H26/(H$31-H$25)</f>
        <v>0.702151760446381</v>
      </c>
    </row>
    <row r="27">
      <c r="B27" t="s" s="9">
        <v>275</v>
      </c>
      <c r="F27" s="4">
        <f>INDEX('Value Creation'!$F$14:$J$14,MATCH(Assumptions!$D$6,'Value Creation'!$F$6:$J$6,0))</f>
        <v>1360.1507751985564</v>
      </c>
      <c r="G27" s="6">
        <f>F27/(F$31-F$25)</f>
        <v>0.17260483173665123</v>
      </c>
      <c r="H27" s="4">
        <f>INDEX('Value Creation'!$F$43:$J$43,MATCH(Assumptions!$D$6,'Value Creation'!$F$35:$J$35,0))</f>
        <v>3504.765691428417</v>
      </c>
      <c r="I27" s="6">
        <f>H27/(H$31-H$25)</f>
        <v>0.23871502298704458</v>
      </c>
    </row>
    <row r="28">
      <c r="B28" t="s" s="9">
        <v>276</v>
      </c>
      <c r="F28" s="4">
        <f>INDEX('Value Creation'!$F$15:$J$15,MATCH(Assumptions!$D$6,'Value Creation'!$F$6:$J$6,0))</f>
        <v>0</v>
      </c>
      <c r="G28" s="6">
        <f>F28/(F$31-F$25)</f>
        <v>0</v>
      </c>
      <c r="H28" s="4">
        <f>INDEX('Value Creation'!$F$44:$J$44,MATCH(Assumptions!$D$6,'Value Creation'!$F$35:$J$35,0))</f>
        <v>0</v>
      </c>
      <c r="I28" s="6">
        <f>H28/(H$31-H$25)</f>
        <v>0</v>
      </c>
    </row>
    <row r="29">
      <c r="B29" t="s" s="9">
        <v>305</v>
      </c>
      <c r="F29" s="4">
        <f>INDEX('Value Creation'!$F$16:$J$16,MATCH(Assumptions!$D$6,'Value Creation'!$F$6:$J$6,0))</f>
        <v>315.22650861173406</v>
      </c>
      <c r="G29" s="6">
        <f>F29/(F$31-F$25)</f>
        <v>0.04000263755311805</v>
      </c>
      <c r="H29" s="4">
        <f>INDEX('Value Creation'!$F$45:$J$45,MATCH(Assumptions!$D$6,'Value Creation'!$F$35:$J$35,0))</f>
        <v>848.4549779596571</v>
      </c>
      <c r="I29" s="6">
        <f>H29/(H$31-H$25)</f>
        <v>0.05778958349839482</v>
      </c>
    </row>
    <row r="30">
      <c r="B30" t="s" s="9">
        <v>306</v>
      </c>
      <c r="F30" s="4">
        <f>INDEX('Value Creation'!$F$17:$J$17,MATCH(Assumptions!$D$6,'Value Creation'!$F$6:$J$6,0))</f>
        <v>19.72694897999645</v>
      </c>
      <c r="G30" s="6">
        <f>F30/(F$31-F$25)</f>
        <v>0.0025033744577859247</v>
      </c>
      <c r="H30" s="4">
        <f>INDEX('Value Creation'!$F$46:$J$46,MATCH(Assumptions!$D$6,'Value Creation'!$F$35:$J$35,0))</f>
        <v>19.72694897999645</v>
      </c>
      <c r="I30" s="6">
        <f>H30/(H$31-H$25)</f>
        <v>0.0013436330681794709</v>
      </c>
    </row>
    <row r="31">
      <c r="B31" t="s" s="12">
        <v>69</v>
      </c>
      <c r="C31" s="10"/>
      <c r="D31" s="10"/>
      <c r="E31" s="10"/>
      <c r="F31" s="11">
        <f>INDEX('Value Creation'!$F$18:$J$18,MATCH(Assumptions!$D$6,'Value Creation'!$F$6:$J$6,0))</f>
        <v>13617.175093682732</v>
      </c>
      <c r="G31" s="10"/>
      <c r="H31" s="11">
        <f>INDEX('Value Creation'!$F$47:$J$47,MATCH(Assumptions!$D$6,'Value Creation'!$F$35:$J$35,0))</f>
        <v>20418.8297527392</v>
      </c>
      <c r="I31" s="10"/>
      <c r="J31" s="10"/>
    </row>
    <row r="32">
      <c r="B32" t="s" s="9">
        <v>140</v>
      </c>
      <c r="F32" s="4">
        <f>INDEX('Value Creation'!$F$21:$J$21,MATCH(Assumptions!$D$6,'Value Creation'!$F$6:$J$6,0))</f>
        <v>-630.4114486314182</v>
      </c>
      <c r="H32" s="4">
        <f>INDEX('Value Creation'!$F$50:$J$50,MATCH(Assumptions!$D$6,'Value Creation'!$F$35:$J$35,0))</f>
        <v>-1174.5438213559353</v>
      </c>
    </row>
    <row r="33">
      <c r="B33" t="s" s="12">
        <v>141</v>
      </c>
      <c r="C33" s="10"/>
      <c r="D33" s="10"/>
      <c r="E33" s="10"/>
      <c r="F33" s="11">
        <f>INDEX('Value Creation'!$F$22:$J$22,MATCH(Assumptions!$D$6,'Value Creation'!$F$6:$J$6,0))</f>
        <v>12986.763645051315</v>
      </c>
      <c r="G33" s="10"/>
      <c r="H33" s="11">
        <f>INDEX('Value Creation'!$F$51:$J$51,MATCH(Assumptions!$D$6,'Value Creation'!$F$35:$J$35,0))</f>
        <v>19244.285931383263</v>
      </c>
      <c r="I33" s="10"/>
      <c r="J33" s="10"/>
    </row>
    <row r="35">
      <c r="B35" t="str" s="16">
        <f>"Fund Waterfall: "&amp;TEXT(Assumptions!$D$6,"""FY""yyyy")&amp;" Exit (Illustrative LPA Terms)"</f>
        <v>Fund Waterfall: FY2030 Exit (Illustrative LPA Terms)</v>
      </c>
      <c r="C35" s="16"/>
      <c r="D35" s="16"/>
      <c r="E35" s="16"/>
      <c r="F35" s="16"/>
      <c r="G35" s="16"/>
      <c r="H35" s="16"/>
      <c r="I35" s="16"/>
      <c r="J35" s="16"/>
    </row>
    <row r="36">
      <c r="F36" t="s" s="19">
        <v>270</v>
      </c>
      <c r="G36" s="19"/>
      <c r="H36" t="s" s="19">
        <v>271</v>
      </c>
      <c r="I36" s="19"/>
    </row>
    <row r="37">
      <c r="F37" t="s" s="18">
        <v>277</v>
      </c>
      <c r="G37" t="s" s="18">
        <v>278</v>
      </c>
      <c r="H37" t="s" s="18">
        <v>277</v>
      </c>
      <c r="I37" t="s" s="18">
        <v>278</v>
      </c>
    </row>
    <row r="38">
      <c r="B38" t="s">
        <v>279</v>
      </c>
      <c r="F38" s="4">
        <f>INDEX('Fund Waterfall'!$F$30:$J$30,MATCH(Assumptions!$D$6,'Fund Waterfall'!$F$22:$J$22,0))</f>
        <v>12986.763645051313</v>
      </c>
      <c r="G38" s="4">
        <f>INDEX('Fund Waterfall'!$F$30:$J$30,MATCH(Assumptions!$D$6,'Fund Waterfall'!$F$22:$J$22,0))</f>
        <v>12986.763645051313</v>
      </c>
      <c r="H38" s="4">
        <f>INDEX('Fund Waterfall'!$F$121:$J$121,MATCH(Assumptions!$D$6,'Fund Waterfall'!$F$113:$J$113,0))</f>
        <v>19244.28593138326</v>
      </c>
      <c r="I38" s="4">
        <f>INDEX('Fund Waterfall'!$F$121:$J$121,MATCH(Assumptions!$D$6,'Fund Waterfall'!$F$113:$J$113,0))</f>
        <v>19244.28593138326</v>
      </c>
    </row>
    <row r="39">
      <c r="B39" t="s">
        <v>280</v>
      </c>
      <c r="F39" s="4">
        <f>INDEX('Fund Waterfall'!$F$32:$J$32,MATCH(Assumptions!$D$6,'Fund Waterfall'!$F$22:$J$22,0))</f>
        <v>6313.354833677583</v>
      </c>
      <c r="G39" s="4">
        <f>INDEX('Fund Waterfall'!$F$48:$J$48,MATCH(Assumptions!$D$6,'Fund Waterfall'!$F$22:$J$22,0))</f>
        <v>5737.031985790003</v>
      </c>
      <c r="H39" s="4">
        <f>INDEX('Fund Waterfall'!$F$123:$J$123,MATCH(Assumptions!$D$6,'Fund Waterfall'!$F$113:$J$113,0))</f>
        <v>6313.354833677583</v>
      </c>
      <c r="I39" s="4">
        <f>INDEX('Fund Waterfall'!$F$139:$J$139,MATCH(Assumptions!$D$6,'Fund Waterfall'!$F$113:$J$113,0))</f>
        <v>5737.031985790003</v>
      </c>
    </row>
    <row r="40">
      <c r="B40" t="s">
        <v>281</v>
      </c>
      <c r="F40" s="4">
        <f>INDEX('Fund Waterfall'!$F$34:$J$34,MATCH(Assumptions!$D$6,'Fund Waterfall'!$F$22:$J$22,0))</f>
        <v>2525.287356743754</v>
      </c>
      <c r="G40" s="4">
        <f>INDEX('Fund Waterfall'!$F$50:$J$50,MATCH(Assumptions!$D$6,'Fund Waterfall'!$F$22:$J$22,0))</f>
        <v>2387.1746394534134</v>
      </c>
      <c r="H40" s="4">
        <f>INDEX('Fund Waterfall'!$F$125:$J$125,MATCH(Assumptions!$D$6,'Fund Waterfall'!$F$113:$J$113,0))</f>
        <v>2525.287356743754</v>
      </c>
      <c r="I40" s="4">
        <f>INDEX('Fund Waterfall'!$F$141:$J$141,MATCH(Assumptions!$D$6,'Fund Waterfall'!$F$113:$J$113,0))</f>
        <v>2387.1746394534134</v>
      </c>
    </row>
    <row r="41">
      <c r="B41" t="s">
        <v>282</v>
      </c>
      <c r="F41" s="4">
        <f>INDEX('Fund Waterfall'!$F$36:$J$36,MATCH(Assumptions!$D$6,'Fund Waterfall'!$F$22:$J$22,0))</f>
        <v>631.3218391859385</v>
      </c>
      <c r="G41" s="4">
        <f>INDEX('Fund Waterfall'!$F$52:$J$52,MATCH(Assumptions!$D$6,'Fund Waterfall'!$F$22:$J$22,0))</f>
        <v>596.7936598633534</v>
      </c>
      <c r="H41" s="4">
        <f>INDEX('Fund Waterfall'!$F$127:$J$127,MATCH(Assumptions!$D$6,'Fund Waterfall'!$F$113:$J$113,0))</f>
        <v>631.3218391859385</v>
      </c>
      <c r="I41" s="4">
        <f>INDEX('Fund Waterfall'!$F$143:$J$143,MATCH(Assumptions!$D$6,'Fund Waterfall'!$F$113:$J$113,0))</f>
        <v>596.7936598633534</v>
      </c>
    </row>
    <row r="42">
      <c r="B42" t="s">
        <v>283</v>
      </c>
      <c r="F42" s="4">
        <f>INDEX('Fund Waterfall'!$F$38:$J$38,MATCH(Assumptions!$D$6,'Fund Waterfall'!$F$22:$J$22,0))</f>
        <v>3516.7996154440375</v>
      </c>
      <c r="G42" s="4">
        <f>INDEX('Fund Waterfall'!$F$54:$J$54,MATCH(Assumptions!$D$6,'Fund Waterfall'!$F$22:$J$22,0))</f>
        <v>4265.7633599445435</v>
      </c>
      <c r="H42" s="4">
        <f>INDEX('Fund Waterfall'!$F$129:$J$129,MATCH(Assumptions!$D$6,'Fund Waterfall'!$F$113:$J$113,0))</f>
        <v>9774.321901775984</v>
      </c>
      <c r="I42" s="4">
        <f>INDEX('Fund Waterfall'!$F$145:$J$145,MATCH(Assumptions!$D$6,'Fund Waterfall'!$F$113:$J$113,0))</f>
        <v>10523.28564627649</v>
      </c>
    </row>
    <row r="43">
      <c r="B43" t="s" s="12">
        <v>284</v>
      </c>
      <c r="C43" s="10"/>
      <c r="D43" s="10"/>
      <c r="E43" s="10"/>
      <c r="F43" s="11">
        <f>INDEX('Fund Waterfall'!$F$41:$J$41,MATCH(Assumptions!$D$6,'Fund Waterfall'!$F$22:$J$22,0))</f>
        <v>11652.081882776567</v>
      </c>
      <c r="G43" s="11">
        <f>INDEX('Fund Waterfall'!$F$57:$J$57,MATCH(Assumptions!$D$6,'Fund Waterfall'!$F$22:$J$22,0))</f>
        <v>11536.817313199052</v>
      </c>
      <c r="H43" s="11">
        <f>INDEX('Fund Waterfall'!$F$132:$J$132,MATCH(Assumptions!$D$6,'Fund Waterfall'!$F$113:$J$113,0))</f>
        <v>16658.099711842122</v>
      </c>
      <c r="I43" s="11">
        <f>INDEX('Fund Waterfall'!$F$148:$J$148,MATCH(Assumptions!$D$6,'Fund Waterfall'!$F$113:$J$113,0))</f>
        <v>16542.83514226461</v>
      </c>
      <c r="J43" s="10"/>
    </row>
    <row r="44">
      <c r="B44" t="s" s="12">
        <v>285</v>
      </c>
      <c r="C44" s="10"/>
      <c r="D44" s="10"/>
      <c r="E44" s="10"/>
      <c r="F44" s="11">
        <f>INDEX('Fund Waterfall'!$F$42:$J$42,MATCH(Assumptions!$D$6,'Fund Waterfall'!$F$22:$J$22,0))</f>
        <v>1334.6817622747462</v>
      </c>
      <c r="G44" s="11">
        <f>INDEX('Fund Waterfall'!$F$58:$J$58,MATCH(Assumptions!$D$6,'Fund Waterfall'!$F$22:$J$22,0))</f>
        <v>1449.9463318522621</v>
      </c>
      <c r="H44" s="11">
        <f>INDEX('Fund Waterfall'!$F$133:$J$133,MATCH(Assumptions!$D$6,'Fund Waterfall'!$F$113:$J$113,0))</f>
        <v>2586.1862195411354</v>
      </c>
      <c r="I44" s="11">
        <f>INDEX('Fund Waterfall'!$F$149:$J$149,MATCH(Assumptions!$D$6,'Fund Waterfall'!$F$113:$J$113,0))</f>
        <v>2701.4507891186513</v>
      </c>
      <c r="J44" s="10"/>
    </row>
    <row r="45">
      <c r="B45" t="s" s="9">
        <v>286</v>
      </c>
      <c r="F45" s="4">
        <f>0</f>
        <v>0</v>
      </c>
      <c r="G45" s="4">
        <f>INDEX('Fund Waterfall'!$F$59:$J$59,MATCH(Assumptions!$D$6,'Fund Waterfall'!$F$22:$J$22,0))</f>
        <v>-115.26456957751589</v>
      </c>
      <c r="H45" s="4">
        <f>0</f>
        <v>0</v>
      </c>
      <c r="I45" s="4">
        <f>INDEX('Fund Waterfall'!$F$150:$J$150,MATCH(Assumptions!$D$6,'Fund Waterfall'!$F$113:$J$113,0))</f>
        <v>-115.26456957751589</v>
      </c>
    </row>
    <row r="46">
      <c r="B46" t="s" s="12">
        <v>287</v>
      </c>
      <c r="C46" s="10"/>
      <c r="D46" s="10"/>
      <c r="E46" s="10"/>
      <c r="F46" s="11">
        <f>INDEX('Fund Waterfall'!$F$42:$J$42,MATCH(Assumptions!$D$6,'Fund Waterfall'!$F$22:$J$22,0))</f>
        <v>1334.6817622747462</v>
      </c>
      <c r="G46" s="11">
        <f>INDEX('Fund Waterfall'!$F$60:$J$60,MATCH(Assumptions!$D$6,'Fund Waterfall'!$F$22:$J$22,0))</f>
        <v>1334.6817622747462</v>
      </c>
      <c r="H46" s="11">
        <f>INDEX('Fund Waterfall'!$F$133:$J$133,MATCH(Assumptions!$D$6,'Fund Waterfall'!$F$113:$J$113,0))</f>
        <v>2586.1862195411354</v>
      </c>
      <c r="I46" s="11">
        <f>INDEX('Fund Waterfall'!$F$151:$J$151,MATCH(Assumptions!$D$6,'Fund Waterfall'!$F$113:$J$113,0))</f>
        <v>2586.1862195411354</v>
      </c>
      <c r="J46" s="10"/>
    </row>
    <row r="47">
      <c r="B47" t="s">
        <v>288</v>
      </c>
      <c r="F47" s="4">
        <f>INDEX('Fund Waterfall'!$F$25:$J$25,MATCH(Assumptions!$D$6,'Fund Waterfall'!$F$22:$J$22,0))</f>
        <v>6313.354833677583</v>
      </c>
      <c r="G47" s="4">
        <f>INDEX('Fund Waterfall'!$F$25:$J$25,MATCH(Assumptions!$D$6,'Fund Waterfall'!$F$22:$J$22,0))</f>
        <v>6313.354833677583</v>
      </c>
      <c r="H47" s="4">
        <f>INDEX('Fund Waterfall'!$F$116:$J$116,MATCH(Assumptions!$D$6,'Fund Waterfall'!$F$113:$J$113,0))</f>
        <v>6313.354833677583</v>
      </c>
      <c r="I47" s="4">
        <f>INDEX('Fund Waterfall'!$F$116:$J$116,MATCH(Assumptions!$D$6,'Fund Waterfall'!$F$113:$J$113,0))</f>
        <v>6313.354833677583</v>
      </c>
    </row>
    <row r="49">
      <c r="B49" t="str" s="16">
        <f>"Gross vs. Net: "&amp;TEXT(Assumptions!$D$6,"""FY""yyyy")&amp;" Exit"</f>
        <v>Gross vs. Net: FY2030 Exit</v>
      </c>
      <c r="C49" s="16"/>
      <c r="D49" s="16"/>
      <c r="E49" s="16"/>
      <c r="F49" s="16"/>
      <c r="G49" s="16"/>
      <c r="H49" s="16"/>
      <c r="I49" s="16"/>
      <c r="J49" s="16"/>
    </row>
    <row r="50">
      <c r="F50" t="s" s="19">
        <v>270</v>
      </c>
      <c r="G50" s="19"/>
      <c r="H50" t="s" s="19">
        <v>271</v>
      </c>
      <c r="I50" s="19"/>
    </row>
    <row r="51">
      <c r="F51" t="s" s="18">
        <v>80</v>
      </c>
      <c r="G51" t="s" s="18">
        <v>100</v>
      </c>
      <c r="H51" t="s" s="18">
        <v>80</v>
      </c>
      <c r="I51" t="s" s="18">
        <v>100</v>
      </c>
    </row>
    <row r="52">
      <c r="B52" t="s">
        <v>289</v>
      </c>
      <c r="F52" s="5">
        <f>INDEX('Fund Waterfall'!$F$66:$J$66,MATCH(Assumptions!$D$6,'Fund Waterfall'!$F$22:$J$22,0))</f>
        <v>2.3735574644539152</v>
      </c>
      <c r="G52" s="6">
        <f>INDEX('Fund Waterfall'!$F$67:$J$67,MATCH(Assumptions!$D$6,'Fund Waterfall'!$F$22:$J$22,0))</f>
        <v>0.21071793437004088</v>
      </c>
      <c r="H52" s="5">
        <f>INDEX('Fund Waterfall'!$F$157:$J$157,MATCH(Assumptions!$D$6,'Fund Waterfall'!$F$113:$J$113,0))</f>
        <v>3.559127751651793</v>
      </c>
      <c r="I52" s="6">
        <f>INDEX('Fund Waterfall'!$F$158:$J$158,MATCH(Assumptions!$D$6,'Fund Waterfall'!$F$113:$J$113,0))</f>
        <v>0.32423140406608586</v>
      </c>
    </row>
    <row r="53">
      <c r="B53" t="s">
        <v>290</v>
      </c>
      <c r="F53" s="5">
        <f>INDEX('Fund Waterfall'!$F$68:$J$68,MATCH(Assumptions!$D$6,'Fund Waterfall'!$F$22:$J$22,0))</f>
        <v>2.2636728672976023</v>
      </c>
      <c r="G53" s="6">
        <f>INDEX('Fund Waterfall'!$F$69:$J$69,MATCH(Assumptions!$D$6,'Fund Waterfall'!$F$22:$J$22,0))</f>
        <v>0.19808900952339176</v>
      </c>
      <c r="H53" s="5">
        <f>INDEX('Fund Waterfall'!$F$159:$J$159,MATCH(Assumptions!$D$6,'Fund Waterfall'!$F$113:$J$113,0))</f>
        <v>3.3543975315196497</v>
      </c>
      <c r="I53" s="6">
        <f>INDEX('Fund Waterfall'!$F$160:$J$160,MATCH(Assumptions!$D$6,'Fund Waterfall'!$F$113:$J$113,0))</f>
        <v>0.3069901168346405</v>
      </c>
    </row>
    <row r="54">
      <c r="B54" t="s">
        <v>291</v>
      </c>
      <c r="F54" s="5">
        <f>INDEX('Fund Waterfall'!$F$30:$J$30,MATCH(Assumptions!$D$6,'Fund Waterfall'!$F$22:$J$22,0))/INDEX('Fund Waterfall'!$F$25:$J$25,MATCH(Assumptions!$D$6,'Fund Waterfall'!$F$22:$J$22,0))</f>
        <v>2.057030530863796</v>
      </c>
      <c r="G54" s="6">
        <f>INDEX('Fund Waterfall'!$F$70:$J$70,MATCH(Assumptions!$D$6,'Fund Waterfall'!$F$22:$J$22,0))</f>
        <v>0.17873141169548043</v>
      </c>
      <c r="H54" s="5">
        <f>INDEX('Fund Waterfall'!$F$121:$J$121,MATCH(Assumptions!$D$6,'Fund Waterfall'!$F$113:$J$113,0))/INDEX('Fund Waterfall'!$F$116:$J$116,MATCH(Assumptions!$D$6,'Fund Waterfall'!$F$113:$J$113,0))</f>
        <v>3.048186968476362</v>
      </c>
      <c r="I54" s="6">
        <f>INDEX('Fund Waterfall'!$F$161:$J$161,MATCH(Assumptions!$D$6,'Fund Waterfall'!$F$113:$J$113,0))</f>
        <v>0.2883725106716156</v>
      </c>
    </row>
    <row r="55">
      <c r="B55" t="s" s="1">
        <v>292</v>
      </c>
      <c r="C55" s="1"/>
      <c r="D55" s="1"/>
      <c r="E55" s="1"/>
      <c r="F55" s="13">
        <f>INDEX('Fund Waterfall'!$F$71:$J$71,MATCH(Assumptions!$D$6,'Fund Waterfall'!$F$22:$J$22,0))</f>
        <v>1.8456244246910372</v>
      </c>
      <c r="G55" s="14">
        <f>INDEX('Fund Waterfall'!$F$72:$J$72,MATCH(Assumptions!$D$6,'Fund Waterfall'!$F$22:$J$22,0))</f>
        <v>0.15008512139320376</v>
      </c>
      <c r="H55" s="13">
        <f>INDEX('Fund Waterfall'!$F$162:$J$162,MATCH(Assumptions!$D$6,'Fund Waterfall'!$F$113:$J$113,0))</f>
        <v>2.638549574781089</v>
      </c>
      <c r="I55" s="14">
        <f>INDEX('Fund Waterfall'!$F$163:$J$163,MATCH(Assumptions!$D$6,'Fund Waterfall'!$F$113:$J$113,0))</f>
        <v>0.24706147313117982</v>
      </c>
      <c r="J55" s="1"/>
    </row>
    <row r="56">
      <c r="B56" t="s">
        <v>293</v>
      </c>
      <c r="F56" s="5">
        <f>INDEX('Fund Waterfall'!$F$73:$J$73,MATCH(Assumptions!$D$6,'Fund Waterfall'!$F$22:$J$22,0))</f>
        <v>1.8273671632802488</v>
      </c>
      <c r="G56" s="6">
        <f>INDEX('Fund Waterfall'!$F$74:$J$74,MATCH(Assumptions!$D$6,'Fund Waterfall'!$F$22:$J$22,0))</f>
        <v>0.1474919974803925</v>
      </c>
      <c r="H56" s="5">
        <f>INDEX('Fund Waterfall'!$F$164:$J$164,MATCH(Assumptions!$D$6,'Fund Waterfall'!$F$113:$J$113,0))</f>
        <v>2.6202923133703013</v>
      </c>
      <c r="I56" s="6">
        <f>INDEX('Fund Waterfall'!$F$165:$J$165,MATCH(Assumptions!$D$6,'Fund Waterfall'!$F$113:$J$113,0))</f>
        <v>0.24510599970817568</v>
      </c>
    </row>
    <row r="57">
      <c r="B57" t="s">
        <v>294</v>
      </c>
      <c r="F57" s="5">
        <f>F52-F55</f>
        <v>0.5279330397628781</v>
      </c>
      <c r="G57" s="7">
        <f>(G52-G55)*10000</f>
        <v>606.3281297683712</v>
      </c>
      <c r="H57" s="5">
        <f>H52-H55</f>
        <v>0.9205781768707038</v>
      </c>
      <c r="I57" s="7">
        <f>(I52-I55)*10000</f>
        <v>771.6993093490604</v>
      </c>
    </row>
    <row r="59">
      <c r="B59" t="s" s="48">
        <v>295</v>
      </c>
    </row>
  </sheetData>
  <pageMargins left="0.7" right="0.7" top="0.75" bottom="0.75" header="0.3" footer="0.3"/>
  <pageSetup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"/>
  <sheetViews>
    <sheetView showGridLines="0" workbookViewId="0">
      <selection activeCell="A1" sqref="A1"/>
    </sheetView>
  </sheetViews>
  <cols>
    <col min="1" max="1" width="2" customWidth="1"/>
    <col min="2" max="2" width="60" customWidth="1"/>
    <col min="3" max="10" width="11" customWidth="1"/>
    <col min="11" max="11" width="2" customWidth="1"/>
  </cols>
  <sheetData>
    <row r="2">
      <c r="B2" t="s" s="2">
        <v>24</v>
      </c>
    </row>
    <row r="3">
      <c r="B3" t="s" s="8">
        <v>25</v>
      </c>
    </row>
    <row r="5">
      <c r="B5" t="s" s="16">
        <v>26</v>
      </c>
      <c r="C5" s="16"/>
      <c r="D5" s="16"/>
      <c r="E5" s="16"/>
      <c r="F5" s="16"/>
      <c r="G5" s="16"/>
      <c r="H5" s="16"/>
      <c r="I5" s="16"/>
      <c r="J5" s="16"/>
    </row>
    <row r="6">
      <c r="B6" t="s">
        <v>27</v>
      </c>
      <c r="D6" s="37">
        <v>47848</v>
      </c>
      <c r="F6" t="s" s="20">
        <v>44</v>
      </c>
    </row>
    <row r="7">
      <c r="B7" t="s">
        <v>28</v>
      </c>
      <c r="D7" s="38">
        <v>0</v>
      </c>
      <c r="F7" t="s" s="20">
        <v>45</v>
      </c>
    </row>
    <row r="8">
      <c r="B8" t="s">
        <v>29</v>
      </c>
      <c r="D8" s="39">
        <v>0</v>
      </c>
      <c r="F8" t="s" s="20">
        <v>46</v>
      </c>
    </row>
    <row r="9">
      <c r="B9" t="s">
        <v>30</v>
      </c>
      <c r="D9" s="39">
        <v>0</v>
      </c>
      <c r="F9" t="s" s="20">
        <v>47</v>
      </c>
    </row>
    <row r="11">
      <c r="B11" t="s" s="16">
        <v>31</v>
      </c>
      <c r="C11" s="16"/>
      <c r="D11" s="16"/>
      <c r="E11" s="16"/>
      <c r="F11" s="16"/>
      <c r="G11" s="16"/>
      <c r="H11" s="16"/>
      <c r="I11" s="16"/>
      <c r="J11" s="16"/>
    </row>
    <row r="12">
      <c r="B12" t="s">
        <v>32</v>
      </c>
      <c r="C12"/>
      <c r="D12" s="39">
        <v>0.08</v>
      </c>
      <c r="E12"/>
      <c r="F12" t="s" s="56">
        <v>48</v>
      </c>
      <c r="G12"/>
      <c r="H12"/>
      <c r="I12"/>
      <c r="J12"/>
    </row>
    <row r="13">
      <c r="B13" t="s">
        <v>33</v>
      </c>
      <c r="D13" s="40">
        <v>1</v>
      </c>
      <c r="F13" t="s" s="20">
        <v>49</v>
      </c>
    </row>
    <row r="14">
      <c r="B14" t="s">
        <v>34</v>
      </c>
      <c r="D14" s="41">
        <v>5</v>
      </c>
      <c r="F14" t="s" s="20">
        <v>50</v>
      </c>
    </row>
    <row r="15">
      <c r="B15" t="s">
        <v>35</v>
      </c>
      <c r="D15" s="41">
        <v>1</v>
      </c>
      <c r="F15" t="s" s="20">
        <v>51</v>
      </c>
    </row>
    <row r="17">
      <c r="B17" t="s" s="16">
        <v>36</v>
      </c>
      <c r="C17" s="16"/>
      <c r="D17" s="16"/>
      <c r="E17" s="16"/>
      <c r="F17" s="16"/>
      <c r="G17" s="16"/>
      <c r="H17" s="16"/>
      <c r="I17" s="16"/>
      <c r="J17" s="16"/>
    </row>
    <row r="18">
      <c r="B18" t="s">
        <v>37</v>
      </c>
      <c r="D18" s="39">
        <v>0.02</v>
      </c>
      <c r="F18" t="s" s="20">
        <v>52</v>
      </c>
    </row>
    <row r="19">
      <c r="B19" t="s">
        <v>38</v>
      </c>
      <c r="D19" s="41">
        <v>5</v>
      </c>
      <c r="F19" t="s" s="20">
        <v>53</v>
      </c>
    </row>
    <row r="20">
      <c r="B20" t="s">
        <v>39</v>
      </c>
      <c r="D20" s="39">
        <v>0.02</v>
      </c>
      <c r="F20" t="s" s="20">
        <v>54</v>
      </c>
    </row>
    <row r="21">
      <c r="B21" t="s">
        <v>40</v>
      </c>
      <c r="D21" s="39">
        <v>0.08</v>
      </c>
      <c r="F21" t="s" s="20">
        <v>55</v>
      </c>
    </row>
    <row r="22">
      <c r="B22" t="s">
        <v>41</v>
      </c>
      <c r="D22" s="39">
        <v>1</v>
      </c>
      <c r="F22" t="s" s="20">
        <v>56</v>
      </c>
    </row>
    <row r="23">
      <c r="B23" t="s">
        <v>42</v>
      </c>
      <c r="D23" s="39">
        <v>0.2</v>
      </c>
      <c r="F23" t="s" s="20">
        <v>57</v>
      </c>
    </row>
    <row r="24">
      <c r="B24" t="s">
        <v>43</v>
      </c>
      <c r="D24" s="41">
        <v>365</v>
      </c>
      <c r="F24" t="s" s="20">
        <v>58</v>
      </c>
    </row>
  </sheetData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2"/>
  <sheetViews>
    <sheetView showGridLines="0" workbookViewId="0">
      <selection activeCell="A1" sqref="A1"/>
    </sheetView>
  </sheetViews>
  <cols>
    <col min="1" max="1" width="2" customWidth="1"/>
    <col min="2" max="2" width="60" customWidth="1"/>
    <col min="3" max="10" width="11" customWidth="1"/>
    <col min="11" max="11" width="2" customWidth="1"/>
  </cols>
  <sheetData>
    <row r="2">
      <c r="B2" t="s" s="2">
        <v>0</v>
      </c>
    </row>
    <row r="3">
      <c r="B3" t="s" s="8">
        <v>1</v>
      </c>
    </row>
    <row r="5">
      <c r="B5" t="s" s="16">
        <v>2</v>
      </c>
      <c r="C5" s="16"/>
      <c r="D5" s="16"/>
      <c r="E5" s="16"/>
      <c r="F5" s="16"/>
      <c r="G5" s="16"/>
      <c r="H5" s="16"/>
      <c r="I5" s="16"/>
      <c r="J5" s="16"/>
    </row>
    <row r="6">
      <c r="B6" t="s">
        <v>3</v>
      </c>
      <c r="D6" s="42">
        <v>46198</v>
      </c>
    </row>
    <row r="7">
      <c r="B7" t="s">
        <v>4</v>
      </c>
      <c r="D7" s="29">
        <v>8381.75893477</v>
      </c>
    </row>
    <row r="8">
      <c r="B8" t="s">
        <v>298</v>
      </c>
      <c r="D8" s="29">
        <v>124.142631</v>
      </c>
    </row>
    <row r="9">
      <c r="B9" t="s">
        <v>6</v>
      </c>
      <c r="D9" s="29">
        <v>54</v>
      </c>
    </row>
    <row r="10">
      <c r="B10" t="s">
        <v>7</v>
      </c>
      <c r="D10" s="29">
        <v>5737.031985790003</v>
      </c>
    </row>
    <row r="11">
      <c r="B11" t="s">
        <v>8</v>
      </c>
      <c r="D11" s="29">
        <v>0</v>
      </c>
    </row>
    <row r="12">
      <c r="B12" t="s">
        <v>9</v>
      </c>
      <c r="D12" s="29">
        <v>2625</v>
      </c>
    </row>
    <row r="13">
      <c r="B13" t="s">
        <v>10</v>
      </c>
      <c r="D13" s="29">
        <v>5700</v>
      </c>
    </row>
    <row r="14">
      <c r="B14" t="s">
        <v>309</v>
      </c>
      <c r="C14"/>
      <c r="D14" s="29">
        <v>197.8695799799986</v>
      </c>
      <c r="E14"/>
      <c r="F14"/>
      <c r="G14"/>
      <c r="H14"/>
      <c r="I14"/>
      <c r="J14"/>
    </row>
    <row r="15">
      <c r="B15" t="s">
        <v>310</v>
      </c>
      <c r="C15"/>
      <c r="D15"/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</row>
    <row r="16">
      <c r="B16" t="s">
        <v>301</v>
      </c>
      <c r="C16"/>
      <c r="D16"/>
      <c r="E16" s="29">
        <v>122.81093228229383</v>
      </c>
      <c r="F16" s="29">
        <v>73.38867177177868</v>
      </c>
      <c r="G16" s="29">
        <v>23.831007807810042</v>
      </c>
      <c r="H16" s="29">
        <v>0</v>
      </c>
      <c r="I16" s="29">
        <v>0</v>
      </c>
      <c r="J16" s="29">
        <v>0</v>
      </c>
    </row>
    <row r="18">
      <c r="B18" t="s" s="16">
        <v>11</v>
      </c>
      <c r="C18" s="16"/>
      <c r="D18" s="16"/>
      <c r="E18" s="16"/>
      <c r="F18" s="16"/>
      <c r="G18" s="16"/>
      <c r="H18" s="16"/>
      <c r="I18" s="16"/>
      <c r="J18" s="16"/>
    </row>
    <row r="19">
      <c r="B19" t="s">
        <v>12</v>
      </c>
      <c r="E19" s="17">
        <f>DATE(2026,12,31)</f>
        <v>46387</v>
      </c>
      <c r="F19" s="17">
        <f>EOMONTH(E19,12)</f>
        <v>46752</v>
      </c>
      <c r="G19" s="17">
        <f>EOMONTH(F19,12)</f>
        <v>47118</v>
      </c>
      <c r="H19" s="17">
        <f>EOMONTH(G19,12)</f>
        <v>47483</v>
      </c>
      <c r="I19" s="17">
        <f>EOMONTH(H19,12)</f>
        <v>47848</v>
      </c>
      <c r="J19" s="17">
        <f>EOMONTH(I19,12)</f>
        <v>48213</v>
      </c>
    </row>
    <row r="20">
      <c r="B20" t="s">
        <v>13</v>
      </c>
      <c r="E20" s="29">
        <v>936.44599591813</v>
      </c>
      <c r="F20" s="29">
        <v>1063.98405476362</v>
      </c>
      <c r="G20" s="29">
        <v>1198.25215506745</v>
      </c>
      <c r="H20" s="29">
        <v>1337.48152417018</v>
      </c>
      <c r="I20" s="29">
        <v>1479.51365562935</v>
      </c>
      <c r="J20" s="29">
        <v>1627.46502119228</v>
      </c>
    </row>
    <row r="21">
      <c r="B21" t="s">
        <v>14</v>
      </c>
      <c r="E21" s="29">
        <v>334.717997482513</v>
      </c>
      <c r="F21" s="29">
        <v>395.474586777825</v>
      </c>
      <c r="G21" s="29">
        <v>453.016663807723</v>
      </c>
      <c r="H21" s="29">
        <v>514.177239497103</v>
      </c>
      <c r="I21" s="29">
        <v>573.493612436125</v>
      </c>
      <c r="J21" s="29">
        <v>636.028353701179</v>
      </c>
    </row>
    <row r="22">
      <c r="B22" t="s">
        <v>15</v>
      </c>
      <c r="E22" s="29">
        <v>89.17061440623087</v>
      </c>
      <c r="F22" s="29">
        <v>227.109547846625</v>
      </c>
      <c r="G22" s="29">
        <v>270.9251581580244</v>
      </c>
      <c r="H22" s="29">
        <v>318.2522605391023</v>
      </c>
      <c r="I22" s="29">
        <v>363.96906609455505</v>
      </c>
      <c r="J22" s="29">
        <v>412.6799229707839</v>
      </c>
    </row>
    <row r="23">
      <c r="B23" t="s">
        <v>16</v>
      </c>
      <c r="E23" s="29">
        <v>2652.4224757602865</v>
      </c>
      <c r="F23" s="29">
        <v>2654.1722036767824</v>
      </c>
      <c r="G23" s="29">
        <v>2599.811809030593</v>
      </c>
      <c r="H23" s="29">
        <v>2483.292298265301</v>
      </c>
      <c r="I23" s="29">
        <v>2309.773491388266</v>
      </c>
      <c r="J23" s="29">
        <v>2071.526123838012</v>
      </c>
    </row>
    <row r="24">
      <c r="B24" t="s">
        <v>17</v>
      </c>
      <c r="D24" s="43">
        <v>25.041255617597592</v>
      </c>
    </row>
    <row r="25">
      <c r="B25" t="s">
        <v>18</v>
      </c>
      <c r="F25" s="44">
        <v>8616.545201991903</v>
      </c>
      <c r="G25" s="44">
        <v>10252.000870159261</v>
      </c>
      <c r="H25" s="44">
        <v>11877.707845807145</v>
      </c>
      <c r="I25" s="44">
        <v>13617.175093682741</v>
      </c>
    </row>
    <row r="26">
      <c r="B26" t="s">
        <v>19</v>
      </c>
      <c r="F26" s="45">
        <v>1.5019168837360741</v>
      </c>
      <c r="G26" s="45">
        <v>1.7869868767600285</v>
      </c>
      <c r="H26" s="45">
        <v>2.0703576126517893</v>
      </c>
      <c r="I26" s="45">
        <v>2.373557464453917</v>
      </c>
    </row>
    <row r="27">
      <c r="B27" t="s">
        <v>20</v>
      </c>
      <c r="F27" s="46">
        <v>0.307320965922542</v>
      </c>
      <c r="G27" s="46">
        <v>0.2592668149868673</v>
      </c>
      <c r="H27" s="46">
        <v>0.22979614912512192</v>
      </c>
      <c r="I27" s="46">
        <v>0.21084479191093441</v>
      </c>
    </row>
    <row r="28">
      <c r="B28" t="s">
        <v>21</v>
      </c>
      <c r="F28" s="47"/>
      <c r="G28" s="47"/>
      <c r="H28" s="47"/>
      <c r="I28" s="46">
        <v>0.21071793437004088</v>
      </c>
    </row>
    <row r="29">
      <c r="B29" t="s">
        <v>22</v>
      </c>
      <c r="F29" s="44">
        <v>11344.106077440463</v>
      </c>
      <c r="G29" s="44">
        <v>12875.643686997664</v>
      </c>
      <c r="H29" s="44">
        <v>14361.000144072445</v>
      </c>
      <c r="I29" s="44">
        <v>15926.948585071008</v>
      </c>
    </row>
    <row r="31">
      <c r="B31" t="s" s="16">
        <v>23</v>
      </c>
      <c r="C31" s="16"/>
      <c r="D31" s="16"/>
      <c r="E31" s="16"/>
      <c r="F31" s="16"/>
      <c r="G31" s="16"/>
      <c r="H31" s="16"/>
      <c r="I31" s="16"/>
      <c r="J31" s="16"/>
    </row>
    <row r="32">
      <c r="B32" t="s">
        <v>12</v>
      </c>
      <c r="E32" s="17">
        <f>DATE(2026,12,31)</f>
        <v>46387</v>
      </c>
      <c r="F32" s="17">
        <f>EOMONTH(E32,12)</f>
        <v>46752</v>
      </c>
      <c r="G32" s="17">
        <f>EOMONTH(F32,12)</f>
        <v>47118</v>
      </c>
      <c r="H32" s="17">
        <f>EOMONTH(G32,12)</f>
        <v>47483</v>
      </c>
      <c r="I32" s="17">
        <f>EOMONTH(H32,12)</f>
        <v>47848</v>
      </c>
      <c r="J32" s="17">
        <f>EOMONTH(I32,12)</f>
        <v>48213</v>
      </c>
    </row>
    <row r="33">
      <c r="B33" t="s">
        <v>13</v>
      </c>
      <c r="E33" s="29">
        <v>941.761534246575</v>
      </c>
      <c r="F33" s="29">
        <v>1102.06136986301</v>
      </c>
      <c r="G33" s="29">
        <v>1300.43241643836</v>
      </c>
      <c r="H33" s="29">
        <v>1533.86905205479</v>
      </c>
      <c r="I33" s="29">
        <v>1810.38626849315</v>
      </c>
      <c r="J33" s="29">
        <v>2100.04807145205</v>
      </c>
    </row>
    <row r="34">
      <c r="B34" t="s">
        <v>14</v>
      </c>
      <c r="E34" s="29">
        <v>338.633402739726</v>
      </c>
      <c r="F34" s="29">
        <v>418.783320547945</v>
      </c>
      <c r="G34" s="29">
        <v>518.970717808219</v>
      </c>
      <c r="H34" s="29">
        <v>635.188098630137</v>
      </c>
      <c r="I34" s="29">
        <v>764.429841095891</v>
      </c>
      <c r="J34" s="29">
        <v>896.720526510027</v>
      </c>
    </row>
    <row r="35">
      <c r="B35" t="s">
        <v>15</v>
      </c>
      <c r="E35" s="29">
        <v>92.92994746702246</v>
      </c>
      <c r="F35" s="29">
        <v>260.0933813221918</v>
      </c>
      <c r="G35" s="29">
        <v>352.94337721241646</v>
      </c>
      <c r="H35" s="29">
        <v>460.59153708592345</v>
      </c>
      <c r="I35" s="29">
        <v>579.9847251517535</v>
      </c>
      <c r="J35" s="29">
        <v>702.0236251354706</v>
      </c>
    </row>
    <row r="36">
      <c r="B36" t="s">
        <v>16</v>
      </c>
      <c r="E36" s="29">
        <v>2648.6284680678214</v>
      </c>
      <c r="F36" s="29">
        <v>2615.736145462925</v>
      </c>
      <c r="G36" s="29">
        <v>2472.822483327448</v>
      </c>
      <c r="H36" s="29">
        <v>2197.922943338843</v>
      </c>
      <c r="I36" s="29">
        <v>1776.545022040343</v>
      </c>
      <c r="J36" s="29">
        <v>1194.0786576568676</v>
      </c>
    </row>
    <row r="37">
      <c r="B37" t="s">
        <v>17</v>
      </c>
      <c r="D37" s="43">
        <v>24.75171931344359</v>
      </c>
    </row>
    <row r="38">
      <c r="B38" t="s">
        <v>18</v>
      </c>
      <c r="F38" s="44">
        <v>10156.292721850681</v>
      </c>
      <c r="G38" s="44">
        <v>13225.34403739782</v>
      </c>
      <c r="H38" s="44">
        <v>16723.029918286928</v>
      </c>
      <c r="I38" s="44">
        <v>20418.829752739206</v>
      </c>
    </row>
    <row r="39">
      <c r="B39" t="s">
        <v>19</v>
      </c>
      <c r="F39" s="45">
        <v>1.7703043572018948</v>
      </c>
      <c r="G39" s="45">
        <v>2.305258898705034</v>
      </c>
      <c r="H39" s="45">
        <v>2.914927084197549</v>
      </c>
      <c r="I39" s="45">
        <v>3.5591277516517947</v>
      </c>
    </row>
    <row r="40">
      <c r="B40" t="s">
        <v>20</v>
      </c>
      <c r="F40" s="46">
        <v>0.45688437548498184</v>
      </c>
      <c r="G40" s="46">
        <v>0.39327396345478305</v>
      </c>
      <c r="H40" s="46">
        <v>0.35539648395560053</v>
      </c>
      <c r="I40" s="46">
        <v>0.32443519099630214</v>
      </c>
    </row>
    <row r="41">
      <c r="B41" t="s">
        <v>21</v>
      </c>
      <c r="F41" s="47"/>
      <c r="G41" s="47"/>
      <c r="H41" s="47"/>
      <c r="I41" s="46">
        <v>0.32423140406608586</v>
      </c>
    </row>
    <row r="42">
      <c r="B42" t="s">
        <v>22</v>
      </c>
      <c r="F42" s="44">
        <v>12845.417539085383</v>
      </c>
      <c r="G42" s="44">
        <v>15721.997528533077</v>
      </c>
      <c r="H42" s="44">
        <v>18920.95286162577</v>
      </c>
      <c r="I42" s="44">
        <v>22195.37477477955</v>
      </c>
    </row>
  </sheetData>
  <pageMargins left="0.7" right="0.7" top="0.75" bottom="0.75" header="0.3" footer="0.3"/>
  <pageSetup orientation="landscape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4"/>
  <sheetViews>
    <sheetView showGridLines="0" workbookViewId="0">
      <selection activeCell="A1" sqref="A1"/>
    </sheetView>
  </sheetViews>
  <cols>
    <col min="1" max="1" width="2" customWidth="1"/>
    <col min="2" max="2" width="60" customWidth="1"/>
    <col min="3" max="10" width="11" customWidth="1"/>
    <col min="11" max="11" width="2" customWidth="1"/>
  </cols>
  <sheetData>
    <row r="2">
      <c r="B2" t="s" s="2">
        <v>59</v>
      </c>
    </row>
    <row r="3">
      <c r="B3" t="s" s="8">
        <v>1</v>
      </c>
    </row>
    <row r="5">
      <c r="B5" t="s" s="16">
        <v>60</v>
      </c>
      <c r="C5" s="16"/>
      <c r="D5" s="16"/>
      <c r="E5" s="16"/>
      <c r="F5" s="16"/>
      <c r="G5" s="16"/>
      <c r="H5" s="16"/>
      <c r="I5" s="16"/>
      <c r="J5" s="16"/>
    </row>
    <row r="6">
      <c r="B6" t="s">
        <v>61</v>
      </c>
      <c r="F6" s="28">
        <f>'LBO Inputs'!F19</f>
        <v>46752</v>
      </c>
      <c r="G6" s="28">
        <f>'LBO Inputs'!G19</f>
        <v>47118</v>
      </c>
      <c r="H6" s="28">
        <f>'LBO Inputs'!H19</f>
        <v>47483</v>
      </c>
      <c r="I6" s="28">
        <f>'LBO Inputs'!I19</f>
        <v>47848</v>
      </c>
      <c r="J6" s="28">
        <f>'LBO Inputs'!J19</f>
        <v>48213</v>
      </c>
    </row>
    <row r="7">
      <c r="B7" t="s">
        <v>62</v>
      </c>
      <c r="F7" s="49">
        <f>YEARFRAC('LBO Inputs'!$D$6,F$6,1)</f>
        <v>1.5178082191780822</v>
      </c>
      <c r="G7" s="49">
        <f>YEARFRAC('LBO Inputs'!$D$6,G$6,1)</f>
        <v>2.5182481751824817</v>
      </c>
      <c r="H7" s="49">
        <f>YEARFRAC('LBO Inputs'!$D$6,H$6,1)</f>
        <v>3.5181382614647503</v>
      </c>
      <c r="I7" s="49">
        <f>YEARFRAC('LBO Inputs'!$D$6,I$6,1)</f>
        <v>4.518072289156627</v>
      </c>
      <c r="J7" s="49">
        <f>YEARFRAC('LBO Inputs'!$D$6,J$6,1)</f>
        <v>5.518028297581013</v>
      </c>
    </row>
    <row r="8">
      <c r="B8" t="s">
        <v>63</v>
      </c>
      <c r="F8" s="22">
        <f>'LBO Inputs'!G20</f>
        <v>1198.25215506745</v>
      </c>
      <c r="G8" s="22">
        <f>'LBO Inputs'!H20</f>
        <v>1337.48152417018</v>
      </c>
      <c r="H8" s="22">
        <f>'LBO Inputs'!I20</f>
        <v>1479.51365562935</v>
      </c>
      <c r="I8" s="22">
        <f>'LBO Inputs'!J20</f>
        <v>1627.46502119228</v>
      </c>
      <c r="J8" s="22">
        <f>'LBO Inputs'!J20*('LBO Inputs'!J20/'LBO Inputs'!I20+Assumptions!$D$8)</f>
        <v>1790.2115233115023</v>
      </c>
    </row>
    <row r="9">
      <c r="B9" t="s" s="3">
        <v>64</v>
      </c>
      <c r="C9" s="3"/>
      <c r="D9" s="3"/>
      <c r="E9" s="3"/>
      <c r="F9" s="50">
        <f>'LBO Inputs'!G21/'LBO Inputs'!G20</f>
        <v>0.3780645516821311</v>
      </c>
      <c r="G9" s="50">
        <f>'LBO Inputs'!H21/'LBO Inputs'!H20</f>
        <v>0.3844368914300453</v>
      </c>
      <c r="H9" s="50">
        <f>'LBO Inputs'!I21/'LBO Inputs'!I20</f>
        <v>0.38762306130400287</v>
      </c>
      <c r="I9" s="50">
        <f>'LBO Inputs'!J21/'LBO Inputs'!J20</f>
        <v>0.390809231177961</v>
      </c>
      <c r="J9" s="50">
        <f>'LBO Inputs'!J21/'LBO Inputs'!J20+Assumptions!$D$9</f>
        <v>0.390809231177961</v>
      </c>
    </row>
    <row r="10">
      <c r="B10" t="s">
        <v>65</v>
      </c>
      <c r="F10" s="22">
        <f>'LBO Inputs'!G21</f>
        <v>453.016663807723</v>
      </c>
      <c r="G10" s="22">
        <f>'LBO Inputs'!H21</f>
        <v>514.177239497103</v>
      </c>
      <c r="H10" s="22">
        <f>'LBO Inputs'!I21</f>
        <v>573.493612436125</v>
      </c>
      <c r="I10" s="22">
        <f>'LBO Inputs'!J21</f>
        <v>636.028353701179</v>
      </c>
      <c r="J10" s="4">
        <f>J8*J9</f>
        <v>699.6311890712947</v>
      </c>
    </row>
    <row r="11">
      <c r="B11" t="s" s="9">
        <v>66</v>
      </c>
      <c r="F11" s="51">
        <f>'LBO Inputs'!$D$24+Assumptions!$D$7</f>
        <v>25.041255617597592</v>
      </c>
      <c r="G11" s="51">
        <f>'LBO Inputs'!$D$24+Assumptions!$D$7</f>
        <v>25.041255617597592</v>
      </c>
      <c r="H11" s="51">
        <f>'LBO Inputs'!$D$24+Assumptions!$D$7</f>
        <v>25.041255617597592</v>
      </c>
      <c r="I11" s="51">
        <f>'LBO Inputs'!$D$24+Assumptions!$D$7</f>
        <v>25.041255617597592</v>
      </c>
      <c r="J11" s="51">
        <f>'LBO Inputs'!$D$24+Assumptions!$D$7</f>
        <v>25.041255617597592</v>
      </c>
    </row>
    <row r="12">
      <c r="B12" t="s" s="12">
        <v>67</v>
      </c>
      <c r="C12" s="10"/>
      <c r="D12" s="10"/>
      <c r="E12" s="10"/>
      <c r="F12" s="11">
        <f>F10*F11</f>
        <v>11344.106077440463</v>
      </c>
      <c r="G12" s="11">
        <f>G10*G11</f>
        <v>12875.643686997651</v>
      </c>
      <c r="H12" s="11">
        <f>H10*H11</f>
        <v>14361.000144072452</v>
      </c>
      <c r="I12" s="11">
        <f>I10*I11</f>
        <v>15926.948585070995</v>
      </c>
      <c r="J12" s="11">
        <f>J10*J11</f>
        <v>17519.64344357804</v>
      </c>
    </row>
    <row r="13">
      <c r="B13" t="s" s="9">
        <v>302</v>
      </c>
      <c r="F13" s="22">
        <f>-'LBO Inputs'!F23-'LBO Inputs'!F16</f>
        <v>-2727.560875448561</v>
      </c>
      <c r="G13" s="22">
        <f>-'LBO Inputs'!G23-'LBO Inputs'!G16</f>
        <v>-2623.642816838403</v>
      </c>
      <c r="H13" s="22">
        <f>-'LBO Inputs'!H23-'LBO Inputs'!H16</f>
        <v>-2483.292298265301</v>
      </c>
      <c r="I13" s="22">
        <f>-'LBO Inputs'!I23-'LBO Inputs'!I16</f>
        <v>-2309.773491388266</v>
      </c>
      <c r="J13" s="22">
        <f>-'LBO Inputs'!J23-'LBO Inputs'!J16</f>
        <v>-2071.526123838012</v>
      </c>
    </row>
    <row r="14">
      <c r="B14" t="s" s="12">
        <v>69</v>
      </c>
      <c r="C14" s="10"/>
      <c r="D14" s="10"/>
      <c r="E14" s="10"/>
      <c r="F14" s="11">
        <f>F12+F13</f>
        <v>8616.545201991903</v>
      </c>
      <c r="G14" s="11">
        <f>G12+G13</f>
        <v>10252.000870159249</v>
      </c>
      <c r="H14" s="11">
        <f>H12+H13</f>
        <v>11877.707845807152</v>
      </c>
      <c r="I14" s="11">
        <f>I12+I13</f>
        <v>13617.17509368273</v>
      </c>
      <c r="J14" s="11">
        <f>J12+J13</f>
        <v>15448.117319740028</v>
      </c>
    </row>
    <row r="16">
      <c r="B16" t="s" s="15">
        <v>70</v>
      </c>
    </row>
    <row r="17">
      <c r="C17" t="s" s="18">
        <v>71</v>
      </c>
      <c r="D17" s="18"/>
      <c r="E17" s="18"/>
      <c r="F17" s="17">
        <f>F$6</f>
        <v>46752</v>
      </c>
      <c r="G17" s="17">
        <f>G$6</f>
        <v>47118</v>
      </c>
      <c r="H17" s="17">
        <f>H$6</f>
        <v>47483</v>
      </c>
      <c r="I17" s="17">
        <f>I$6</f>
        <v>47848</v>
      </c>
      <c r="J17" s="17">
        <f>J$6</f>
        <v>48213</v>
      </c>
    </row>
    <row r="18">
      <c r="B18" t="s" s="9">
        <v>72</v>
      </c>
      <c r="C18" s="23">
        <f>'LBO Inputs'!$D$6</f>
        <v>46198</v>
      </c>
      <c r="F18" s="22">
        <f>IF($C18='LBO Inputs'!$D$6,-'LBO Inputs'!$D$10,0)+IF($C18=F$6,F$14,0)</f>
        <v>-5737.031985790003</v>
      </c>
      <c r="G18" s="22">
        <f>IF($C18='LBO Inputs'!$D$6,-'LBO Inputs'!$D$10,0)+IF($C18=G$6,G$14,0)</f>
        <v>-5737.031985790003</v>
      </c>
      <c r="H18" s="22">
        <f>IF($C18='LBO Inputs'!$D$6,-'LBO Inputs'!$D$10,0)+IF($C18=H$6,H$14,0)</f>
        <v>-5737.031985790003</v>
      </c>
      <c r="I18" s="22">
        <f>IF($C18='LBO Inputs'!$D$6,-'LBO Inputs'!$D$10,0)+IF($C18=I$6,I$14,0)</f>
        <v>-5737.031985790003</v>
      </c>
      <c r="J18" s="22">
        <f>IF($C18='LBO Inputs'!$D$6,-'LBO Inputs'!$D$10,0)+IF($C18=J$6,J$14,0)</f>
        <v>-5737.031985790003</v>
      </c>
    </row>
    <row r="19">
      <c r="B19" t="s" s="9">
        <v>73</v>
      </c>
      <c r="C19" s="23">
        <f>'LBO Inputs'!$E$19</f>
        <v>46387</v>
      </c>
      <c r="F19" s="22">
        <f>IF($C19='LBO Inputs'!$D$6,-'LBO Inputs'!$D$10,0)+IF($C19=F$6,F$14,0)</f>
        <v>0</v>
      </c>
      <c r="G19" s="22">
        <f>IF($C19='LBO Inputs'!$D$6,-'LBO Inputs'!$D$10,0)+IF($C19=G$6,G$14,0)</f>
        <v>0</v>
      </c>
      <c r="H19" s="22">
        <f>IF($C19='LBO Inputs'!$D$6,-'LBO Inputs'!$D$10,0)+IF($C19=H$6,H$14,0)</f>
        <v>0</v>
      </c>
      <c r="I19" s="22">
        <f>IF($C19='LBO Inputs'!$D$6,-'LBO Inputs'!$D$10,0)+IF($C19=I$6,I$14,0)</f>
        <v>0</v>
      </c>
      <c r="J19" s="22">
        <f>IF($C19='LBO Inputs'!$D$6,-'LBO Inputs'!$D$10,0)+IF($C19=J$6,J$14,0)</f>
        <v>0</v>
      </c>
    </row>
    <row r="20">
      <c r="B20" t="s" s="9">
        <v>74</v>
      </c>
      <c r="C20" s="23">
        <f>'LBO Inputs'!$F$19</f>
        <v>46752</v>
      </c>
      <c r="F20" s="22">
        <f>IF($C20='LBO Inputs'!$D$6,-'LBO Inputs'!$D$10,0)+IF($C20=F$6,F$14,0)</f>
        <v>8616.545201991903</v>
      </c>
      <c r="G20" s="22">
        <f>IF($C20='LBO Inputs'!$D$6,-'LBO Inputs'!$D$10,0)+IF($C20=G$6,G$14,0)</f>
        <v>0</v>
      </c>
      <c r="H20" s="22">
        <f>IF($C20='LBO Inputs'!$D$6,-'LBO Inputs'!$D$10,0)+IF($C20=H$6,H$14,0)</f>
        <v>0</v>
      </c>
      <c r="I20" s="22">
        <f>IF($C20='LBO Inputs'!$D$6,-'LBO Inputs'!$D$10,0)+IF($C20=I$6,I$14,0)</f>
        <v>0</v>
      </c>
      <c r="J20" s="22">
        <f>IF($C20='LBO Inputs'!$D$6,-'LBO Inputs'!$D$10,0)+IF($C20=J$6,J$14,0)</f>
        <v>0</v>
      </c>
    </row>
    <row r="21">
      <c r="B21" t="s" s="9">
        <v>75</v>
      </c>
      <c r="C21" s="23">
        <f>'LBO Inputs'!$G$19</f>
        <v>47118</v>
      </c>
      <c r="F21" s="22">
        <f>IF($C21='LBO Inputs'!$D$6,-'LBO Inputs'!$D$10,0)+IF($C21=F$6,F$14,0)</f>
        <v>0</v>
      </c>
      <c r="G21" s="22">
        <f>IF($C21='LBO Inputs'!$D$6,-'LBO Inputs'!$D$10,0)+IF($C21=G$6,G$14,0)</f>
        <v>10252.000870159249</v>
      </c>
      <c r="H21" s="22">
        <f>IF($C21='LBO Inputs'!$D$6,-'LBO Inputs'!$D$10,0)+IF($C21=H$6,H$14,0)</f>
        <v>0</v>
      </c>
      <c r="I21" s="22">
        <f>IF($C21='LBO Inputs'!$D$6,-'LBO Inputs'!$D$10,0)+IF($C21=I$6,I$14,0)</f>
        <v>0</v>
      </c>
      <c r="J21" s="22">
        <f>IF($C21='LBO Inputs'!$D$6,-'LBO Inputs'!$D$10,0)+IF($C21=J$6,J$14,0)</f>
        <v>0</v>
      </c>
    </row>
    <row r="22">
      <c r="B22" t="s" s="9">
        <v>76</v>
      </c>
      <c r="C22" s="23">
        <f>'LBO Inputs'!$H$19</f>
        <v>47483</v>
      </c>
      <c r="F22" s="22">
        <f>IF($C22='LBO Inputs'!$D$6,-'LBO Inputs'!$D$10,0)+IF($C22=F$6,F$14,0)</f>
        <v>0</v>
      </c>
      <c r="G22" s="22">
        <f>IF($C22='LBO Inputs'!$D$6,-'LBO Inputs'!$D$10,0)+IF($C22=G$6,G$14,0)</f>
        <v>0</v>
      </c>
      <c r="H22" s="22">
        <f>IF($C22='LBO Inputs'!$D$6,-'LBO Inputs'!$D$10,0)+IF($C22=H$6,H$14,0)</f>
        <v>11877.707845807152</v>
      </c>
      <c r="I22" s="22">
        <f>IF($C22='LBO Inputs'!$D$6,-'LBO Inputs'!$D$10,0)+IF($C22=I$6,I$14,0)</f>
        <v>0</v>
      </c>
      <c r="J22" s="22">
        <f>IF($C22='LBO Inputs'!$D$6,-'LBO Inputs'!$D$10,0)+IF($C22=J$6,J$14,0)</f>
        <v>0</v>
      </c>
    </row>
    <row r="23">
      <c r="B23" t="s" s="9">
        <v>77</v>
      </c>
      <c r="C23" s="23">
        <f>'LBO Inputs'!$I$19</f>
        <v>47848</v>
      </c>
      <c r="F23" s="22">
        <f>IF($C23='LBO Inputs'!$D$6,-'LBO Inputs'!$D$10,0)+IF($C23=F$6,F$14,0)</f>
        <v>0</v>
      </c>
      <c r="G23" s="22">
        <f>IF($C23='LBO Inputs'!$D$6,-'LBO Inputs'!$D$10,0)+IF($C23=G$6,G$14,0)</f>
        <v>0</v>
      </c>
      <c r="H23" s="22">
        <f>IF($C23='LBO Inputs'!$D$6,-'LBO Inputs'!$D$10,0)+IF($C23=H$6,H$14,0)</f>
        <v>0</v>
      </c>
      <c r="I23" s="22">
        <f>IF($C23='LBO Inputs'!$D$6,-'LBO Inputs'!$D$10,0)+IF($C23=I$6,I$14,0)</f>
        <v>13617.17509368273</v>
      </c>
      <c r="J23" s="22">
        <f>IF($C23='LBO Inputs'!$D$6,-'LBO Inputs'!$D$10,0)+IF($C23=J$6,J$14,0)</f>
        <v>0</v>
      </c>
    </row>
    <row r="24">
      <c r="B24" t="s" s="9">
        <v>78</v>
      </c>
      <c r="C24" s="23">
        <f>'LBO Inputs'!$J$19</f>
        <v>48213</v>
      </c>
      <c r="F24" s="22">
        <f>IF($C24='LBO Inputs'!$D$6,-'LBO Inputs'!$D$10,0)+IF($C24=F$6,F$14,0)</f>
        <v>0</v>
      </c>
      <c r="G24" s="22">
        <f>IF($C24='LBO Inputs'!$D$6,-'LBO Inputs'!$D$10,0)+IF($C24=G$6,G$14,0)</f>
        <v>0</v>
      </c>
      <c r="H24" s="22">
        <f>IF($C24='LBO Inputs'!$D$6,-'LBO Inputs'!$D$10,0)+IF($C24=H$6,H$14,0)</f>
        <v>0</v>
      </c>
      <c r="I24" s="22">
        <f>IF($C24='LBO Inputs'!$D$6,-'LBO Inputs'!$D$10,0)+IF($C24=I$6,I$14,0)</f>
        <v>0</v>
      </c>
      <c r="J24" s="22">
        <f>IF($C24='LBO Inputs'!$D$6,-'LBO Inputs'!$D$10,0)+IF($C24=J$6,J$14,0)</f>
        <v>15448.117319740028</v>
      </c>
    </row>
    <row r="25">
      <c r="B25" t="s" s="1">
        <v>79</v>
      </c>
      <c r="C25" s="1"/>
      <c r="D25" s="1"/>
      <c r="E25" s="1"/>
      <c r="F25" s="14">
        <f>XIRR(F18:F24,$C$18:$C$24)</f>
        <v>0.3073209702968598</v>
      </c>
      <c r="G25" s="14">
        <f>XIRR(G18:G24,$C$18:$C$24)</f>
        <v>0.25900197625160215</v>
      </c>
      <c r="H25" s="14">
        <f>XIRR(H18:H24,$C$18:$C$24)</f>
        <v>0.22962204813957215</v>
      </c>
      <c r="I25" s="14">
        <f>XIRR(I18:I24,$C$18:$C$24)</f>
        <v>0.21071793437004088</v>
      </c>
      <c r="J25" s="14">
        <f>XIRR(J18:J24,$C$18:$C$24)</f>
        <v>0.19653367400169372</v>
      </c>
    </row>
    <row r="26">
      <c r="B26" t="s" s="1">
        <v>80</v>
      </c>
      <c r="C26" s="1"/>
      <c r="D26" s="1"/>
      <c r="E26" s="1"/>
      <c r="F26" s="13">
        <f>SUMIF(F18:F24,"&gt;0")/-SUMIF(F18:F24,"&lt;0")</f>
        <v>1.5019168837360741</v>
      </c>
      <c r="G26" s="13">
        <f>SUMIF(G18:G24,"&gt;0")/-SUMIF(G18:G24,"&lt;0")</f>
        <v>1.7869868767600263</v>
      </c>
      <c r="H26" s="13">
        <f>SUMIF(H18:H24,"&gt;0")/-SUMIF(H18:H24,"&lt;0")</f>
        <v>2.0703576126517906</v>
      </c>
      <c r="I26" s="13">
        <f>SUMIF(I18:I24,"&gt;0")/-SUMIF(I18:I24,"&lt;0")</f>
        <v>2.3735574644539152</v>
      </c>
      <c r="J26" s="13">
        <f>SUMIF(J18:J24,"&gt;0")/-SUMIF(J18:J24,"&lt;0")</f>
        <v>2.692701968195979</v>
      </c>
    </row>
    <row r="27">
      <c r="B27" t="s">
        <v>81</v>
      </c>
      <c r="F27" s="6">
        <f>F26^(1/F7)-1</f>
        <v>0.307320965922542</v>
      </c>
      <c r="G27" s="6">
        <f>G26^(1/G7)-1</f>
        <v>0.25926681498686666</v>
      </c>
      <c r="H27" s="6">
        <f>H26^(1/H7)-1</f>
        <v>0.22979614912512214</v>
      </c>
      <c r="I27" s="6">
        <f>I26^(1/I7)-1</f>
        <v>0.21084479191093441</v>
      </c>
      <c r="J27" s="6">
        <f>J26^(1/J7)-1</f>
        <v>0.19663171149677194</v>
      </c>
    </row>
    <row r="28">
      <c r="B28" t="s">
        <v>82</v>
      </c>
      <c r="F28" s="6">
        <f>IRR(F18:F24)</f>
        <v>0.22552718604528488</v>
      </c>
      <c r="G28" s="6">
        <f>IRR(G18:G24)</f>
        <v>0.21350188249182114</v>
      </c>
      <c r="H28" s="6">
        <f>IRR(H18:H24)</f>
        <v>0.19953062929391555</v>
      </c>
      <c r="I28" s="6">
        <f>IRR(I18:I24)</f>
        <v>0.18872104125664704</v>
      </c>
      <c r="J28" s="6">
        <f>IRR(J18:J24)</f>
        <v>0.1795002790387093</v>
      </c>
    </row>
    <row r="29">
      <c r="B29" t="s">
        <v>83</v>
      </c>
      <c r="F29" s="4">
        <f>(F25-F28)*10000</f>
        <v>817.937842515749</v>
      </c>
      <c r="G29" s="4">
        <f>(G25-G28)*10000</f>
        <v>455.0009375978101</v>
      </c>
      <c r="H29" s="4">
        <f>(H25-H28)*10000</f>
        <v>300.9141884565661</v>
      </c>
      <c r="I29" s="4">
        <f>(I25-I28)*10000</f>
        <v>219.96893113393838</v>
      </c>
      <c r="J29" s="4">
        <f>(J25-J28)*10000</f>
        <v>170.33394962984423</v>
      </c>
    </row>
    <row r="30">
      <c r="B30" t="s">
        <v>84</v>
      </c>
      <c r="F30" s="4">
        <f>(F25-F27)*10000</f>
        <v>0.000043743177968735836</v>
      </c>
      <c r="G30" s="4">
        <f>(G25-G27)*10000</f>
        <v>-2.648387352645054</v>
      </c>
      <c r="H30" s="4">
        <f>(H25-H27)*10000</f>
        <v>-1.7410098554998532</v>
      </c>
      <c r="I30" s="4">
        <f>(I25-I27)*10000</f>
        <v>-1.268575408935324</v>
      </c>
      <c r="J30" s="4">
        <f>(J25-J27)*10000</f>
        <v>-0.9803749507822368</v>
      </c>
    </row>
    <row r="32">
      <c r="B32" t="s" s="15">
        <v>311</v>
      </c>
    </row>
    <row r="33">
      <c r="C33" t="s" s="18">
        <v>71</v>
      </c>
      <c r="D33" t="s" s="18">
        <v>86</v>
      </c>
      <c r="E33" s="18"/>
      <c r="F33" s="17">
        <f>F$6</f>
        <v>46752</v>
      </c>
      <c r="G33" s="17">
        <f>G$6</f>
        <v>47118</v>
      </c>
      <c r="H33" s="17">
        <f>H$6</f>
        <v>47483</v>
      </c>
      <c r="I33" s="17">
        <f>I$6</f>
        <v>47848</v>
      </c>
      <c r="J33" s="17">
        <f>J$6</f>
        <v>48213</v>
      </c>
    </row>
    <row r="34">
      <c r="B34" t="s" s="9">
        <v>304</v>
      </c>
      <c r="C34" s="23">
        <f>'LBO Inputs'!$D$6</f>
        <v>46198</v>
      </c>
      <c r="F34" s="22">
        <f>-('LBO Inputs'!$D$7-'LBO Inputs'!$D$14+'LBO Inputs'!$D$8)</f>
        <v>-8308.031985790001</v>
      </c>
      <c r="G34" s="22">
        <f>-('LBO Inputs'!$D$7-'LBO Inputs'!$D$14+'LBO Inputs'!$D$8)</f>
        <v>-8308.031985790001</v>
      </c>
      <c r="H34" s="22">
        <f>-('LBO Inputs'!$D$7-'LBO Inputs'!$D$14+'LBO Inputs'!$D$8)</f>
        <v>-8308.031985790001</v>
      </c>
      <c r="I34" s="22">
        <f>-('LBO Inputs'!$D$7-'LBO Inputs'!$D$14+'LBO Inputs'!$D$8)</f>
        <v>-8308.031985790001</v>
      </c>
      <c r="J34" s="22">
        <f>-('LBO Inputs'!$D$7-'LBO Inputs'!$D$14+'LBO Inputs'!$D$8)</f>
        <v>-8308.031985790001</v>
      </c>
    </row>
    <row r="35">
      <c r="B35" t="s" s="9">
        <v>88</v>
      </c>
      <c r="C35" s="23">
        <f>'LBO Inputs'!$E$19</f>
        <v>46387</v>
      </c>
      <c r="D35" s="22">
        <f>'LBO Inputs'!E22+'LBO Inputs'!E15</f>
        <v>89.17061440623087</v>
      </c>
      <c r="F35" s="4">
        <f>IF($C35&lt;=F$6,$D35,0)+IF($C35=F$6,F$12-'LBO Inputs'!F$16,0)</f>
        <v>89.17061440623087</v>
      </c>
      <c r="G35" s="4">
        <f>IF($C35&lt;=G$6,$D35,0)+IF($C35=G$6,G$12-'LBO Inputs'!G$16,0)</f>
        <v>89.17061440623087</v>
      </c>
      <c r="H35" s="4">
        <f>IF($C35&lt;=H$6,$D35,0)+IF($C35=H$6,H$12-'LBO Inputs'!H$16,0)</f>
        <v>89.17061440623087</v>
      </c>
      <c r="I35" s="4">
        <f>IF($C35&lt;=I$6,$D35,0)+IF($C35=I$6,I$12-'LBO Inputs'!I$16,0)</f>
        <v>89.17061440623087</v>
      </c>
      <c r="J35" s="4">
        <f>IF($C35&lt;=J$6,$D35,0)+IF($C35=J$6,J$12-'LBO Inputs'!J$16,0)</f>
        <v>89.17061440623087</v>
      </c>
    </row>
    <row r="36">
      <c r="B36" t="s" s="9">
        <v>89</v>
      </c>
      <c r="C36" s="23">
        <f>'LBO Inputs'!$F$19</f>
        <v>46752</v>
      </c>
      <c r="D36" s="22">
        <f>'LBO Inputs'!F22+'LBO Inputs'!F15</f>
        <v>227.109547846625</v>
      </c>
      <c r="F36" s="4">
        <f>IF($C36&lt;=F$6,$D36,0)+IF($C36=F$6,F$12-'LBO Inputs'!F$16,0)</f>
        <v>11497.82695351531</v>
      </c>
      <c r="G36" s="4">
        <f>IF($C36&lt;=G$6,$D36,0)+IF($C36=G$6,G$12-'LBO Inputs'!G$16,0)</f>
        <v>227.109547846625</v>
      </c>
      <c r="H36" s="4">
        <f>IF($C36&lt;=H$6,$D36,0)+IF($C36=H$6,H$12-'LBO Inputs'!H$16,0)</f>
        <v>227.109547846625</v>
      </c>
      <c r="I36" s="4">
        <f>IF($C36&lt;=I$6,$D36,0)+IF($C36=I$6,I$12-'LBO Inputs'!I$16,0)</f>
        <v>227.109547846625</v>
      </c>
      <c r="J36" s="4">
        <f>IF($C36&lt;=J$6,$D36,0)+IF($C36=J$6,J$12-'LBO Inputs'!J$16,0)</f>
        <v>227.109547846625</v>
      </c>
    </row>
    <row r="37">
      <c r="B37" t="s" s="9">
        <v>90</v>
      </c>
      <c r="C37" s="23">
        <f>'LBO Inputs'!$G$19</f>
        <v>47118</v>
      </c>
      <c r="D37" s="22">
        <f>'LBO Inputs'!G22+'LBO Inputs'!G15</f>
        <v>270.9251581580244</v>
      </c>
      <c r="F37" s="4">
        <f>IF($C37&lt;=F$6,$D37,0)+IF($C37=F$6,F$12-'LBO Inputs'!F$16,0)</f>
        <v>0</v>
      </c>
      <c r="G37" s="4">
        <f>IF($C37&lt;=G$6,$D37,0)+IF($C37=G$6,G$12-'LBO Inputs'!G$16,0)</f>
        <v>13122.737837347866</v>
      </c>
      <c r="H37" s="4">
        <f>IF($C37&lt;=H$6,$D37,0)+IF($C37=H$6,H$12-'LBO Inputs'!H$16,0)</f>
        <v>270.9251581580244</v>
      </c>
      <c r="I37" s="4">
        <f>IF($C37&lt;=I$6,$D37,0)+IF($C37=I$6,I$12-'LBO Inputs'!I$16,0)</f>
        <v>270.9251581580244</v>
      </c>
      <c r="J37" s="4">
        <f>IF($C37&lt;=J$6,$D37,0)+IF($C37=J$6,J$12-'LBO Inputs'!J$16,0)</f>
        <v>270.9251581580244</v>
      </c>
    </row>
    <row r="38">
      <c r="B38" t="s" s="9">
        <v>91</v>
      </c>
      <c r="C38" s="23">
        <f>'LBO Inputs'!$H$19</f>
        <v>47483</v>
      </c>
      <c r="D38" s="22">
        <f>'LBO Inputs'!H22+'LBO Inputs'!H15</f>
        <v>318.2522605391023</v>
      </c>
      <c r="F38" s="4">
        <f>IF($C38&lt;=F$6,$D38,0)+IF($C38=F$6,F$12-'LBO Inputs'!F$16,0)</f>
        <v>0</v>
      </c>
      <c r="G38" s="4">
        <f>IF($C38&lt;=G$6,$D38,0)+IF($C38=G$6,G$12-'LBO Inputs'!G$16,0)</f>
        <v>0</v>
      </c>
      <c r="H38" s="4">
        <f>IF($C38&lt;=H$6,$D38,0)+IF($C38=H$6,H$12-'LBO Inputs'!H$16,0)</f>
        <v>14679.252404611554</v>
      </c>
      <c r="I38" s="4">
        <f>IF($C38&lt;=I$6,$D38,0)+IF($C38=I$6,I$12-'LBO Inputs'!I$16,0)</f>
        <v>318.2522605391023</v>
      </c>
      <c r="J38" s="4">
        <f>IF($C38&lt;=J$6,$D38,0)+IF($C38=J$6,J$12-'LBO Inputs'!J$16,0)</f>
        <v>318.2522605391023</v>
      </c>
    </row>
    <row r="39">
      <c r="B39" t="s" s="9">
        <v>92</v>
      </c>
      <c r="C39" s="23">
        <f>'LBO Inputs'!$I$19</f>
        <v>47848</v>
      </c>
      <c r="D39" s="22">
        <f>'LBO Inputs'!I22+'LBO Inputs'!I15</f>
        <v>363.96906609455505</v>
      </c>
      <c r="F39" s="4">
        <f>IF($C39&lt;=F$6,$D39,0)+IF($C39=F$6,F$12-'LBO Inputs'!F$16,0)</f>
        <v>0</v>
      </c>
      <c r="G39" s="4">
        <f>IF($C39&lt;=G$6,$D39,0)+IF($C39=G$6,G$12-'LBO Inputs'!G$16,0)</f>
        <v>0</v>
      </c>
      <c r="H39" s="4">
        <f>IF($C39&lt;=H$6,$D39,0)+IF($C39=H$6,H$12-'LBO Inputs'!H$16,0)</f>
        <v>0</v>
      </c>
      <c r="I39" s="4">
        <f>IF($C39&lt;=I$6,$D39,0)+IF($C39=I$6,I$12-'LBO Inputs'!I$16,0)</f>
        <v>16290.91765116555</v>
      </c>
      <c r="J39" s="4">
        <f>IF($C39&lt;=J$6,$D39,0)+IF($C39=J$6,J$12-'LBO Inputs'!J$16,0)</f>
        <v>363.96906609455505</v>
      </c>
    </row>
    <row r="40">
      <c r="B40" t="s" s="9">
        <v>93</v>
      </c>
      <c r="C40" s="23">
        <f>'LBO Inputs'!$J$19</f>
        <v>48213</v>
      </c>
      <c r="D40" s="22">
        <f>'LBO Inputs'!J22+'LBO Inputs'!J15</f>
        <v>412.6799229707839</v>
      </c>
      <c r="F40" s="4">
        <f>IF($C40&lt;=F$6,$D40,0)+IF($C40=F$6,F$12-'LBO Inputs'!F$16,0)</f>
        <v>0</v>
      </c>
      <c r="G40" s="4">
        <f>IF($C40&lt;=G$6,$D40,0)+IF($C40=G$6,G$12-'LBO Inputs'!G$16,0)</f>
        <v>0</v>
      </c>
      <c r="H40" s="4">
        <f>IF($C40&lt;=H$6,$D40,0)+IF($C40=H$6,H$12-'LBO Inputs'!H$16,0)</f>
        <v>0</v>
      </c>
      <c r="I40" s="4">
        <f>IF($C40&lt;=I$6,$D40,0)+IF($C40=I$6,I$12-'LBO Inputs'!I$16,0)</f>
        <v>0</v>
      </c>
      <c r="J40" s="4">
        <f>IF($C40&lt;=J$6,$D40,0)+IF($C40=J$6,J$12-'LBO Inputs'!J$16,0)</f>
        <v>17932.323366548822</v>
      </c>
    </row>
    <row r="41">
      <c r="B41" t="s">
        <v>94</v>
      </c>
      <c r="F41" s="6">
        <f>XIRR(F34:F40,$C$34:$C$40)</f>
        <v>0.24660143256187442</v>
      </c>
      <c r="G41" s="6">
        <f>XIRR(G34:G40,$C$34:$C$40)</f>
        <v>0.21346498131752015</v>
      </c>
      <c r="H41" s="6">
        <f>XIRR(H34:H40,$C$34:$C$40)</f>
        <v>0.19330584406852722</v>
      </c>
      <c r="I41" s="6">
        <f>XIRR(I34:I40,$C$34:$C$40)</f>
        <v>0.18051245808601385</v>
      </c>
      <c r="J41" s="6">
        <f>XIRR(J34:J40,$C$34:$C$40)</f>
        <v>0.17093307375907899</v>
      </c>
    </row>
    <row r="42">
      <c r="B42" t="s">
        <v>95</v>
      </c>
      <c r="F42" s="5">
        <f>SUMIF(F34:F40,"&gt;0")/-SUMIF(F34:F40,"&lt;0")</f>
        <v>1.3946741644398888</v>
      </c>
      <c r="G42" s="5">
        <f>SUMIF(G34:G40,"&gt;0")/-SUMIF(G34:G40,"&lt;0")</f>
        <v>1.617593435194607</v>
      </c>
      <c r="H42" s="5">
        <f>SUMIF(H34:H40,"&gt;0")/-SUMIF(H34:H40,"&lt;0")</f>
        <v>1.8375540382047246</v>
      </c>
      <c r="I42" s="5">
        <f>SUMIF(I34:I40,"&gt;0")/-SUMIF(I34:I40,"&lt;0")</f>
        <v>2.0698494254148385</v>
      </c>
      <c r="J42" s="5">
        <f>SUMIF(J34:J40,"&gt;0")/-SUMIF(J34:J40,"&lt;0")</f>
        <v>2.3112272613340794</v>
      </c>
    </row>
    <row r="43">
      <c r="B43" t="s">
        <v>96</v>
      </c>
      <c r="F43" s="6">
        <f>F25</f>
        <v>0.3073209702968598</v>
      </c>
      <c r="G43" s="6">
        <f>G25</f>
        <v>0.25900197625160215</v>
      </c>
      <c r="H43" s="6">
        <f>H25</f>
        <v>0.22962204813957215</v>
      </c>
      <c r="I43" s="6">
        <f>I25</f>
        <v>0.21071793437004088</v>
      </c>
      <c r="J43" s="6">
        <f>J25</f>
        <v>0.19653367400169372</v>
      </c>
    </row>
    <row r="44">
      <c r="B44" t="s">
        <v>97</v>
      </c>
      <c r="F44" s="4">
        <f>(F43-F41)*10000</f>
        <v>607.1953773498536</v>
      </c>
      <c r="G44" s="4">
        <f>(G43-G41)*10000</f>
        <v>455.36994934082</v>
      </c>
      <c r="H44" s="4">
        <f>(H43-H41)*10000</f>
        <v>363.1620407104494</v>
      </c>
      <c r="I44" s="4">
        <f>(I43-I41)*10000</f>
        <v>302.0547628402703</v>
      </c>
      <c r="J44" s="4">
        <f>(J43-J41)*10000</f>
        <v>256.00600242614735</v>
      </c>
    </row>
    <row r="46">
      <c r="B46" t="s" s="15">
        <v>98</v>
      </c>
    </row>
    <row r="47">
      <c r="B47" t="s">
        <v>61</v>
      </c>
      <c r="F47" s="17">
        <f>F$6</f>
        <v>46752</v>
      </c>
      <c r="G47" s="17">
        <f>G$6</f>
        <v>47118</v>
      </c>
      <c r="H47" s="17">
        <f>H$6</f>
        <v>47483</v>
      </c>
      <c r="I47" s="17">
        <f>I$6</f>
        <v>47848</v>
      </c>
      <c r="J47" s="17">
        <f>J$6</f>
        <v>48213</v>
      </c>
    </row>
    <row r="48">
      <c r="B48" t="s">
        <v>99</v>
      </c>
      <c r="F48" s="21">
        <f>F7</f>
        <v>1.5178082191780822</v>
      </c>
      <c r="G48" s="21">
        <f>G7</f>
        <v>2.5182481751824817</v>
      </c>
      <c r="H48" s="21">
        <f>H7</f>
        <v>3.5181382614647503</v>
      </c>
      <c r="I48" s="21">
        <f>I7</f>
        <v>4.518072289156627</v>
      </c>
      <c r="J48" s="21">
        <f>J7</f>
        <v>5.518028297581013</v>
      </c>
    </row>
    <row r="49">
      <c r="B49" t="s" s="12">
        <v>69</v>
      </c>
      <c r="C49" s="10"/>
      <c r="D49" s="10"/>
      <c r="E49" s="10"/>
      <c r="F49" s="11">
        <f>F14</f>
        <v>8616.545201991903</v>
      </c>
      <c r="G49" s="11">
        <f>G14</f>
        <v>10252.000870159249</v>
      </c>
      <c r="H49" s="11">
        <f>H14</f>
        <v>11877.707845807152</v>
      </c>
      <c r="I49" s="11">
        <f>I14</f>
        <v>13617.17509368273</v>
      </c>
      <c r="J49" s="11">
        <f>J14</f>
        <v>15448.117319740028</v>
      </c>
    </row>
    <row r="50">
      <c r="B50" t="s">
        <v>80</v>
      </c>
      <c r="F50" s="5">
        <f>F26</f>
        <v>1.5019168837360741</v>
      </c>
      <c r="G50" s="5">
        <f>G26</f>
        <v>1.7869868767600263</v>
      </c>
      <c r="H50" s="5">
        <f>H26</f>
        <v>2.0703576126517906</v>
      </c>
      <c r="I50" s="5">
        <f>I26</f>
        <v>2.3735574644539152</v>
      </c>
      <c r="J50" s="5">
        <f>J26</f>
        <v>2.692701968195979</v>
      </c>
    </row>
    <row r="51">
      <c r="B51" t="s">
        <v>100</v>
      </c>
      <c r="F51" s="6">
        <f>F25</f>
        <v>0.3073209702968598</v>
      </c>
      <c r="G51" s="6">
        <f>G25</f>
        <v>0.25900197625160215</v>
      </c>
      <c r="H51" s="6">
        <f>H25</f>
        <v>0.22962204813957215</v>
      </c>
      <c r="I51" s="6">
        <f>I25</f>
        <v>0.21071793437004088</v>
      </c>
      <c r="J51" s="6">
        <f>J25</f>
        <v>0.19653367400169372</v>
      </c>
    </row>
    <row r="52">
      <c r="B52" t="s" s="52">
        <v>296</v>
      </c>
      <c r="C52" s="53"/>
      <c r="D52" s="53"/>
      <c r="E52" s="53"/>
      <c r="F52" s="54">
        <f>F14-'LBO Inputs'!$D$10</f>
        <v>2879.5132162019</v>
      </c>
      <c r="G52" s="55">
        <f>G14-F14</f>
        <v>1635.4556681673457</v>
      </c>
      <c r="H52" s="55">
        <f>H14-G14</f>
        <v>1625.7069756479032</v>
      </c>
      <c r="I52" s="55">
        <f>I14-H14</f>
        <v>1739.4672478755783</v>
      </c>
      <c r="J52" s="55">
        <f>J14-I14</f>
        <v>1830.9422260572974</v>
      </c>
    </row>
    <row r="53">
      <c r="B53" t="s">
        <v>102</v>
      </c>
      <c r="F53" s="25">
        <f>(F14/'LBO Inputs'!$D$10)^(Assumptions!$D$24/(F6-'LBO Inputs'!$D$6))-1</f>
        <v>0.307320965922542</v>
      </c>
      <c r="G53" s="25">
        <f>(G14/F14)^(Assumptions!$D$24/(G6-F6))-1</f>
        <v>0.1892392835852308</v>
      </c>
      <c r="H53" s="25">
        <f>(H14/G14)^(Assumptions!$D$24/(H6-G6))-1</f>
        <v>0.15857460375173082</v>
      </c>
      <c r="I53" s="25">
        <f>(I14/H14)^(Assumptions!$D$24/(I6-H6))-1</f>
        <v>0.14644805803079364</v>
      </c>
      <c r="J53" s="25">
        <f>(J14/I14)^(Assumptions!$D$24/(J6-I6))-1</f>
        <v>0.1344583008928708</v>
      </c>
    </row>
    <row r="55">
      <c r="B55" t="s" s="15">
        <v>103</v>
      </c>
    </row>
    <row r="56">
      <c r="B56" t="s" s="52">
        <v>297</v>
      </c>
      <c r="C56" s="53"/>
      <c r="D56" s="53"/>
      <c r="E56" s="53"/>
      <c r="F56" s="54">
        <f>'LBO Inputs'!F25</f>
        <v>8616.545201991903</v>
      </c>
      <c r="G56" s="54">
        <f>'LBO Inputs'!G25</f>
        <v>10252.000870159261</v>
      </c>
      <c r="H56" s="54">
        <f>'LBO Inputs'!H25</f>
        <v>11877.707845807145</v>
      </c>
      <c r="I56" s="54">
        <f>'LBO Inputs'!I25</f>
        <v>13617.175093682741</v>
      </c>
      <c r="J56" s="53"/>
    </row>
    <row r="57">
      <c r="B57" t="s" s="52">
        <v>131</v>
      </c>
      <c r="C57" s="53"/>
      <c r="D57" s="53"/>
      <c r="E57" s="53"/>
      <c r="F57" s="55">
        <f>F14-F56</f>
        <v>0</v>
      </c>
      <c r="G57" s="55">
        <f>G14-G56</f>
        <v>0</v>
      </c>
      <c r="H57" s="55">
        <f>H14-H56</f>
        <v>0</v>
      </c>
      <c r="I57" s="55">
        <f>I14-I56</f>
        <v>0</v>
      </c>
      <c r="J57" s="53"/>
    </row>
    <row r="58">
      <c r="B58" t="s">
        <v>106</v>
      </c>
      <c r="F58" s="24">
        <f>'LBO Inputs'!F26</f>
        <v>1.5019168837360741</v>
      </c>
      <c r="G58" s="24">
        <f>'LBO Inputs'!G26</f>
        <v>1.7869868767600285</v>
      </c>
      <c r="H58" s="24">
        <f>'LBO Inputs'!H26</f>
        <v>2.0703576126517893</v>
      </c>
      <c r="I58" s="24">
        <f>'LBO Inputs'!I26</f>
        <v>2.373557464453917</v>
      </c>
    </row>
    <row r="59">
      <c r="B59" t="s">
        <v>107</v>
      </c>
      <c r="F59" s="5">
        <f>F26-F58</f>
        <v>0</v>
      </c>
      <c r="G59" s="5">
        <f>G26-G58</f>
        <v>-0.000000000000002220446049250313</v>
      </c>
      <c r="H59" s="5">
        <f>H26-H58</f>
        <v>0</v>
      </c>
      <c r="I59" s="5">
        <f>I26-I58</f>
        <v>0</v>
      </c>
    </row>
    <row r="60">
      <c r="B60" t="s">
        <v>108</v>
      </c>
      <c r="F60" s="25">
        <f>'LBO Inputs'!F27</f>
        <v>0.307320965922542</v>
      </c>
      <c r="G60" s="25">
        <f>'LBO Inputs'!G27</f>
        <v>0.2592668149868673</v>
      </c>
      <c r="H60" s="25">
        <f>'LBO Inputs'!H27</f>
        <v>0.22979614912512192</v>
      </c>
      <c r="I60" s="25">
        <f>'LBO Inputs'!I27</f>
        <v>0.21084479191093441</v>
      </c>
    </row>
    <row r="61">
      <c r="B61" t="s">
        <v>109</v>
      </c>
      <c r="F61" s="4">
        <f>(F27-F60)*10000</f>
        <v>0</v>
      </c>
      <c r="G61" s="4">
        <f>(G27-G60)*10000</f>
        <v>-0.000000000006661338147750939</v>
      </c>
      <c r="H61" s="4">
        <f>(H27-H60)*10000</f>
        <v>0.000000000002220446049250313</v>
      </c>
      <c r="I61" s="4">
        <f>(I27-I60)*10000</f>
        <v>0</v>
      </c>
    </row>
    <row r="62">
      <c r="B62" t="s">
        <v>110</v>
      </c>
      <c r="I62" s="25">
        <f>'LBO Inputs'!I28</f>
        <v>0.21071793437004088</v>
      </c>
    </row>
    <row r="63">
      <c r="B63" t="s">
        <v>111</v>
      </c>
      <c r="I63" s="4">
        <f>(I25-I62)*10000</f>
        <v>0</v>
      </c>
    </row>
    <row r="66">
      <c r="B66" t="s" s="16">
        <v>112</v>
      </c>
      <c r="C66" s="16"/>
      <c r="D66" s="16"/>
      <c r="E66" s="16"/>
      <c r="F66" s="16"/>
      <c r="G66" s="16"/>
      <c r="H66" s="16"/>
      <c r="I66" s="16"/>
      <c r="J66" s="16"/>
    </row>
    <row r="67">
      <c r="B67" t="s">
        <v>61</v>
      </c>
      <c r="F67" s="28">
        <f>'LBO Inputs'!F19</f>
        <v>46752</v>
      </c>
      <c r="G67" s="28">
        <f>'LBO Inputs'!G19</f>
        <v>47118</v>
      </c>
      <c r="H67" s="28">
        <f>'LBO Inputs'!H19</f>
        <v>47483</v>
      </c>
      <c r="I67" s="28">
        <f>'LBO Inputs'!I19</f>
        <v>47848</v>
      </c>
      <c r="J67" s="28">
        <f>'LBO Inputs'!J19</f>
        <v>48213</v>
      </c>
    </row>
    <row r="68">
      <c r="B68" t="s">
        <v>62</v>
      </c>
      <c r="F68" s="49">
        <f>YEARFRAC('LBO Inputs'!$D$6,F$67,1)</f>
        <v>1.5178082191780822</v>
      </c>
      <c r="G68" s="49">
        <f>YEARFRAC('LBO Inputs'!$D$6,G$67,1)</f>
        <v>2.5182481751824817</v>
      </c>
      <c r="H68" s="49">
        <f>YEARFRAC('LBO Inputs'!$D$6,H$67,1)</f>
        <v>3.5181382614647503</v>
      </c>
      <c r="I68" s="49">
        <f>YEARFRAC('LBO Inputs'!$D$6,I$67,1)</f>
        <v>4.518072289156627</v>
      </c>
      <c r="J68" s="49">
        <f>YEARFRAC('LBO Inputs'!$D$6,J$67,1)</f>
        <v>5.518028297581013</v>
      </c>
    </row>
    <row r="69">
      <c r="B69" t="s">
        <v>63</v>
      </c>
      <c r="F69" s="22">
        <f>'LBO Inputs'!G33</f>
        <v>1300.43241643836</v>
      </c>
      <c r="G69" s="22">
        <f>'LBO Inputs'!H33</f>
        <v>1533.86905205479</v>
      </c>
      <c r="H69" s="22">
        <f>'LBO Inputs'!I33</f>
        <v>1810.38626849315</v>
      </c>
      <c r="I69" s="22">
        <f>'LBO Inputs'!J33</f>
        <v>2100.04807145205</v>
      </c>
      <c r="J69" s="22">
        <f>'LBO Inputs'!J33*('LBO Inputs'!J33/'LBO Inputs'!I33+Assumptions!$D$8)</f>
        <v>2436.055762884373</v>
      </c>
    </row>
    <row r="70">
      <c r="B70" t="s" s="3">
        <v>64</v>
      </c>
      <c r="C70" s="3"/>
      <c r="D70" s="3"/>
      <c r="E70" s="3"/>
      <c r="F70" s="50">
        <f>'LBO Inputs'!G34/'LBO Inputs'!G33</f>
        <v>0.3990755007704147</v>
      </c>
      <c r="G70" s="50">
        <f>'LBO Inputs'!H34/'LBO Inputs'!H33</f>
        <v>0.41410842586544866</v>
      </c>
      <c r="H70" s="50">
        <f>'LBO Inputs'!I34/'LBO Inputs'!I33</f>
        <v>0.42224681793027163</v>
      </c>
      <c r="I70" s="50">
        <f>'LBO Inputs'!J34/'LBO Inputs'!J33</f>
        <v>0.42700000000000077</v>
      </c>
      <c r="J70" s="50">
        <f>'LBO Inputs'!J34/'LBO Inputs'!J33+Assumptions!$D$9</f>
        <v>0.42700000000000077</v>
      </c>
    </row>
    <row r="71">
      <c r="B71" t="s">
        <v>65</v>
      </c>
      <c r="F71" s="22">
        <f>'LBO Inputs'!G34</f>
        <v>518.970717808219</v>
      </c>
      <c r="G71" s="22">
        <f>'LBO Inputs'!H34</f>
        <v>635.188098630137</v>
      </c>
      <c r="H71" s="22">
        <f>'LBO Inputs'!I34</f>
        <v>764.429841095891</v>
      </c>
      <c r="I71" s="22">
        <f>'LBO Inputs'!J34</f>
        <v>896.720526510027</v>
      </c>
      <c r="J71" s="4">
        <f>J69*J70</f>
        <v>1040.195810751629</v>
      </c>
    </row>
    <row r="72">
      <c r="B72" t="s" s="9">
        <v>66</v>
      </c>
      <c r="F72" s="51">
        <f>'LBO Inputs'!$D$37+Assumptions!$D$7</f>
        <v>24.75171931344359</v>
      </c>
      <c r="G72" s="51">
        <f>'LBO Inputs'!$D$37+Assumptions!$D$7</f>
        <v>24.75171931344359</v>
      </c>
      <c r="H72" s="51">
        <f>'LBO Inputs'!$D$37+Assumptions!$D$7</f>
        <v>24.75171931344359</v>
      </c>
      <c r="I72" s="51">
        <f>'LBO Inputs'!$D$37+Assumptions!$D$7</f>
        <v>24.75171931344359</v>
      </c>
      <c r="J72" s="51">
        <f>'LBO Inputs'!$D$37+Assumptions!$D$7</f>
        <v>24.75171931344359</v>
      </c>
    </row>
    <row r="73">
      <c r="B73" t="s" s="12">
        <v>67</v>
      </c>
      <c r="C73" s="10"/>
      <c r="D73" s="10"/>
      <c r="E73" s="10"/>
      <c r="F73" s="11">
        <f>F71*F72</f>
        <v>12845.417539085378</v>
      </c>
      <c r="G73" s="11">
        <f>G71*G72</f>
        <v>15721.997528533075</v>
      </c>
      <c r="H73" s="11">
        <f>H71*H72</f>
        <v>18920.95286162578</v>
      </c>
      <c r="I73" s="11">
        <f>I71*I72</f>
        <v>22195.37477477954</v>
      </c>
      <c r="J73" s="11">
        <f>J71*J72</f>
        <v>25746.63473874421</v>
      </c>
    </row>
    <row r="74">
      <c r="B74" t="s" s="9">
        <v>302</v>
      </c>
      <c r="F74" s="22">
        <f>-'LBO Inputs'!F36-'LBO Inputs'!F16</f>
        <v>-2689.1248172347036</v>
      </c>
      <c r="G74" s="22">
        <f>-'LBO Inputs'!G36-'LBO Inputs'!G16</f>
        <v>-2496.6534911352583</v>
      </c>
      <c r="H74" s="22">
        <f>-'LBO Inputs'!H36-'LBO Inputs'!H16</f>
        <v>-2197.922943338843</v>
      </c>
      <c r="I74" s="22">
        <f>-'LBO Inputs'!I36-'LBO Inputs'!I16</f>
        <v>-1776.545022040343</v>
      </c>
      <c r="J74" s="22">
        <f>-'LBO Inputs'!J36-'LBO Inputs'!J16</f>
        <v>-1194.0786576568676</v>
      </c>
    </row>
    <row r="75">
      <c r="B75" t="s" s="12">
        <v>69</v>
      </c>
      <c r="C75" s="10"/>
      <c r="D75" s="10"/>
      <c r="E75" s="10"/>
      <c r="F75" s="11">
        <f>F73+F74</f>
        <v>10156.292721850674</v>
      </c>
      <c r="G75" s="11">
        <f>G73+G74</f>
        <v>13225.344037397816</v>
      </c>
      <c r="H75" s="11">
        <f>H73+H74</f>
        <v>16723.02991828694</v>
      </c>
      <c r="I75" s="11">
        <f>I73+I74</f>
        <v>20418.829752739195</v>
      </c>
      <c r="J75" s="11">
        <f>J73+J74</f>
        <v>24552.556081087343</v>
      </c>
    </row>
    <row r="77">
      <c r="B77" t="s" s="15">
        <v>70</v>
      </c>
    </row>
    <row r="78">
      <c r="C78" t="s" s="18">
        <v>71</v>
      </c>
      <c r="D78" s="18"/>
      <c r="E78" s="18"/>
      <c r="F78" s="17">
        <f>F$67</f>
        <v>46752</v>
      </c>
      <c r="G78" s="17">
        <f>G$67</f>
        <v>47118</v>
      </c>
      <c r="H78" s="17">
        <f>H$67</f>
        <v>47483</v>
      </c>
      <c r="I78" s="17">
        <f>I$67</f>
        <v>47848</v>
      </c>
      <c r="J78" s="17">
        <f>J$67</f>
        <v>48213</v>
      </c>
    </row>
    <row r="79">
      <c r="B79" t="s" s="9">
        <v>72</v>
      </c>
      <c r="C79" s="23">
        <f>'LBO Inputs'!$D$6</f>
        <v>46198</v>
      </c>
      <c r="F79" s="22">
        <f>IF($C79='LBO Inputs'!$D$6,-'LBO Inputs'!$D$10,0)+IF($C79=F$67,F$75,0)</f>
        <v>-5737.031985790003</v>
      </c>
      <c r="G79" s="22">
        <f>IF($C79='LBO Inputs'!$D$6,-'LBO Inputs'!$D$10,0)+IF($C79=G$67,G$75,0)</f>
        <v>-5737.031985790003</v>
      </c>
      <c r="H79" s="22">
        <f>IF($C79='LBO Inputs'!$D$6,-'LBO Inputs'!$D$10,0)+IF($C79=H$67,H$75,0)</f>
        <v>-5737.031985790003</v>
      </c>
      <c r="I79" s="22">
        <f>IF($C79='LBO Inputs'!$D$6,-'LBO Inputs'!$D$10,0)+IF($C79=I$67,I$75,0)</f>
        <v>-5737.031985790003</v>
      </c>
      <c r="J79" s="22">
        <f>IF($C79='LBO Inputs'!$D$6,-'LBO Inputs'!$D$10,0)+IF($C79=J$67,J$75,0)</f>
        <v>-5737.031985790003</v>
      </c>
    </row>
    <row r="80">
      <c r="B80" t="s" s="9">
        <v>73</v>
      </c>
      <c r="C80" s="23">
        <f>'LBO Inputs'!$E$19</f>
        <v>46387</v>
      </c>
      <c r="F80" s="22">
        <f>IF($C80='LBO Inputs'!$D$6,-'LBO Inputs'!$D$10,0)+IF($C80=F$67,F$75,0)</f>
        <v>0</v>
      </c>
      <c r="G80" s="22">
        <f>IF($C80='LBO Inputs'!$D$6,-'LBO Inputs'!$D$10,0)+IF($C80=G$67,G$75,0)</f>
        <v>0</v>
      </c>
      <c r="H80" s="22">
        <f>IF($C80='LBO Inputs'!$D$6,-'LBO Inputs'!$D$10,0)+IF($C80=H$67,H$75,0)</f>
        <v>0</v>
      </c>
      <c r="I80" s="22">
        <f>IF($C80='LBO Inputs'!$D$6,-'LBO Inputs'!$D$10,0)+IF($C80=I$67,I$75,0)</f>
        <v>0</v>
      </c>
      <c r="J80" s="22">
        <f>IF($C80='LBO Inputs'!$D$6,-'LBO Inputs'!$D$10,0)+IF($C80=J$67,J$75,0)</f>
        <v>0</v>
      </c>
    </row>
    <row r="81">
      <c r="B81" t="s" s="9">
        <v>74</v>
      </c>
      <c r="C81" s="23">
        <f>'LBO Inputs'!$F$19</f>
        <v>46752</v>
      </c>
      <c r="F81" s="22">
        <f>IF($C81='LBO Inputs'!$D$6,-'LBO Inputs'!$D$10,0)+IF($C81=F$67,F$75,0)</f>
        <v>10156.292721850674</v>
      </c>
      <c r="G81" s="22">
        <f>IF($C81='LBO Inputs'!$D$6,-'LBO Inputs'!$D$10,0)+IF($C81=G$67,G$75,0)</f>
        <v>0</v>
      </c>
      <c r="H81" s="22">
        <f>IF($C81='LBO Inputs'!$D$6,-'LBO Inputs'!$D$10,0)+IF($C81=H$67,H$75,0)</f>
        <v>0</v>
      </c>
      <c r="I81" s="22">
        <f>IF($C81='LBO Inputs'!$D$6,-'LBO Inputs'!$D$10,0)+IF($C81=I$67,I$75,0)</f>
        <v>0</v>
      </c>
      <c r="J81" s="22">
        <f>IF($C81='LBO Inputs'!$D$6,-'LBO Inputs'!$D$10,0)+IF($C81=J$67,J$75,0)</f>
        <v>0</v>
      </c>
    </row>
    <row r="82">
      <c r="B82" t="s" s="9">
        <v>75</v>
      </c>
      <c r="C82" s="23">
        <f>'LBO Inputs'!$G$19</f>
        <v>47118</v>
      </c>
      <c r="F82" s="22">
        <f>IF($C82='LBO Inputs'!$D$6,-'LBO Inputs'!$D$10,0)+IF($C82=F$67,F$75,0)</f>
        <v>0</v>
      </c>
      <c r="G82" s="22">
        <f>IF($C82='LBO Inputs'!$D$6,-'LBO Inputs'!$D$10,0)+IF($C82=G$67,G$75,0)</f>
        <v>13225.344037397816</v>
      </c>
      <c r="H82" s="22">
        <f>IF($C82='LBO Inputs'!$D$6,-'LBO Inputs'!$D$10,0)+IF($C82=H$67,H$75,0)</f>
        <v>0</v>
      </c>
      <c r="I82" s="22">
        <f>IF($C82='LBO Inputs'!$D$6,-'LBO Inputs'!$D$10,0)+IF($C82=I$67,I$75,0)</f>
        <v>0</v>
      </c>
      <c r="J82" s="22">
        <f>IF($C82='LBO Inputs'!$D$6,-'LBO Inputs'!$D$10,0)+IF($C82=J$67,J$75,0)</f>
        <v>0</v>
      </c>
    </row>
    <row r="83">
      <c r="B83" t="s" s="9">
        <v>76</v>
      </c>
      <c r="C83" s="23">
        <f>'LBO Inputs'!$H$19</f>
        <v>47483</v>
      </c>
      <c r="F83" s="22">
        <f>IF($C83='LBO Inputs'!$D$6,-'LBO Inputs'!$D$10,0)+IF($C83=F$67,F$75,0)</f>
        <v>0</v>
      </c>
      <c r="G83" s="22">
        <f>IF($C83='LBO Inputs'!$D$6,-'LBO Inputs'!$D$10,0)+IF($C83=G$67,G$75,0)</f>
        <v>0</v>
      </c>
      <c r="H83" s="22">
        <f>IF($C83='LBO Inputs'!$D$6,-'LBO Inputs'!$D$10,0)+IF($C83=H$67,H$75,0)</f>
        <v>16723.02991828694</v>
      </c>
      <c r="I83" s="22">
        <f>IF($C83='LBO Inputs'!$D$6,-'LBO Inputs'!$D$10,0)+IF($C83=I$67,I$75,0)</f>
        <v>0</v>
      </c>
      <c r="J83" s="22">
        <f>IF($C83='LBO Inputs'!$D$6,-'LBO Inputs'!$D$10,0)+IF($C83=J$67,J$75,0)</f>
        <v>0</v>
      </c>
    </row>
    <row r="84">
      <c r="B84" t="s" s="9">
        <v>77</v>
      </c>
      <c r="C84" s="23">
        <f>'LBO Inputs'!$I$19</f>
        <v>47848</v>
      </c>
      <c r="F84" s="22">
        <f>IF($C84='LBO Inputs'!$D$6,-'LBO Inputs'!$D$10,0)+IF($C84=F$67,F$75,0)</f>
        <v>0</v>
      </c>
      <c r="G84" s="22">
        <f>IF($C84='LBO Inputs'!$D$6,-'LBO Inputs'!$D$10,0)+IF($C84=G$67,G$75,0)</f>
        <v>0</v>
      </c>
      <c r="H84" s="22">
        <f>IF($C84='LBO Inputs'!$D$6,-'LBO Inputs'!$D$10,0)+IF($C84=H$67,H$75,0)</f>
        <v>0</v>
      </c>
      <c r="I84" s="22">
        <f>IF($C84='LBO Inputs'!$D$6,-'LBO Inputs'!$D$10,0)+IF($C84=I$67,I$75,0)</f>
        <v>20418.829752739195</v>
      </c>
      <c r="J84" s="22">
        <f>IF($C84='LBO Inputs'!$D$6,-'LBO Inputs'!$D$10,0)+IF($C84=J$67,J$75,0)</f>
        <v>0</v>
      </c>
    </row>
    <row r="85">
      <c r="B85" t="s" s="9">
        <v>78</v>
      </c>
      <c r="C85" s="23">
        <f>'LBO Inputs'!$J$19</f>
        <v>48213</v>
      </c>
      <c r="F85" s="22">
        <f>IF($C85='LBO Inputs'!$D$6,-'LBO Inputs'!$D$10,0)+IF($C85=F$67,F$75,0)</f>
        <v>0</v>
      </c>
      <c r="G85" s="22">
        <f>IF($C85='LBO Inputs'!$D$6,-'LBO Inputs'!$D$10,0)+IF($C85=G$67,G$75,0)</f>
        <v>0</v>
      </c>
      <c r="H85" s="22">
        <f>IF($C85='LBO Inputs'!$D$6,-'LBO Inputs'!$D$10,0)+IF($C85=H$67,H$75,0)</f>
        <v>0</v>
      </c>
      <c r="I85" s="22">
        <f>IF($C85='LBO Inputs'!$D$6,-'LBO Inputs'!$D$10,0)+IF($C85=I$67,I$75,0)</f>
        <v>0</v>
      </c>
      <c r="J85" s="22">
        <f>IF($C85='LBO Inputs'!$D$6,-'LBO Inputs'!$D$10,0)+IF($C85=J$67,J$75,0)</f>
        <v>24552.556081087343</v>
      </c>
    </row>
    <row r="86">
      <c r="B86" t="s" s="1">
        <v>79</v>
      </c>
      <c r="C86" s="1"/>
      <c r="D86" s="1"/>
      <c r="E86" s="1"/>
      <c r="F86" s="14">
        <f>XIRR(F79:F85,$C$79:$C$85)</f>
        <v>0.4568843781948091</v>
      </c>
      <c r="G86" s="14">
        <f>XIRR(G79:G85,$C$79:$C$85)</f>
        <v>0.392852419614792</v>
      </c>
      <c r="H86" s="14">
        <f>XIRR(H79:H85,$C$79:$C$85)</f>
        <v>0.35511439442634585</v>
      </c>
      <c r="I86" s="14">
        <f>XIRR(I79:I85,$C$79:$C$85)</f>
        <v>0.32423140406608586</v>
      </c>
      <c r="J86" s="14">
        <f>XIRR(J79:J85,$C$79:$C$85)</f>
        <v>0.3012909710407258</v>
      </c>
    </row>
    <row r="87">
      <c r="B87" t="s" s="1">
        <v>80</v>
      </c>
      <c r="C87" s="1"/>
      <c r="D87" s="1"/>
      <c r="E87" s="1"/>
      <c r="F87" s="13">
        <f>SUMIF(F79:F85,"&gt;0")/-SUMIF(F79:F85,"&lt;0")</f>
        <v>1.7703043572018935</v>
      </c>
      <c r="G87" s="13">
        <f>SUMIF(G79:G85,"&gt;0")/-SUMIF(G79:G85,"&lt;0")</f>
        <v>2.3052588987050338</v>
      </c>
      <c r="H87" s="13">
        <f>SUMIF(H79:H85,"&gt;0")/-SUMIF(H79:H85,"&lt;0")</f>
        <v>2.9149270841975508</v>
      </c>
      <c r="I87" s="13">
        <f>SUMIF(I79:I85,"&gt;0")/-SUMIF(I79:I85,"&lt;0")</f>
        <v>3.559127751651793</v>
      </c>
      <c r="J87" s="13">
        <f>SUMIF(J79:J85,"&gt;0")/-SUMIF(J79:J85,"&lt;0")</f>
        <v>4.279661703455955</v>
      </c>
    </row>
    <row r="88">
      <c r="B88" t="s">
        <v>81</v>
      </c>
      <c r="F88" s="6">
        <f>F87^(1/F68)-1</f>
        <v>0.4568843754849812</v>
      </c>
      <c r="G88" s="6">
        <f>G87^(1/G68)-1</f>
        <v>0.39327396345478305</v>
      </c>
      <c r="H88" s="6">
        <f>H87^(1/H68)-1</f>
        <v>0.35539648395560075</v>
      </c>
      <c r="I88" s="6">
        <f>I87^(1/I68)-1</f>
        <v>0.3244351909963019</v>
      </c>
      <c r="J88" s="6">
        <f>J87^(1/J68)-1</f>
        <v>0.30144746118257104</v>
      </c>
    </row>
    <row r="89">
      <c r="B89" t="s">
        <v>82</v>
      </c>
      <c r="F89" s="6">
        <f>IRR(F79:F85)</f>
        <v>0.3305278490891851</v>
      </c>
      <c r="G89" s="6">
        <f>IRR(G79:G85)</f>
        <v>0.32101141084727514</v>
      </c>
      <c r="H89" s="6">
        <f>IRR(H79:H85)</f>
        <v>0.30664293290089506</v>
      </c>
      <c r="I89" s="6">
        <f>IRR(I79:I85)</f>
        <v>0.2890468898976055</v>
      </c>
      <c r="J89" s="6">
        <f>IRR(J79:J85)</f>
        <v>0.27419209595372523</v>
      </c>
    </row>
    <row r="90">
      <c r="B90" t="s">
        <v>83</v>
      </c>
      <c r="F90" s="4">
        <f>(F86-F89)*10000</f>
        <v>1263.56529105624</v>
      </c>
      <c r="G90" s="4">
        <f>(G86-G89)*10000</f>
        <v>718.4100876751687</v>
      </c>
      <c r="H90" s="4">
        <f>(H86-H89)*10000</f>
        <v>484.71461525450786</v>
      </c>
      <c r="I90" s="4">
        <f>(I86-I89)*10000</f>
        <v>351.8451416848034</v>
      </c>
      <c r="J90" s="4">
        <f>(J86-J89)*10000</f>
        <v>270.9887508700054</v>
      </c>
    </row>
    <row r="91">
      <c r="B91" t="s">
        <v>84</v>
      </c>
      <c r="F91" s="4">
        <f>(F86-F88)*10000</f>
        <v>0.000027098279176129836</v>
      </c>
      <c r="G91" s="4">
        <f>(G86-G88)*10000</f>
        <v>-4.215438399910454</v>
      </c>
      <c r="H91" s="4">
        <f>(H86-H88)*10000</f>
        <v>-2.8208952925490305</v>
      </c>
      <c r="I91" s="4">
        <f>(I86-I88)*10000</f>
        <v>-2.0378693021605443</v>
      </c>
      <c r="J91" s="4">
        <f>(J86-J88)*10000</f>
        <v>-1.5649014184526688</v>
      </c>
    </row>
    <row r="93">
      <c r="B93" t="s" s="15">
        <v>311</v>
      </c>
    </row>
    <row r="94">
      <c r="C94" t="s" s="18">
        <v>71</v>
      </c>
      <c r="D94" t="s" s="18">
        <v>86</v>
      </c>
      <c r="E94" s="18"/>
      <c r="F94" s="17">
        <f>F$67</f>
        <v>46752</v>
      </c>
      <c r="G94" s="17">
        <f>G$67</f>
        <v>47118</v>
      </c>
      <c r="H94" s="17">
        <f>H$67</f>
        <v>47483</v>
      </c>
      <c r="I94" s="17">
        <f>I$67</f>
        <v>47848</v>
      </c>
      <c r="J94" s="17">
        <f>J$67</f>
        <v>48213</v>
      </c>
    </row>
    <row r="95">
      <c r="B95" t="s" s="9">
        <v>304</v>
      </c>
      <c r="C95" s="23">
        <f>'LBO Inputs'!$D$6</f>
        <v>46198</v>
      </c>
      <c r="F95" s="22">
        <f>-('LBO Inputs'!$D$7-'LBO Inputs'!$D$14+'LBO Inputs'!$D$8)</f>
        <v>-8308.031985790001</v>
      </c>
      <c r="G95" s="22">
        <f>-('LBO Inputs'!$D$7-'LBO Inputs'!$D$14+'LBO Inputs'!$D$8)</f>
        <v>-8308.031985790001</v>
      </c>
      <c r="H95" s="22">
        <f>-('LBO Inputs'!$D$7-'LBO Inputs'!$D$14+'LBO Inputs'!$D$8)</f>
        <v>-8308.031985790001</v>
      </c>
      <c r="I95" s="22">
        <f>-('LBO Inputs'!$D$7-'LBO Inputs'!$D$14+'LBO Inputs'!$D$8)</f>
        <v>-8308.031985790001</v>
      </c>
      <c r="J95" s="22">
        <f>-('LBO Inputs'!$D$7-'LBO Inputs'!$D$14+'LBO Inputs'!$D$8)</f>
        <v>-8308.031985790001</v>
      </c>
    </row>
    <row r="96">
      <c r="B96" t="s" s="9">
        <v>88</v>
      </c>
      <c r="C96" s="23">
        <f>'LBO Inputs'!$E$19</f>
        <v>46387</v>
      </c>
      <c r="D96" s="22">
        <f>'LBO Inputs'!E35+'LBO Inputs'!E15</f>
        <v>92.92994746702246</v>
      </c>
      <c r="F96" s="4">
        <f>IF($C96&lt;=F$67,$D96,0)+IF($C96=F$67,F$73-'LBO Inputs'!F$16,0)</f>
        <v>92.92994746702246</v>
      </c>
      <c r="G96" s="4">
        <f>IF($C96&lt;=G$67,$D96,0)+IF($C96=G$67,G$73-'LBO Inputs'!G$16,0)</f>
        <v>92.92994746702246</v>
      </c>
      <c r="H96" s="4">
        <f>IF($C96&lt;=H$67,$D96,0)+IF($C96=H$67,H$73-'LBO Inputs'!H$16,0)</f>
        <v>92.92994746702246</v>
      </c>
      <c r="I96" s="4">
        <f>IF($C96&lt;=I$67,$D96,0)+IF($C96=I$67,I$73-'LBO Inputs'!I$16,0)</f>
        <v>92.92994746702246</v>
      </c>
      <c r="J96" s="4">
        <f>IF($C96&lt;=J$67,$D96,0)+IF($C96=J$67,J$73-'LBO Inputs'!J$16,0)</f>
        <v>92.92994746702246</v>
      </c>
    </row>
    <row r="97">
      <c r="B97" t="s" s="9">
        <v>89</v>
      </c>
      <c r="C97" s="23">
        <f>'LBO Inputs'!$F$19</f>
        <v>46752</v>
      </c>
      <c r="D97" s="22">
        <f>'LBO Inputs'!F35+'LBO Inputs'!F15</f>
        <v>260.0933813221918</v>
      </c>
      <c r="F97" s="4">
        <f>IF($C97&lt;=F$67,$D97,0)+IF($C97=F$67,F$73-'LBO Inputs'!F$16,0)</f>
        <v>13032.122248635791</v>
      </c>
      <c r="G97" s="4">
        <f>IF($C97&lt;=G$67,$D97,0)+IF($C97=G$67,G$73-'LBO Inputs'!G$16,0)</f>
        <v>260.0933813221918</v>
      </c>
      <c r="H97" s="4">
        <f>IF($C97&lt;=H$67,$D97,0)+IF($C97=H$67,H$73-'LBO Inputs'!H$16,0)</f>
        <v>260.0933813221918</v>
      </c>
      <c r="I97" s="4">
        <f>IF($C97&lt;=I$67,$D97,0)+IF($C97=I$67,I$73-'LBO Inputs'!I$16,0)</f>
        <v>260.0933813221918</v>
      </c>
      <c r="J97" s="4">
        <f>IF($C97&lt;=J$67,$D97,0)+IF($C97=J$67,J$73-'LBO Inputs'!J$16,0)</f>
        <v>260.0933813221918</v>
      </c>
    </row>
    <row r="98">
      <c r="B98" t="s" s="9">
        <v>90</v>
      </c>
      <c r="C98" s="23">
        <f>'LBO Inputs'!$G$19</f>
        <v>47118</v>
      </c>
      <c r="D98" s="22">
        <f>'LBO Inputs'!G35+'LBO Inputs'!G15</f>
        <v>352.94337721241646</v>
      </c>
      <c r="F98" s="4">
        <f>IF($C98&lt;=F$67,$D98,0)+IF($C98=F$67,F$73-'LBO Inputs'!F$16,0)</f>
        <v>0</v>
      </c>
      <c r="G98" s="4">
        <f>IF($C98&lt;=G$67,$D98,0)+IF($C98=G$67,G$73-'LBO Inputs'!G$16,0)</f>
        <v>16051.10989793768</v>
      </c>
      <c r="H98" s="4">
        <f>IF($C98&lt;=H$67,$D98,0)+IF($C98=H$67,H$73-'LBO Inputs'!H$16,0)</f>
        <v>352.94337721241646</v>
      </c>
      <c r="I98" s="4">
        <f>IF($C98&lt;=I$67,$D98,0)+IF($C98=I$67,I$73-'LBO Inputs'!I$16,0)</f>
        <v>352.94337721241646</v>
      </c>
      <c r="J98" s="4">
        <f>IF($C98&lt;=J$67,$D98,0)+IF($C98=J$67,J$73-'LBO Inputs'!J$16,0)</f>
        <v>352.94337721241646</v>
      </c>
    </row>
    <row r="99">
      <c r="B99" t="s" s="9">
        <v>91</v>
      </c>
      <c r="C99" s="23">
        <f>'LBO Inputs'!$H$19</f>
        <v>47483</v>
      </c>
      <c r="D99" s="22">
        <f>'LBO Inputs'!H35+'LBO Inputs'!H15</f>
        <v>460.59153708592345</v>
      </c>
      <c r="F99" s="4">
        <f>IF($C99&lt;=F$67,$D99,0)+IF($C99=F$67,F$73-'LBO Inputs'!F$16,0)</f>
        <v>0</v>
      </c>
      <c r="G99" s="4">
        <f>IF($C99&lt;=G$67,$D99,0)+IF($C99=G$67,G$73-'LBO Inputs'!G$16,0)</f>
        <v>0</v>
      </c>
      <c r="H99" s="4">
        <f>IF($C99&lt;=H$67,$D99,0)+IF($C99=H$67,H$73-'LBO Inputs'!H$16,0)</f>
        <v>19381.544398711703</v>
      </c>
      <c r="I99" s="4">
        <f>IF($C99&lt;=I$67,$D99,0)+IF($C99=I$67,I$73-'LBO Inputs'!I$16,0)</f>
        <v>460.59153708592345</v>
      </c>
      <c r="J99" s="4">
        <f>IF($C99&lt;=J$67,$D99,0)+IF($C99=J$67,J$73-'LBO Inputs'!J$16,0)</f>
        <v>460.59153708592345</v>
      </c>
    </row>
    <row r="100">
      <c r="B100" t="s" s="9">
        <v>92</v>
      </c>
      <c r="C100" s="23">
        <f>'LBO Inputs'!$I$19</f>
        <v>47848</v>
      </c>
      <c r="D100" s="22">
        <f>'LBO Inputs'!I35+'LBO Inputs'!I15</f>
        <v>579.9847251517535</v>
      </c>
      <c r="F100" s="4">
        <f>IF($C100&lt;=F$67,$D100,0)+IF($C100=F$67,F$73-'LBO Inputs'!F$16,0)</f>
        <v>0</v>
      </c>
      <c r="G100" s="4">
        <f>IF($C100&lt;=G$67,$D100,0)+IF($C100=G$67,G$73-'LBO Inputs'!G$16,0)</f>
        <v>0</v>
      </c>
      <c r="H100" s="4">
        <f>IF($C100&lt;=H$67,$D100,0)+IF($C100=H$67,H$73-'LBO Inputs'!H$16,0)</f>
        <v>0</v>
      </c>
      <c r="I100" s="4">
        <f>IF($C100&lt;=I$67,$D100,0)+IF($C100=I$67,I$73-'LBO Inputs'!I$16,0)</f>
        <v>22775.35949993129</v>
      </c>
      <c r="J100" s="4">
        <f>IF($C100&lt;=J$67,$D100,0)+IF($C100=J$67,J$73-'LBO Inputs'!J$16,0)</f>
        <v>579.9847251517535</v>
      </c>
    </row>
    <row r="101">
      <c r="B101" t="s" s="9">
        <v>93</v>
      </c>
      <c r="C101" s="23">
        <f>'LBO Inputs'!$J$19</f>
        <v>48213</v>
      </c>
      <c r="D101" s="22">
        <f>'LBO Inputs'!J35+'LBO Inputs'!J15</f>
        <v>702.0236251354706</v>
      </c>
      <c r="F101" s="4">
        <f>IF($C101&lt;=F$67,$D101,0)+IF($C101=F$67,F$73-'LBO Inputs'!F$16,0)</f>
        <v>0</v>
      </c>
      <c r="G101" s="4">
        <f>IF($C101&lt;=G$67,$D101,0)+IF($C101=G$67,G$73-'LBO Inputs'!G$16,0)</f>
        <v>0</v>
      </c>
      <c r="H101" s="4">
        <f>IF($C101&lt;=H$67,$D101,0)+IF($C101=H$67,H$73-'LBO Inputs'!H$16,0)</f>
        <v>0</v>
      </c>
      <c r="I101" s="4">
        <f>IF($C101&lt;=I$67,$D101,0)+IF($C101=I$67,I$73-'LBO Inputs'!I$16,0)</f>
        <v>0</v>
      </c>
      <c r="J101" s="4">
        <f>IF($C101&lt;=J$67,$D101,0)+IF($C101=J$67,J$73-'LBO Inputs'!J$16,0)</f>
        <v>26448.65836387968</v>
      </c>
    </row>
    <row r="102">
      <c r="B102" t="s">
        <v>94</v>
      </c>
      <c r="F102" s="6">
        <f>XIRR(F95:F101,$C$95:$C$101)</f>
        <v>0.35383084416389465</v>
      </c>
      <c r="G102" s="6">
        <f>XIRR(G95:G101,$C$95:$C$101)</f>
        <v>0.31457543969154356</v>
      </c>
      <c r="H102" s="6">
        <f>XIRR(H95:H101,$C$95:$C$101)</f>
        <v>0.2919734060764313</v>
      </c>
      <c r="I102" s="6">
        <f>XIRR(I95:I101,$C$95:$C$101)</f>
        <v>0.2727143704891205</v>
      </c>
      <c r="J102" s="6">
        <f>XIRR(J95:J101,$C$95:$C$101)</f>
        <v>0.2584624111652374</v>
      </c>
    </row>
    <row r="103">
      <c r="B103" t="s">
        <v>95</v>
      </c>
      <c r="F103" s="5">
        <f>SUMIF(F95:F101,"&gt;0")/-SUMIF(F95:F101,"&lt;0")</f>
        <v>1.5798028002963649</v>
      </c>
      <c r="G103" s="5">
        <f>SUMIF(G95:G101,"&gt;0")/-SUMIF(G95:G101,"&lt;0")</f>
        <v>1.9744908607458913</v>
      </c>
      <c r="H103" s="5">
        <f>SUMIF(H95:H101,"&gt;0")/-SUMIF(H95:H101,"&lt;0")</f>
        <v>2.4178422927440417</v>
      </c>
      <c r="I103" s="5">
        <f>SUMIF(I95:I101,"&gt;0")/-SUMIF(I95:I101,"&lt;0")</f>
        <v>2.8817796782642304</v>
      </c>
      <c r="J103" s="5">
        <f>SUMIF(J95:J101,"&gt;0")/-SUMIF(J95:J101,"&lt;0")</f>
        <v>3.3937280670493157</v>
      </c>
    </row>
    <row r="104">
      <c r="B104" t="s">
        <v>96</v>
      </c>
      <c r="F104" s="6">
        <f>F86</f>
        <v>0.4568843781948091</v>
      </c>
      <c r="G104" s="6">
        <f>G86</f>
        <v>0.392852419614792</v>
      </c>
      <c r="H104" s="6">
        <f>H86</f>
        <v>0.35511439442634585</v>
      </c>
      <c r="I104" s="6">
        <f>I86</f>
        <v>0.32423140406608586</v>
      </c>
      <c r="J104" s="6">
        <f>J86</f>
        <v>0.3012909710407258</v>
      </c>
    </row>
    <row r="105">
      <c r="B105" t="s">
        <v>97</v>
      </c>
      <c r="F105" s="4">
        <f>(F104-F102)*10000</f>
        <v>1030.5353403091444</v>
      </c>
      <c r="G105" s="4">
        <f>(G104-G102)*10000</f>
        <v>782.7697992324845</v>
      </c>
      <c r="H105" s="4">
        <f>(H104-H102)*10000</f>
        <v>631.4098834991455</v>
      </c>
      <c r="I105" s="4">
        <f>(I104-I102)*10000</f>
        <v>515.1703357696535</v>
      </c>
      <c r="J105" s="4">
        <f>(J104-J102)*10000</f>
        <v>428.28559875488395</v>
      </c>
    </row>
    <row r="107">
      <c r="B107" t="s" s="15">
        <v>98</v>
      </c>
    </row>
    <row r="108">
      <c r="B108" t="s">
        <v>61</v>
      </c>
      <c r="F108" s="17">
        <f>F$67</f>
        <v>46752</v>
      </c>
      <c r="G108" s="17">
        <f>G$67</f>
        <v>47118</v>
      </c>
      <c r="H108" s="17">
        <f>H$67</f>
        <v>47483</v>
      </c>
      <c r="I108" s="17">
        <f>I$67</f>
        <v>47848</v>
      </c>
      <c r="J108" s="17">
        <f>J$67</f>
        <v>48213</v>
      </c>
    </row>
    <row r="109">
      <c r="B109" t="s">
        <v>99</v>
      </c>
      <c r="F109" s="21">
        <f>F68</f>
        <v>1.5178082191780822</v>
      </c>
      <c r="G109" s="21">
        <f>G68</f>
        <v>2.5182481751824817</v>
      </c>
      <c r="H109" s="21">
        <f>H68</f>
        <v>3.5181382614647503</v>
      </c>
      <c r="I109" s="21">
        <f>I68</f>
        <v>4.518072289156627</v>
      </c>
      <c r="J109" s="21">
        <f>J68</f>
        <v>5.518028297581013</v>
      </c>
    </row>
    <row r="110">
      <c r="B110" t="s" s="12">
        <v>69</v>
      </c>
      <c r="C110" s="10"/>
      <c r="D110" s="10"/>
      <c r="E110" s="10"/>
      <c r="F110" s="11">
        <f>F75</f>
        <v>10156.292721850674</v>
      </c>
      <c r="G110" s="11">
        <f>G75</f>
        <v>13225.344037397816</v>
      </c>
      <c r="H110" s="11">
        <f>H75</f>
        <v>16723.02991828694</v>
      </c>
      <c r="I110" s="11">
        <f>I75</f>
        <v>20418.829752739195</v>
      </c>
      <c r="J110" s="11">
        <f>J75</f>
        <v>24552.556081087343</v>
      </c>
    </row>
    <row r="111">
      <c r="B111" t="s">
        <v>80</v>
      </c>
      <c r="F111" s="5">
        <f>F87</f>
        <v>1.7703043572018935</v>
      </c>
      <c r="G111" s="5">
        <f>G87</f>
        <v>2.3052588987050338</v>
      </c>
      <c r="H111" s="5">
        <f>H87</f>
        <v>2.9149270841975508</v>
      </c>
      <c r="I111" s="5">
        <f>I87</f>
        <v>3.559127751651793</v>
      </c>
      <c r="J111" s="5">
        <f>J87</f>
        <v>4.279661703455955</v>
      </c>
    </row>
    <row r="112">
      <c r="B112" t="s">
        <v>100</v>
      </c>
      <c r="F112" s="6">
        <f>F86</f>
        <v>0.4568843781948091</v>
      </c>
      <c r="G112" s="6">
        <f>G86</f>
        <v>0.392852419614792</v>
      </c>
      <c r="H112" s="6">
        <f>H86</f>
        <v>0.35511439442634585</v>
      </c>
      <c r="I112" s="6">
        <f>I86</f>
        <v>0.32423140406608586</v>
      </c>
      <c r="J112" s="6">
        <f>J86</f>
        <v>0.3012909710407258</v>
      </c>
    </row>
    <row r="113">
      <c r="B113" t="s" s="52">
        <v>296</v>
      </c>
      <c r="C113" s="53"/>
      <c r="D113" s="53"/>
      <c r="E113" s="53"/>
      <c r="F113" s="54">
        <f>F75-'LBO Inputs'!$D$10</f>
        <v>4419.260736060671</v>
      </c>
      <c r="G113" s="55">
        <f>G75-F75</f>
        <v>3069.0513155471417</v>
      </c>
      <c r="H113" s="55">
        <f>H75-G75</f>
        <v>3497.685880889123</v>
      </c>
      <c r="I113" s="55">
        <f>I75-H75</f>
        <v>3695.7998344522566</v>
      </c>
      <c r="J113" s="55">
        <f>J75-I75</f>
        <v>4133.726328348148</v>
      </c>
    </row>
    <row r="114">
      <c r="B114" t="s">
        <v>102</v>
      </c>
      <c r="F114" s="25">
        <f>(F75/'LBO Inputs'!$D$10)^(Assumptions!$D$24/(F67-'LBO Inputs'!$D$6))-1</f>
        <v>0.4568843754849812</v>
      </c>
      <c r="G114" s="25">
        <f>(G75/F75)^(Assumptions!$D$24/(G67-F67))-1</f>
        <v>0.3012431551436401</v>
      </c>
      <c r="H114" s="25">
        <f>(H75/G75)^(Assumptions!$D$24/(H67-G67))-1</f>
        <v>0.26446842297626305</v>
      </c>
      <c r="I114" s="25">
        <f>(I75/H75)^(Assumptions!$D$24/(I67-H67))-1</f>
        <v>0.2210006112834153</v>
      </c>
      <c r="J114" s="25">
        <f>(J75/I75)^(Assumptions!$D$24/(J67-I67))-1</f>
        <v>0.20244677968352254</v>
      </c>
    </row>
    <row r="116">
      <c r="B116" t="s" s="15">
        <v>103</v>
      </c>
    </row>
    <row r="117">
      <c r="B117" t="s" s="52">
        <v>297</v>
      </c>
      <c r="C117" s="53"/>
      <c r="D117" s="53"/>
      <c r="E117" s="53"/>
      <c r="F117" s="54">
        <f>'LBO Inputs'!F38</f>
        <v>10156.292721850681</v>
      </c>
      <c r="G117" s="54">
        <f>'LBO Inputs'!G38</f>
        <v>13225.34403739782</v>
      </c>
      <c r="H117" s="54">
        <f>'LBO Inputs'!H38</f>
        <v>16723.029918286928</v>
      </c>
      <c r="I117" s="54">
        <f>'LBO Inputs'!I38</f>
        <v>20418.829752739206</v>
      </c>
      <c r="J117" s="53"/>
    </row>
    <row r="118">
      <c r="B118" t="s" s="52">
        <v>131</v>
      </c>
      <c r="C118" s="53"/>
      <c r="D118" s="53"/>
      <c r="E118" s="53"/>
      <c r="F118" s="55">
        <f>F75-F117</f>
        <v>0</v>
      </c>
      <c r="G118" s="55">
        <f>G75-G117</f>
        <v>0</v>
      </c>
      <c r="H118" s="55">
        <f>H75-H117</f>
        <v>0</v>
      </c>
      <c r="I118" s="55">
        <f>I75-I117</f>
        <v>0</v>
      </c>
      <c r="J118" s="53"/>
    </row>
    <row r="119">
      <c r="B119" t="s">
        <v>106</v>
      </c>
      <c r="F119" s="24">
        <f>'LBO Inputs'!F39</f>
        <v>1.7703043572018948</v>
      </c>
      <c r="G119" s="24">
        <f>'LBO Inputs'!G39</f>
        <v>2.305258898705034</v>
      </c>
      <c r="H119" s="24">
        <f>'LBO Inputs'!H39</f>
        <v>2.914927084197549</v>
      </c>
      <c r="I119" s="24">
        <f>'LBO Inputs'!I39</f>
        <v>3.5591277516517947</v>
      </c>
    </row>
    <row r="120">
      <c r="B120" t="s">
        <v>107</v>
      </c>
      <c r="F120" s="5">
        <f>F87-F119</f>
        <v>0</v>
      </c>
      <c r="G120" s="5">
        <f>G87-G119</f>
        <v>0</v>
      </c>
      <c r="H120" s="5">
        <f>H87-H119</f>
        <v>0</v>
      </c>
      <c r="I120" s="5">
        <f>I87-I119</f>
        <v>0</v>
      </c>
    </row>
    <row r="121">
      <c r="B121" t="s">
        <v>108</v>
      </c>
      <c r="F121" s="25">
        <f>'LBO Inputs'!F40</f>
        <v>0.45688437548498184</v>
      </c>
      <c r="G121" s="25">
        <f>'LBO Inputs'!G40</f>
        <v>0.39327396345478305</v>
      </c>
      <c r="H121" s="25">
        <f>'LBO Inputs'!H40</f>
        <v>0.35539648395560053</v>
      </c>
      <c r="I121" s="25">
        <f>'LBO Inputs'!I40</f>
        <v>0.32443519099630214</v>
      </c>
    </row>
    <row r="122">
      <c r="B122" t="s">
        <v>109</v>
      </c>
      <c r="F122" s="4">
        <f>(F88-F121)*10000</f>
        <v>-0.000000000006661338147750939</v>
      </c>
      <c r="G122" s="4">
        <f>(G88-G121)*10000</f>
        <v>0</v>
      </c>
      <c r="H122" s="4">
        <f>(H88-H121)*10000</f>
        <v>0.000000000002220446049250313</v>
      </c>
      <c r="I122" s="4">
        <f>(I88-I121)*10000</f>
        <v>-0.000000000002220446049250313</v>
      </c>
    </row>
    <row r="123">
      <c r="B123" t="s">
        <v>110</v>
      </c>
      <c r="I123" s="25">
        <f>'LBO Inputs'!I41</f>
        <v>0.32423140406608586</v>
      </c>
    </row>
    <row r="124">
      <c r="B124" t="s">
        <v>111</v>
      </c>
      <c r="I124" s="4">
        <f>(I86-I123)*10000</f>
        <v>0</v>
      </c>
    </row>
  </sheetData>
  <pageMargins left="0.7" right="0.7" top="0.75" bottom="0.75" header="0.3" footer="0.3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3"/>
  <sheetViews>
    <sheetView showGridLines="0" workbookViewId="0">
      <selection activeCell="A1" sqref="A1"/>
    </sheetView>
  </sheetViews>
  <cols>
    <col min="1" max="1" width="2" customWidth="1"/>
    <col min="2" max="2" width="60" customWidth="1"/>
    <col min="3" max="3" width="11" customWidth="1"/>
    <col min="4" max="9" width="14" customWidth="1"/>
    <col min="10" max="10" width="11" customWidth="1"/>
    <col min="11" max="11" width="2" customWidth="1"/>
  </cols>
  <sheetData>
    <row r="2">
      <c r="B2" t="s" s="2">
        <v>113</v>
      </c>
    </row>
    <row r="3">
      <c r="B3" t="s" s="8">
        <v>1</v>
      </c>
    </row>
    <row r="5">
      <c r="B5" t="s" s="16">
        <v>114</v>
      </c>
      <c r="C5" s="16"/>
      <c r="D5" s="16"/>
      <c r="E5" s="16"/>
      <c r="F5" s="16"/>
      <c r="G5" s="16"/>
      <c r="H5" s="16"/>
      <c r="I5" s="16"/>
      <c r="J5" s="16"/>
    </row>
    <row r="6">
      <c r="B6" t="s">
        <v>115</v>
      </c>
      <c r="D6" t="s" s="18">
        <v>126</v>
      </c>
      <c r="E6" t="s" s="18">
        <v>127</v>
      </c>
      <c r="F6" t="s" s="18">
        <v>128</v>
      </c>
      <c r="G6" t="s" s="18">
        <v>129</v>
      </c>
      <c r="H6" t="s" s="18">
        <v>130</v>
      </c>
      <c r="I6" t="s" s="18">
        <v>131</v>
      </c>
    </row>
    <row r="7">
      <c r="B7" t="s">
        <v>116</v>
      </c>
      <c r="D7" s="29">
        <v>2577.484901</v>
      </c>
      <c r="E7" s="6">
        <f>D7/$D$11</f>
        <v>0.4364941714226907</v>
      </c>
      <c r="F7" s="31">
        <f>E7*'LBO Inputs'!$D$10</f>
        <v>2504.181023062881</v>
      </c>
      <c r="G7" s="30">
        <f>F7-D7</f>
        <v>-73.30387793711861</v>
      </c>
      <c r="H7" s="29">
        <v>2504.181023062881</v>
      </c>
      <c r="I7" s="30">
        <f>F7-H7</f>
        <v>0</v>
      </c>
      <c r="K7" t="s" s="20">
        <v>132</v>
      </c>
    </row>
    <row r="8">
      <c r="B8" t="s">
        <v>117</v>
      </c>
      <c r="D8" s="29">
        <v>1827.484901</v>
      </c>
      <c r="E8" s="6">
        <f>D8/$D$11</f>
        <v>0.30948251426807216</v>
      </c>
      <c r="F8" s="31">
        <f>E8*'LBO Inputs'!$D$10</f>
        <v>1775.511083398641</v>
      </c>
      <c r="G8" s="30">
        <f>F8-D8</f>
        <v>-51.97381760135909</v>
      </c>
      <c r="H8" s="29">
        <v>1775.511083398641</v>
      </c>
      <c r="I8" s="30">
        <f>F8-H8</f>
        <v>0</v>
      </c>
    </row>
    <row r="9">
      <c r="B9" t="s">
        <v>118</v>
      </c>
      <c r="D9" s="29">
        <v>750</v>
      </c>
      <c r="E9" s="6">
        <f>D9/$D$11</f>
        <v>0.1270116571546186</v>
      </c>
      <c r="F9" s="31">
        <f>E9*'LBO Inputs'!$D$10</f>
        <v>728.6699396642406</v>
      </c>
      <c r="G9" s="30">
        <f>F9-D9</f>
        <v>-21.330060335759413</v>
      </c>
      <c r="H9" s="29">
        <v>728.6699396642406</v>
      </c>
      <c r="I9" s="30">
        <f>F9-H9</f>
        <v>0</v>
      </c>
    </row>
    <row r="10">
      <c r="B10" t="s">
        <v>119</v>
      </c>
      <c r="D10" s="29">
        <v>750</v>
      </c>
      <c r="E10" s="6">
        <f>D10/$D$11</f>
        <v>0.1270116571546186</v>
      </c>
      <c r="F10" s="31">
        <f>E10*'LBO Inputs'!$D$10</f>
        <v>728.6699396642406</v>
      </c>
      <c r="G10" s="30">
        <f>F10-D10</f>
        <v>-21.330060335759413</v>
      </c>
      <c r="H10" s="29">
        <v>728.6699396642406</v>
      </c>
      <c r="I10" s="30">
        <f>F10-H10</f>
        <v>0</v>
      </c>
    </row>
    <row r="11">
      <c r="B11" t="s" s="12">
        <v>120</v>
      </c>
      <c r="C11" s="10"/>
      <c r="D11" s="33">
        <f>SUM(D7:D10)</f>
        <v>5904.969802</v>
      </c>
      <c r="E11" s="34">
        <f>SUM(E7:E10)</f>
        <v>1</v>
      </c>
      <c r="F11" s="33">
        <f>SUM(F7:F10)</f>
        <v>5737.031985790003</v>
      </c>
      <c r="G11" s="33">
        <f>SUM(G7:G10)</f>
        <v>-167.93781620999653</v>
      </c>
      <c r="H11" s="33">
        <f>SUM(H7:H10)</f>
        <v>5737.031985790003</v>
      </c>
      <c r="I11" s="33">
        <f>SUM(I7:I10)</f>
        <v>0</v>
      </c>
      <c r="J11" s="10"/>
    </row>
    <row r="12">
      <c r="B12" t="s">
        <v>121</v>
      </c>
      <c r="D12" s="29">
        <v>5904.969802</v>
      </c>
    </row>
    <row r="13">
      <c r="B13" t="s">
        <v>122</v>
      </c>
      <c r="D13" s="30">
        <f>D11-D12</f>
        <v>0</v>
      </c>
    </row>
    <row r="14">
      <c r="B14" t="s">
        <v>10</v>
      </c>
      <c r="D14" s="31">
        <f>'LBO Inputs'!D13</f>
        <v>5700</v>
      </c>
    </row>
    <row r="15">
      <c r="B15" t="s">
        <v>123</v>
      </c>
      <c r="D15" s="30">
        <f>F11-D14</f>
        <v>37.03198579000309</v>
      </c>
    </row>
    <row r="16">
      <c r="B16" t="s">
        <v>8</v>
      </c>
      <c r="D16" s="22">
        <f>'LBO Inputs'!D11</f>
        <v>0</v>
      </c>
      <c r="K16" t="s" s="20">
        <v>133</v>
      </c>
    </row>
    <row r="17">
      <c r="B17" t="s">
        <v>124</v>
      </c>
      <c r="D17" s="32">
        <v>0</v>
      </c>
    </row>
    <row r="18">
      <c r="B18" t="s">
        <v>125</v>
      </c>
      <c r="D18" s="32">
        <v>0</v>
      </c>
    </row>
    <row r="21">
      <c r="B21" t="s" s="16">
        <v>134</v>
      </c>
      <c r="C21" s="16"/>
      <c r="D21" s="16"/>
      <c r="E21" s="16"/>
      <c r="F21" s="16"/>
      <c r="G21" s="16"/>
      <c r="H21" s="16"/>
      <c r="I21" s="16"/>
      <c r="J21" s="16"/>
    </row>
    <row r="22">
      <c r="B22" t="s" s="15">
        <v>135</v>
      </c>
    </row>
    <row r="23">
      <c r="B23" t="s">
        <v>61</v>
      </c>
      <c r="F23" s="28">
        <f>'Deal Returns'!F6</f>
        <v>46752</v>
      </c>
      <c r="G23" s="28">
        <f>'Deal Returns'!G6</f>
        <v>47118</v>
      </c>
      <c r="H23" s="28">
        <f>'Deal Returns'!H6</f>
        <v>47483</v>
      </c>
      <c r="I23" s="28">
        <f>'Deal Returns'!I6</f>
        <v>47848</v>
      </c>
      <c r="J23" s="28">
        <f>'Deal Returns'!J6</f>
        <v>48213</v>
      </c>
    </row>
    <row r="24">
      <c r="B24" t="s">
        <v>18</v>
      </c>
      <c r="F24" s="22">
        <f>'Deal Returns'!F14</f>
        <v>8616.545201991903</v>
      </c>
      <c r="G24" s="22">
        <f>'Deal Returns'!G14</f>
        <v>10252.000870159249</v>
      </c>
      <c r="H24" s="22">
        <f>'Deal Returns'!H14</f>
        <v>11877.707845807152</v>
      </c>
      <c r="I24" s="22">
        <f>'Deal Returns'!I14</f>
        <v>13617.17509368273</v>
      </c>
      <c r="J24" s="22">
        <f>'Deal Returns'!J14</f>
        <v>15448.117319740028</v>
      </c>
    </row>
    <row r="25">
      <c r="B25" t="s" s="9">
        <v>136</v>
      </c>
      <c r="F25" s="22">
        <f>-'LBO Inputs'!$D$10*Assumptions!$D$13</f>
        <v>-5737.031985790003</v>
      </c>
      <c r="G25" s="22">
        <f>-'LBO Inputs'!$D$10*Assumptions!$D$13</f>
        <v>-5737.031985790003</v>
      </c>
      <c r="H25" s="22">
        <f>-'LBO Inputs'!$D$10*Assumptions!$D$13</f>
        <v>-5737.031985790003</v>
      </c>
      <c r="I25" s="22">
        <f>-'LBO Inputs'!$D$10*Assumptions!$D$13</f>
        <v>-5737.031985790003</v>
      </c>
      <c r="J25" s="22">
        <f>-'LBO Inputs'!$D$10*Assumptions!$D$13</f>
        <v>-5737.031985790003</v>
      </c>
    </row>
    <row r="26">
      <c r="B26" t="s">
        <v>137</v>
      </c>
      <c r="F26" s="4">
        <f>MAX(0,F24+F25)</f>
        <v>2879.5132162019</v>
      </c>
      <c r="G26" s="4">
        <f>MAX(0,G24+G25)</f>
        <v>4514.968884369246</v>
      </c>
      <c r="H26" s="4">
        <f>MAX(0,H24+H25)</f>
        <v>6140.675860017149</v>
      </c>
      <c r="I26" s="4">
        <f>MAX(0,I24+I25)</f>
        <v>7880.143107892727</v>
      </c>
      <c r="J26" s="4">
        <f>MAX(0,J24+J25)</f>
        <v>9711.085333950025</v>
      </c>
    </row>
    <row r="27">
      <c r="B27" t="s" s="9">
        <v>138</v>
      </c>
      <c r="F27" s="25">
        <f>Assumptions!$D$12</f>
        <v>0.08</v>
      </c>
      <c r="G27" s="25">
        <f>Assumptions!$D$12</f>
        <v>0.08</v>
      </c>
      <c r="H27" s="25">
        <f>Assumptions!$D$12</f>
        <v>0.08</v>
      </c>
      <c r="I27" s="25">
        <f>Assumptions!$D$12</f>
        <v>0.08</v>
      </c>
      <c r="J27" s="25">
        <f>Assumptions!$D$12</f>
        <v>0.08</v>
      </c>
    </row>
    <row r="28">
      <c r="B28" t="s" s="9">
        <v>139</v>
      </c>
      <c r="F28" s="25">
        <f>IF(Assumptions!$D$15=1,1,MIN(1,'Deal Returns'!F7/Assumptions!$D$14))</f>
        <v>1</v>
      </c>
      <c r="G28" s="25">
        <f>IF(Assumptions!$D$15=1,1,MIN(1,'Deal Returns'!G7/Assumptions!$D$14))</f>
        <v>1</v>
      </c>
      <c r="H28" s="25">
        <f>IF(Assumptions!$D$15=1,1,MIN(1,'Deal Returns'!H7/Assumptions!$D$14))</f>
        <v>1</v>
      </c>
      <c r="I28" s="25">
        <f>IF(Assumptions!$D$15=1,1,MIN(1,'Deal Returns'!I7/Assumptions!$D$14))</f>
        <v>1</v>
      </c>
      <c r="J28" s="25">
        <f>IF(Assumptions!$D$15=1,1,MIN(1,'Deal Returns'!J7/Assumptions!$D$14))</f>
        <v>1</v>
      </c>
    </row>
    <row r="29">
      <c r="B29" t="s" s="9">
        <v>140</v>
      </c>
      <c r="F29" s="4">
        <f>-F26*F27*F28</f>
        <v>-230.361057296152</v>
      </c>
      <c r="G29" s="4">
        <f>-G26*G27*G28</f>
        <v>-361.1975107495397</v>
      </c>
      <c r="H29" s="4">
        <f>-H26*H27*H28</f>
        <v>-491.2540688013719</v>
      </c>
      <c r="I29" s="4">
        <f>-I26*I27*I28</f>
        <v>-630.4114486314182</v>
      </c>
      <c r="J29" s="4">
        <f>-J26*J27*J28</f>
        <v>-776.886826716002</v>
      </c>
    </row>
    <row r="30">
      <c r="B30" t="s" s="12">
        <v>141</v>
      </c>
      <c r="C30" s="10"/>
      <c r="D30" s="10"/>
      <c r="E30" s="10"/>
      <c r="F30" s="11">
        <f>F24+F29</f>
        <v>8386.184144695751</v>
      </c>
      <c r="G30" s="11">
        <f>G24+G29</f>
        <v>9890.803359409709</v>
      </c>
      <c r="H30" s="11">
        <f>H24+H29</f>
        <v>11386.45377700578</v>
      </c>
      <c r="I30" s="11">
        <f>I24+I29</f>
        <v>12986.763645051313</v>
      </c>
      <c r="J30" s="11">
        <f>J24+J29</f>
        <v>14671.230493024026</v>
      </c>
    </row>
    <row r="31">
      <c r="B31" t="s" s="3">
        <v>142</v>
      </c>
      <c r="C31" s="3"/>
      <c r="D31" s="3"/>
      <c r="E31" s="3"/>
      <c r="F31" s="26">
        <f>-F29/F24</f>
        <v>0.02673473554608627</v>
      </c>
      <c r="G31" s="26">
        <f>-G29/G24</f>
        <v>0.03523190402771874</v>
      </c>
      <c r="H31" s="26">
        <f>-H29/H24</f>
        <v>0.04135933255630507</v>
      </c>
      <c r="I31" s="26">
        <f>-I29/I24</f>
        <v>0.04629531780962986</v>
      </c>
      <c r="J31" s="26">
        <f>-J29/J24</f>
        <v>0.05029006516692327</v>
      </c>
    </row>
    <row r="32">
      <c r="B32" t="s">
        <v>143</v>
      </c>
      <c r="F32" s="24">
        <f>'Deal Returns'!F26</f>
        <v>1.5019168837360741</v>
      </c>
      <c r="G32" s="24">
        <f>'Deal Returns'!G26</f>
        <v>1.7869868767600263</v>
      </c>
      <c r="H32" s="24">
        <f>'Deal Returns'!H26</f>
        <v>2.0703576126517906</v>
      </c>
      <c r="I32" s="24">
        <f>'Deal Returns'!I26</f>
        <v>2.3735574644539152</v>
      </c>
      <c r="J32" s="24">
        <f>'Deal Returns'!J26</f>
        <v>2.692701968195979</v>
      </c>
    </row>
    <row r="33">
      <c r="B33" t="s">
        <v>144</v>
      </c>
      <c r="F33" s="5">
        <f>SUMIF(F40:F46,"&gt;0")/-SUMIF(F40:F46,"&lt;0")</f>
        <v>1.4617635330371883</v>
      </c>
      <c r="G33" s="5">
        <f>SUMIF(G40:G46,"&gt;0")/-SUMIF(G40:G46,"&lt;0")</f>
        <v>1.724027926619224</v>
      </c>
      <c r="H33" s="5">
        <f>SUMIF(H40:H46,"&gt;0")/-SUMIF(H40:H46,"&lt;0")</f>
        <v>1.9847290036396472</v>
      </c>
      <c r="I33" s="5">
        <f>SUMIF(I40:I46,"&gt;0")/-SUMIF(I40:I46,"&lt;0")</f>
        <v>2.2636728672976023</v>
      </c>
      <c r="J33" s="5">
        <f>SUMIF(J40:J46,"&gt;0")/-SUMIF(J40:J46,"&lt;0")</f>
        <v>2.557285810740301</v>
      </c>
    </row>
    <row r="34">
      <c r="B34" t="s">
        <v>145</v>
      </c>
      <c r="F34" s="25">
        <f>'Deal Returns'!F25</f>
        <v>0.3073209702968598</v>
      </c>
      <c r="G34" s="25">
        <f>'Deal Returns'!G25</f>
        <v>0.25900197625160215</v>
      </c>
      <c r="H34" s="25">
        <f>'Deal Returns'!H25</f>
        <v>0.22962204813957215</v>
      </c>
      <c r="I34" s="25">
        <f>'Deal Returns'!I25</f>
        <v>0.21071793437004088</v>
      </c>
      <c r="J34" s="25">
        <f>'Deal Returns'!J25</f>
        <v>0.19653367400169372</v>
      </c>
    </row>
    <row r="35">
      <c r="B35" t="s">
        <v>146</v>
      </c>
      <c r="F35" s="6">
        <f>XIRR(F40:F46,$C$40:$C$46)</f>
        <v>0.2841874778270722</v>
      </c>
      <c r="G35" s="6">
        <f>XIRR(G40:G46,$C$40:$C$46)</f>
        <v>0.24121318459510807</v>
      </c>
      <c r="H35" s="6">
        <f>XIRR(H40:H46,$C$40:$C$46)</f>
        <v>0.2149573862552643</v>
      </c>
      <c r="I35" s="6">
        <f>XIRR(I40:I46,$C$40:$C$46)</f>
        <v>0.19808900952339176</v>
      </c>
      <c r="J35" s="6">
        <f>XIRR(J40:J46,$C$40:$C$46)</f>
        <v>0.18540218472480777</v>
      </c>
    </row>
    <row r="36">
      <c r="B36" t="s">
        <v>147</v>
      </c>
      <c r="F36" s="4">
        <f>(F34-F35)*10000</f>
        <v>231.33492469787575</v>
      </c>
      <c r="G36" s="4">
        <f>(G34-G35)*10000</f>
        <v>177.8879165649408</v>
      </c>
      <c r="H36" s="4">
        <f>(H34-H35)*10000</f>
        <v>146.64661884307844</v>
      </c>
      <c r="I36" s="4">
        <f>(I34-I35)*10000</f>
        <v>126.28924846649126</v>
      </c>
      <c r="J36" s="4">
        <f>(J34-J35)*10000</f>
        <v>111.31489276885954</v>
      </c>
    </row>
    <row r="38">
      <c r="B38" t="s" s="15">
        <v>148</v>
      </c>
    </row>
    <row r="39">
      <c r="C39" t="s" s="18">
        <v>71</v>
      </c>
      <c r="D39" s="18"/>
      <c r="E39" s="18"/>
      <c r="F39" s="17">
        <f>F$23</f>
        <v>46752</v>
      </c>
      <c r="G39" s="17">
        <f>G$23</f>
        <v>47118</v>
      </c>
      <c r="H39" s="17">
        <f>H$23</f>
        <v>47483</v>
      </c>
      <c r="I39" s="17">
        <f>I$23</f>
        <v>47848</v>
      </c>
      <c r="J39" s="17">
        <f>J$23</f>
        <v>48213</v>
      </c>
    </row>
    <row r="40">
      <c r="B40" t="s" s="9">
        <v>72</v>
      </c>
      <c r="C40" s="23">
        <f>'LBO Inputs'!$D$6</f>
        <v>46198</v>
      </c>
      <c r="F40" s="22">
        <f>IF($C40='LBO Inputs'!$D$6,-'LBO Inputs'!$D$10,0)+IF($C40=F$23,F$30,0)</f>
        <v>-5737.031985790003</v>
      </c>
      <c r="G40" s="22">
        <f>IF($C40='LBO Inputs'!$D$6,-'LBO Inputs'!$D$10,0)+IF($C40=G$23,G$30,0)</f>
        <v>-5737.031985790003</v>
      </c>
      <c r="H40" s="22">
        <f>IF($C40='LBO Inputs'!$D$6,-'LBO Inputs'!$D$10,0)+IF($C40=H$23,H$30,0)</f>
        <v>-5737.031985790003</v>
      </c>
      <c r="I40" s="22">
        <f>IF($C40='LBO Inputs'!$D$6,-'LBO Inputs'!$D$10,0)+IF($C40=I$23,I$30,0)</f>
        <v>-5737.031985790003</v>
      </c>
      <c r="J40" s="22">
        <f>IF($C40='LBO Inputs'!$D$6,-'LBO Inputs'!$D$10,0)+IF($C40=J$23,J$30,0)</f>
        <v>-5737.031985790003</v>
      </c>
    </row>
    <row r="41">
      <c r="B41" t="s" s="9">
        <v>149</v>
      </c>
      <c r="C41" s="23">
        <f>'LBO Inputs'!$E$19</f>
        <v>46387</v>
      </c>
      <c r="F41" s="22">
        <f>IF($C41='LBO Inputs'!$D$6,-'LBO Inputs'!$D$10,0)+IF($C41=F$23,F$30,0)</f>
        <v>0</v>
      </c>
      <c r="G41" s="22">
        <f>IF($C41='LBO Inputs'!$D$6,-'LBO Inputs'!$D$10,0)+IF($C41=G$23,G$30,0)</f>
        <v>0</v>
      </c>
      <c r="H41" s="22">
        <f>IF($C41='LBO Inputs'!$D$6,-'LBO Inputs'!$D$10,0)+IF($C41=H$23,H$30,0)</f>
        <v>0</v>
      </c>
      <c r="I41" s="22">
        <f>IF($C41='LBO Inputs'!$D$6,-'LBO Inputs'!$D$10,0)+IF($C41=I$23,I$30,0)</f>
        <v>0</v>
      </c>
      <c r="J41" s="22">
        <f>IF($C41='LBO Inputs'!$D$6,-'LBO Inputs'!$D$10,0)+IF($C41=J$23,J$30,0)</f>
        <v>0</v>
      </c>
    </row>
    <row r="42">
      <c r="B42" t="s" s="9">
        <v>149</v>
      </c>
      <c r="C42" s="23">
        <f>'LBO Inputs'!$F$19</f>
        <v>46752</v>
      </c>
      <c r="F42" s="22">
        <f>IF($C42='LBO Inputs'!$D$6,-'LBO Inputs'!$D$10,0)+IF($C42=F$23,F$30,0)</f>
        <v>8386.184144695751</v>
      </c>
      <c r="G42" s="22">
        <f>IF($C42='LBO Inputs'!$D$6,-'LBO Inputs'!$D$10,0)+IF($C42=G$23,G$30,0)</f>
        <v>0</v>
      </c>
      <c r="H42" s="22">
        <f>IF($C42='LBO Inputs'!$D$6,-'LBO Inputs'!$D$10,0)+IF($C42=H$23,H$30,0)</f>
        <v>0</v>
      </c>
      <c r="I42" s="22">
        <f>IF($C42='LBO Inputs'!$D$6,-'LBO Inputs'!$D$10,0)+IF($C42=I$23,I$30,0)</f>
        <v>0</v>
      </c>
      <c r="J42" s="22">
        <f>IF($C42='LBO Inputs'!$D$6,-'LBO Inputs'!$D$10,0)+IF($C42=J$23,J$30,0)</f>
        <v>0</v>
      </c>
    </row>
    <row r="43">
      <c r="B43" t="s" s="9">
        <v>149</v>
      </c>
      <c r="C43" s="23">
        <f>'LBO Inputs'!$G$19</f>
        <v>47118</v>
      </c>
      <c r="F43" s="22">
        <f>IF($C43='LBO Inputs'!$D$6,-'LBO Inputs'!$D$10,0)+IF($C43=F$23,F$30,0)</f>
        <v>0</v>
      </c>
      <c r="G43" s="22">
        <f>IF($C43='LBO Inputs'!$D$6,-'LBO Inputs'!$D$10,0)+IF($C43=G$23,G$30,0)</f>
        <v>9890.803359409709</v>
      </c>
      <c r="H43" s="22">
        <f>IF($C43='LBO Inputs'!$D$6,-'LBO Inputs'!$D$10,0)+IF($C43=H$23,H$30,0)</f>
        <v>0</v>
      </c>
      <c r="I43" s="22">
        <f>IF($C43='LBO Inputs'!$D$6,-'LBO Inputs'!$D$10,0)+IF($C43=I$23,I$30,0)</f>
        <v>0</v>
      </c>
      <c r="J43" s="22">
        <f>IF($C43='LBO Inputs'!$D$6,-'LBO Inputs'!$D$10,0)+IF($C43=J$23,J$30,0)</f>
        <v>0</v>
      </c>
    </row>
    <row r="44">
      <c r="B44" t="s" s="9">
        <v>149</v>
      </c>
      <c r="C44" s="23">
        <f>'LBO Inputs'!$H$19</f>
        <v>47483</v>
      </c>
      <c r="F44" s="22">
        <f>IF($C44='LBO Inputs'!$D$6,-'LBO Inputs'!$D$10,0)+IF($C44=F$23,F$30,0)</f>
        <v>0</v>
      </c>
      <c r="G44" s="22">
        <f>IF($C44='LBO Inputs'!$D$6,-'LBO Inputs'!$D$10,0)+IF($C44=G$23,G$30,0)</f>
        <v>0</v>
      </c>
      <c r="H44" s="22">
        <f>IF($C44='LBO Inputs'!$D$6,-'LBO Inputs'!$D$10,0)+IF($C44=H$23,H$30,0)</f>
        <v>11386.45377700578</v>
      </c>
      <c r="I44" s="22">
        <f>IF($C44='LBO Inputs'!$D$6,-'LBO Inputs'!$D$10,0)+IF($C44=I$23,I$30,0)</f>
        <v>0</v>
      </c>
      <c r="J44" s="22">
        <f>IF($C44='LBO Inputs'!$D$6,-'LBO Inputs'!$D$10,0)+IF($C44=J$23,J$30,0)</f>
        <v>0</v>
      </c>
    </row>
    <row r="45">
      <c r="B45" t="s" s="9">
        <v>149</v>
      </c>
      <c r="C45" s="23">
        <f>'LBO Inputs'!$I$19</f>
        <v>47848</v>
      </c>
      <c r="F45" s="22">
        <f>IF($C45='LBO Inputs'!$D$6,-'LBO Inputs'!$D$10,0)+IF($C45=F$23,F$30,0)</f>
        <v>0</v>
      </c>
      <c r="G45" s="22">
        <f>IF($C45='LBO Inputs'!$D$6,-'LBO Inputs'!$D$10,0)+IF($C45=G$23,G$30,0)</f>
        <v>0</v>
      </c>
      <c r="H45" s="22">
        <f>IF($C45='LBO Inputs'!$D$6,-'LBO Inputs'!$D$10,0)+IF($C45=H$23,H$30,0)</f>
        <v>0</v>
      </c>
      <c r="I45" s="22">
        <f>IF($C45='LBO Inputs'!$D$6,-'LBO Inputs'!$D$10,0)+IF($C45=I$23,I$30,0)</f>
        <v>12986.763645051313</v>
      </c>
      <c r="J45" s="22">
        <f>IF($C45='LBO Inputs'!$D$6,-'LBO Inputs'!$D$10,0)+IF($C45=J$23,J$30,0)</f>
        <v>0</v>
      </c>
    </row>
    <row r="46">
      <c r="B46" t="s" s="9">
        <v>149</v>
      </c>
      <c r="C46" s="23">
        <f>'LBO Inputs'!$J$19</f>
        <v>48213</v>
      </c>
      <c r="F46" s="22">
        <f>IF($C46='LBO Inputs'!$D$6,-'LBO Inputs'!$D$10,0)+IF($C46=F$23,F$30,0)</f>
        <v>0</v>
      </c>
      <c r="G46" s="22">
        <f>IF($C46='LBO Inputs'!$D$6,-'LBO Inputs'!$D$10,0)+IF($C46=G$23,G$30,0)</f>
        <v>0</v>
      </c>
      <c r="H46" s="22">
        <f>IF($C46='LBO Inputs'!$D$6,-'LBO Inputs'!$D$10,0)+IF($C46=H$23,H$30,0)</f>
        <v>0</v>
      </c>
      <c r="I46" s="22">
        <f>IF($C46='LBO Inputs'!$D$6,-'LBO Inputs'!$D$10,0)+IF($C46=I$23,I$30,0)</f>
        <v>0</v>
      </c>
      <c r="J46" s="22">
        <f>IF($C46='LBO Inputs'!$D$6,-'LBO Inputs'!$D$10,0)+IF($C46=J$23,J$30,0)</f>
        <v>14671.230493024026</v>
      </c>
    </row>
    <row r="49">
      <c r="B49" t="s" s="15">
        <v>150</v>
      </c>
    </row>
    <row r="50">
      <c r="B50" t="s">
        <v>61</v>
      </c>
      <c r="F50" s="28">
        <f>'Deal Returns'!F67</f>
        <v>46752</v>
      </c>
      <c r="G50" s="28">
        <f>'Deal Returns'!G67</f>
        <v>47118</v>
      </c>
      <c r="H50" s="28">
        <f>'Deal Returns'!H67</f>
        <v>47483</v>
      </c>
      <c r="I50" s="28">
        <f>'Deal Returns'!I67</f>
        <v>47848</v>
      </c>
      <c r="J50" s="28">
        <f>'Deal Returns'!J67</f>
        <v>48213</v>
      </c>
    </row>
    <row r="51">
      <c r="B51" t="s">
        <v>18</v>
      </c>
      <c r="F51" s="22">
        <f>'Deal Returns'!F75</f>
        <v>10156.292721850674</v>
      </c>
      <c r="G51" s="22">
        <f>'Deal Returns'!G75</f>
        <v>13225.344037397816</v>
      </c>
      <c r="H51" s="22">
        <f>'Deal Returns'!H75</f>
        <v>16723.02991828694</v>
      </c>
      <c r="I51" s="22">
        <f>'Deal Returns'!I75</f>
        <v>20418.829752739195</v>
      </c>
      <c r="J51" s="22">
        <f>'Deal Returns'!J75</f>
        <v>24552.556081087343</v>
      </c>
    </row>
    <row r="52">
      <c r="B52" t="s" s="9">
        <v>136</v>
      </c>
      <c r="F52" s="22">
        <f>-'LBO Inputs'!$D$10*Assumptions!$D$13</f>
        <v>-5737.031985790003</v>
      </c>
      <c r="G52" s="22">
        <f>-'LBO Inputs'!$D$10*Assumptions!$D$13</f>
        <v>-5737.031985790003</v>
      </c>
      <c r="H52" s="22">
        <f>-'LBO Inputs'!$D$10*Assumptions!$D$13</f>
        <v>-5737.031985790003</v>
      </c>
      <c r="I52" s="22">
        <f>-'LBO Inputs'!$D$10*Assumptions!$D$13</f>
        <v>-5737.031985790003</v>
      </c>
      <c r="J52" s="22">
        <f>-'LBO Inputs'!$D$10*Assumptions!$D$13</f>
        <v>-5737.031985790003</v>
      </c>
    </row>
    <row r="53">
      <c r="B53" t="s">
        <v>137</v>
      </c>
      <c r="F53" s="4">
        <f>MAX(0,F51+F52)</f>
        <v>4419.260736060671</v>
      </c>
      <c r="G53" s="4">
        <f>MAX(0,G51+G52)</f>
        <v>7488.3120516078125</v>
      </c>
      <c r="H53" s="4">
        <f>MAX(0,H51+H52)</f>
        <v>10985.997932496935</v>
      </c>
      <c r="I53" s="4">
        <f>MAX(0,I51+I52)</f>
        <v>14681.797766949192</v>
      </c>
      <c r="J53" s="4">
        <f>MAX(0,J51+J52)</f>
        <v>18815.52409529734</v>
      </c>
    </row>
    <row r="54">
      <c r="B54" t="s" s="9">
        <v>138</v>
      </c>
      <c r="F54" s="25">
        <f>Assumptions!$D$12</f>
        <v>0.08</v>
      </c>
      <c r="G54" s="25">
        <f>Assumptions!$D$12</f>
        <v>0.08</v>
      </c>
      <c r="H54" s="25">
        <f>Assumptions!$D$12</f>
        <v>0.08</v>
      </c>
      <c r="I54" s="25">
        <f>Assumptions!$D$12</f>
        <v>0.08</v>
      </c>
      <c r="J54" s="25">
        <f>Assumptions!$D$12</f>
        <v>0.08</v>
      </c>
    </row>
    <row r="55">
      <c r="B55" t="s" s="9">
        <v>139</v>
      </c>
      <c r="F55" s="25">
        <f>IF(Assumptions!$D$15=1,1,MIN(1,'Deal Returns'!F68/Assumptions!$D$14))</f>
        <v>1</v>
      </c>
      <c r="G55" s="25">
        <f>IF(Assumptions!$D$15=1,1,MIN(1,'Deal Returns'!G68/Assumptions!$D$14))</f>
        <v>1</v>
      </c>
      <c r="H55" s="25">
        <f>IF(Assumptions!$D$15=1,1,MIN(1,'Deal Returns'!H68/Assumptions!$D$14))</f>
        <v>1</v>
      </c>
      <c r="I55" s="25">
        <f>IF(Assumptions!$D$15=1,1,MIN(1,'Deal Returns'!I68/Assumptions!$D$14))</f>
        <v>1</v>
      </c>
      <c r="J55" s="25">
        <f>IF(Assumptions!$D$15=1,1,MIN(1,'Deal Returns'!J68/Assumptions!$D$14))</f>
        <v>1</v>
      </c>
    </row>
    <row r="56">
      <c r="B56" t="s" s="9">
        <v>140</v>
      </c>
      <c r="F56" s="4">
        <f>-F53*F54*F55</f>
        <v>-353.54085888485366</v>
      </c>
      <c r="G56" s="4">
        <f>-G53*G54*G55</f>
        <v>-599.064964128625</v>
      </c>
      <c r="H56" s="4">
        <f>-H53*H54*H55</f>
        <v>-878.8798345997549</v>
      </c>
      <c r="I56" s="4">
        <f>-I53*I54*I55</f>
        <v>-1174.5438213559353</v>
      </c>
      <c r="J56" s="4">
        <f>-J53*J54*J55</f>
        <v>-1505.2419276237872</v>
      </c>
    </row>
    <row r="57">
      <c r="B57" t="s" s="12">
        <v>141</v>
      </c>
      <c r="C57" s="10"/>
      <c r="D57" s="10"/>
      <c r="E57" s="10"/>
      <c r="F57" s="11">
        <f>F51+F56</f>
        <v>9802.75186296582</v>
      </c>
      <c r="G57" s="11">
        <f>G51+G56</f>
        <v>12626.27907326919</v>
      </c>
      <c r="H57" s="11">
        <f>H51+H56</f>
        <v>15844.150083687184</v>
      </c>
      <c r="I57" s="11">
        <f>I51+I56</f>
        <v>19244.28593138326</v>
      </c>
      <c r="J57" s="11">
        <f>J51+J56</f>
        <v>23047.314153463554</v>
      </c>
    </row>
    <row r="58">
      <c r="B58" t="s" s="3">
        <v>142</v>
      </c>
      <c r="C58" s="3"/>
      <c r="D58" s="3"/>
      <c r="E58" s="3"/>
      <c r="F58" s="26">
        <f>-F56/F51</f>
        <v>0.0348100304478455</v>
      </c>
      <c r="G58" s="26">
        <f>-G56/G51</f>
        <v>0.045296739535442394</v>
      </c>
      <c r="H58" s="26">
        <f>-H56/H51</f>
        <v>0.052555059632984555</v>
      </c>
      <c r="I58" s="26">
        <f>-I56/I51</f>
        <v>0.05752258261511631</v>
      </c>
      <c r="J58" s="26">
        <f>-J56/J51</f>
        <v>0.06130693369165193</v>
      </c>
    </row>
    <row r="59">
      <c r="B59" t="s">
        <v>143</v>
      </c>
      <c r="F59" s="24">
        <f>'Deal Returns'!F87</f>
        <v>1.7703043572018935</v>
      </c>
      <c r="G59" s="24">
        <f>'Deal Returns'!G87</f>
        <v>2.3052588987050338</v>
      </c>
      <c r="H59" s="24">
        <f>'Deal Returns'!H87</f>
        <v>2.9149270841975508</v>
      </c>
      <c r="I59" s="24">
        <f>'Deal Returns'!I87</f>
        <v>3.559127751651793</v>
      </c>
      <c r="J59" s="24">
        <f>'Deal Returns'!J87</f>
        <v>4.279661703455955</v>
      </c>
    </row>
    <row r="60">
      <c r="B60" t="s">
        <v>144</v>
      </c>
      <c r="F60" s="5">
        <f>SUMIF(F67:F73,"&gt;0")/-SUMIF(F67:F73,"&lt;0")</f>
        <v>1.708680008625742</v>
      </c>
      <c r="G60" s="5">
        <f>SUMIF(G67:G73,"&gt;0")/-SUMIF(G67:G73,"&lt;0")</f>
        <v>2.200838186808631</v>
      </c>
      <c r="H60" s="5">
        <f>SUMIF(H67:H73,"&gt;0")/-SUMIF(H67:H73,"&lt;0")</f>
        <v>2.761732917461747</v>
      </c>
      <c r="I60" s="5">
        <f>SUMIF(I67:I73,"&gt;0")/-SUMIF(I67:I73,"&lt;0")</f>
        <v>3.3543975315196497</v>
      </c>
      <c r="J60" s="5">
        <f>SUMIF(J67:J73,"&gt;0")/-SUMIF(J67:J73,"&lt;0")</f>
        <v>4.017288767179478</v>
      </c>
    </row>
    <row r="61">
      <c r="B61" t="s">
        <v>145</v>
      </c>
      <c r="F61" s="25">
        <f>'Deal Returns'!F86</f>
        <v>0.4568843781948091</v>
      </c>
      <c r="G61" s="25">
        <f>'Deal Returns'!G86</f>
        <v>0.392852419614792</v>
      </c>
      <c r="H61" s="25">
        <f>'Deal Returns'!H86</f>
        <v>0.35511439442634585</v>
      </c>
      <c r="I61" s="25">
        <f>'Deal Returns'!I86</f>
        <v>0.32423140406608586</v>
      </c>
      <c r="J61" s="25">
        <f>'Deal Returns'!J86</f>
        <v>0.3012909710407258</v>
      </c>
    </row>
    <row r="62">
      <c r="B62" t="s">
        <v>146</v>
      </c>
      <c r="F62" s="6">
        <f>XIRR(F67:F73,$C$67:$C$73)</f>
        <v>0.42327004075050356</v>
      </c>
      <c r="G62" s="6">
        <f>XIRR(G67:G73,$C$67:$C$73)</f>
        <v>0.36747094988822937</v>
      </c>
      <c r="H62" s="6">
        <f>XIRR(H67:H73,$C$67:$C$73)</f>
        <v>0.33449267745017996</v>
      </c>
      <c r="I62" s="6">
        <f>XIRR(I67:I73,$C$67:$C$73)</f>
        <v>0.3069901168346405</v>
      </c>
      <c r="J62" s="6">
        <f>XIRR(J67:J73,$C$67:$C$73)</f>
        <v>0.2864630043506622</v>
      </c>
    </row>
    <row r="63">
      <c r="B63" t="s">
        <v>147</v>
      </c>
      <c r="F63" s="4">
        <f>(F61-F62)*10000</f>
        <v>336.14337444305534</v>
      </c>
      <c r="G63" s="4">
        <f>(G61-G62)*10000</f>
        <v>253.81469726562634</v>
      </c>
      <c r="H63" s="4">
        <f>(H61-H62)*10000</f>
        <v>206.21716976165882</v>
      </c>
      <c r="I63" s="4">
        <f>(I61-I62)*10000</f>
        <v>172.41287231445358</v>
      </c>
      <c r="J63" s="4">
        <f>(J61-J62)*10000</f>
        <v>148.27966690063587</v>
      </c>
    </row>
    <row r="65">
      <c r="B65" t="s" s="15">
        <v>148</v>
      </c>
    </row>
    <row r="66">
      <c r="C66" t="s" s="18">
        <v>71</v>
      </c>
      <c r="D66" s="18"/>
      <c r="E66" s="18"/>
      <c r="F66" s="17">
        <f>F$50</f>
        <v>46752</v>
      </c>
      <c r="G66" s="17">
        <f>G$50</f>
        <v>47118</v>
      </c>
      <c r="H66" s="17">
        <f>H$50</f>
        <v>47483</v>
      </c>
      <c r="I66" s="17">
        <f>I$50</f>
        <v>47848</v>
      </c>
      <c r="J66" s="17">
        <f>J$50</f>
        <v>48213</v>
      </c>
    </row>
    <row r="67">
      <c r="B67" t="s" s="9">
        <v>72</v>
      </c>
      <c r="C67" s="23">
        <f>'LBO Inputs'!$D$6</f>
        <v>46198</v>
      </c>
      <c r="F67" s="22">
        <f>IF($C67='LBO Inputs'!$D$6,-'LBO Inputs'!$D$10,0)+IF($C67=F$50,F$57,0)</f>
        <v>-5737.031985790003</v>
      </c>
      <c r="G67" s="22">
        <f>IF($C67='LBO Inputs'!$D$6,-'LBO Inputs'!$D$10,0)+IF($C67=G$50,G$57,0)</f>
        <v>-5737.031985790003</v>
      </c>
      <c r="H67" s="22">
        <f>IF($C67='LBO Inputs'!$D$6,-'LBO Inputs'!$D$10,0)+IF($C67=H$50,H$57,0)</f>
        <v>-5737.031985790003</v>
      </c>
      <c r="I67" s="22">
        <f>IF($C67='LBO Inputs'!$D$6,-'LBO Inputs'!$D$10,0)+IF($C67=I$50,I$57,0)</f>
        <v>-5737.031985790003</v>
      </c>
      <c r="J67" s="22">
        <f>IF($C67='LBO Inputs'!$D$6,-'LBO Inputs'!$D$10,0)+IF($C67=J$50,J$57,0)</f>
        <v>-5737.031985790003</v>
      </c>
    </row>
    <row r="68">
      <c r="B68" t="s" s="9">
        <v>149</v>
      </c>
      <c r="C68" s="23">
        <f>'LBO Inputs'!$E$19</f>
        <v>46387</v>
      </c>
      <c r="F68" s="22">
        <f>IF($C68='LBO Inputs'!$D$6,-'LBO Inputs'!$D$10,0)+IF($C68=F$50,F$57,0)</f>
        <v>0</v>
      </c>
      <c r="G68" s="22">
        <f>IF($C68='LBO Inputs'!$D$6,-'LBO Inputs'!$D$10,0)+IF($C68=G$50,G$57,0)</f>
        <v>0</v>
      </c>
      <c r="H68" s="22">
        <f>IF($C68='LBO Inputs'!$D$6,-'LBO Inputs'!$D$10,0)+IF($C68=H$50,H$57,0)</f>
        <v>0</v>
      </c>
      <c r="I68" s="22">
        <f>IF($C68='LBO Inputs'!$D$6,-'LBO Inputs'!$D$10,0)+IF($C68=I$50,I$57,0)</f>
        <v>0</v>
      </c>
      <c r="J68" s="22">
        <f>IF($C68='LBO Inputs'!$D$6,-'LBO Inputs'!$D$10,0)+IF($C68=J$50,J$57,0)</f>
        <v>0</v>
      </c>
    </row>
    <row r="69">
      <c r="B69" t="s" s="9">
        <v>149</v>
      </c>
      <c r="C69" s="23">
        <f>'LBO Inputs'!$F$19</f>
        <v>46752</v>
      </c>
      <c r="F69" s="22">
        <f>IF($C69='LBO Inputs'!$D$6,-'LBO Inputs'!$D$10,0)+IF($C69=F$50,F$57,0)</f>
        <v>9802.75186296582</v>
      </c>
      <c r="G69" s="22">
        <f>IF($C69='LBO Inputs'!$D$6,-'LBO Inputs'!$D$10,0)+IF($C69=G$50,G$57,0)</f>
        <v>0</v>
      </c>
      <c r="H69" s="22">
        <f>IF($C69='LBO Inputs'!$D$6,-'LBO Inputs'!$D$10,0)+IF($C69=H$50,H$57,0)</f>
        <v>0</v>
      </c>
      <c r="I69" s="22">
        <f>IF($C69='LBO Inputs'!$D$6,-'LBO Inputs'!$D$10,0)+IF($C69=I$50,I$57,0)</f>
        <v>0</v>
      </c>
      <c r="J69" s="22">
        <f>IF($C69='LBO Inputs'!$D$6,-'LBO Inputs'!$D$10,0)+IF($C69=J$50,J$57,0)</f>
        <v>0</v>
      </c>
    </row>
    <row r="70">
      <c r="B70" t="s" s="9">
        <v>149</v>
      </c>
      <c r="C70" s="23">
        <f>'LBO Inputs'!$G$19</f>
        <v>47118</v>
      </c>
      <c r="F70" s="22">
        <f>IF($C70='LBO Inputs'!$D$6,-'LBO Inputs'!$D$10,0)+IF($C70=F$50,F$57,0)</f>
        <v>0</v>
      </c>
      <c r="G70" s="22">
        <f>IF($C70='LBO Inputs'!$D$6,-'LBO Inputs'!$D$10,0)+IF($C70=G$50,G$57,0)</f>
        <v>12626.27907326919</v>
      </c>
      <c r="H70" s="22">
        <f>IF($C70='LBO Inputs'!$D$6,-'LBO Inputs'!$D$10,0)+IF($C70=H$50,H$57,0)</f>
        <v>0</v>
      </c>
      <c r="I70" s="22">
        <f>IF($C70='LBO Inputs'!$D$6,-'LBO Inputs'!$D$10,0)+IF($C70=I$50,I$57,0)</f>
        <v>0</v>
      </c>
      <c r="J70" s="22">
        <f>IF($C70='LBO Inputs'!$D$6,-'LBO Inputs'!$D$10,0)+IF($C70=J$50,J$57,0)</f>
        <v>0</v>
      </c>
    </row>
    <row r="71">
      <c r="B71" t="s" s="9">
        <v>149</v>
      </c>
      <c r="C71" s="23">
        <f>'LBO Inputs'!$H$19</f>
        <v>47483</v>
      </c>
      <c r="F71" s="22">
        <f>IF($C71='LBO Inputs'!$D$6,-'LBO Inputs'!$D$10,0)+IF($C71=F$50,F$57,0)</f>
        <v>0</v>
      </c>
      <c r="G71" s="22">
        <f>IF($C71='LBO Inputs'!$D$6,-'LBO Inputs'!$D$10,0)+IF($C71=G$50,G$57,0)</f>
        <v>0</v>
      </c>
      <c r="H71" s="22">
        <f>IF($C71='LBO Inputs'!$D$6,-'LBO Inputs'!$D$10,0)+IF($C71=H$50,H$57,0)</f>
        <v>15844.150083687184</v>
      </c>
      <c r="I71" s="22">
        <f>IF($C71='LBO Inputs'!$D$6,-'LBO Inputs'!$D$10,0)+IF($C71=I$50,I$57,0)</f>
        <v>0</v>
      </c>
      <c r="J71" s="22">
        <f>IF($C71='LBO Inputs'!$D$6,-'LBO Inputs'!$D$10,0)+IF($C71=J$50,J$57,0)</f>
        <v>0</v>
      </c>
    </row>
    <row r="72">
      <c r="B72" t="s" s="9">
        <v>149</v>
      </c>
      <c r="C72" s="23">
        <f>'LBO Inputs'!$I$19</f>
        <v>47848</v>
      </c>
      <c r="F72" s="22">
        <f>IF($C72='LBO Inputs'!$D$6,-'LBO Inputs'!$D$10,0)+IF($C72=F$50,F$57,0)</f>
        <v>0</v>
      </c>
      <c r="G72" s="22">
        <f>IF($C72='LBO Inputs'!$D$6,-'LBO Inputs'!$D$10,0)+IF($C72=G$50,G$57,0)</f>
        <v>0</v>
      </c>
      <c r="H72" s="22">
        <f>IF($C72='LBO Inputs'!$D$6,-'LBO Inputs'!$D$10,0)+IF($C72=H$50,H$57,0)</f>
        <v>0</v>
      </c>
      <c r="I72" s="22">
        <f>IF($C72='LBO Inputs'!$D$6,-'LBO Inputs'!$D$10,0)+IF($C72=I$50,I$57,0)</f>
        <v>19244.28593138326</v>
      </c>
      <c r="J72" s="22">
        <f>IF($C72='LBO Inputs'!$D$6,-'LBO Inputs'!$D$10,0)+IF($C72=J$50,J$57,0)</f>
        <v>0</v>
      </c>
    </row>
    <row r="73">
      <c r="B73" t="s" s="9">
        <v>149</v>
      </c>
      <c r="C73" s="23">
        <f>'LBO Inputs'!$J$19</f>
        <v>48213</v>
      </c>
      <c r="F73" s="22">
        <f>IF($C73='LBO Inputs'!$D$6,-'LBO Inputs'!$D$10,0)+IF($C73=F$50,F$57,0)</f>
        <v>0</v>
      </c>
      <c r="G73" s="22">
        <f>IF($C73='LBO Inputs'!$D$6,-'LBO Inputs'!$D$10,0)+IF($C73=G$50,G$57,0)</f>
        <v>0</v>
      </c>
      <c r="H73" s="22">
        <f>IF($C73='LBO Inputs'!$D$6,-'LBO Inputs'!$D$10,0)+IF($C73=H$50,H$57,0)</f>
        <v>0</v>
      </c>
      <c r="I73" s="22">
        <f>IF($C73='LBO Inputs'!$D$6,-'LBO Inputs'!$D$10,0)+IF($C73=I$50,I$57,0)</f>
        <v>0</v>
      </c>
      <c r="J73" s="22">
        <f>IF($C73='LBO Inputs'!$D$6,-'LBO Inputs'!$D$10,0)+IF($C73=J$50,J$57,0)</f>
        <v>23047.314153463554</v>
      </c>
    </row>
    <row r="76">
      <c r="B76" t="s" s="16">
        <v>151</v>
      </c>
      <c r="C76" s="16"/>
      <c r="D76" s="16"/>
      <c r="E76" s="16"/>
      <c r="F76" s="16"/>
      <c r="G76" s="16"/>
      <c r="H76" s="16"/>
      <c r="I76" s="16"/>
      <c r="J76" s="16"/>
    </row>
    <row r="77">
      <c r="B77" t="s">
        <v>61</v>
      </c>
      <c r="F77" s="28">
        <f>'Deal Returns'!F6</f>
        <v>46752</v>
      </c>
      <c r="G77" s="28">
        <f>'Deal Returns'!G6</f>
        <v>47118</v>
      </c>
      <c r="H77" s="28">
        <f>'Deal Returns'!H6</f>
        <v>47483</v>
      </c>
      <c r="I77" s="28">
        <f>'Deal Returns'!I6</f>
        <v>47848</v>
      </c>
      <c r="J77" s="28">
        <f>'Deal Returns'!J6</f>
        <v>48213</v>
      </c>
    </row>
    <row r="78">
      <c r="B78" t="s" s="15">
        <v>135</v>
      </c>
    </row>
    <row r="79">
      <c r="B79" t="s">
        <v>116</v>
      </c>
      <c r="F79" s="4">
        <f>$E$7*F$30</f>
        <v>3660.520499637078</v>
      </c>
      <c r="G79" s="4">
        <f>$E$7*G$30</f>
        <v>4317.278017070306</v>
      </c>
      <c r="H79" s="4">
        <f>$E$7*H$30</f>
        <v>4970.120706836905</v>
      </c>
      <c r="I79" s="4">
        <f>$E$7*I$30</f>
        <v>5668.646636708995</v>
      </c>
      <c r="J79" s="4">
        <f>$E$7*J$30</f>
        <v>6403.906597803836</v>
      </c>
    </row>
    <row r="80">
      <c r="B80" t="s">
        <v>117</v>
      </c>
      <c r="F80" s="4">
        <f>$E$8*F$30</f>
        <v>2595.3773542154836</v>
      </c>
      <c r="G80" s="4">
        <f>$E$8*G$30</f>
        <v>3061.030691801211</v>
      </c>
      <c r="H80" s="4">
        <f>$E$8*H$30</f>
        <v>3523.908343504935</v>
      </c>
      <c r="I80" s="4">
        <f>$E$8*I$30</f>
        <v>4019.1762650756737</v>
      </c>
      <c r="J80" s="4">
        <f>$E$8*J$30</f>
        <v>4540.489300387483</v>
      </c>
    </row>
    <row r="81">
      <c r="B81" t="s">
        <v>118</v>
      </c>
      <c r="F81" s="4">
        <f>$E$9*F$30</f>
        <v>1065.1431454215951</v>
      </c>
      <c r="G81" s="4">
        <f>$E$9*G$30</f>
        <v>1256.2473252690959</v>
      </c>
      <c r="H81" s="4">
        <f>$E$9*H$30</f>
        <v>1446.21236333197</v>
      </c>
      <c r="I81" s="4">
        <f>$E$9*I$30</f>
        <v>1649.4703716333222</v>
      </c>
      <c r="J81" s="4">
        <f>$E$9*J$30</f>
        <v>1863.4172974163534</v>
      </c>
    </row>
    <row r="82">
      <c r="B82" t="s">
        <v>119</v>
      </c>
      <c r="F82" s="4">
        <f>$E$10*F$30</f>
        <v>1065.1431454215951</v>
      </c>
      <c r="G82" s="4">
        <f>$E$10*G$30</f>
        <v>1256.2473252690959</v>
      </c>
      <c r="H82" s="4">
        <f>$E$10*H$30</f>
        <v>1446.21236333197</v>
      </c>
      <c r="I82" s="4">
        <f>$E$10*I$30</f>
        <v>1649.4703716333222</v>
      </c>
      <c r="J82" s="4">
        <f>$E$10*J$30</f>
        <v>1863.4172974163534</v>
      </c>
    </row>
    <row r="83">
      <c r="B83" t="s" s="12">
        <v>152</v>
      </c>
      <c r="C83" s="10"/>
      <c r="D83" s="10"/>
      <c r="E83" s="10"/>
      <c r="F83" s="11">
        <f>SUM(F79:F82)</f>
        <v>8386.184144695751</v>
      </c>
      <c r="G83" s="11">
        <f>SUM(G79:G82)</f>
        <v>9890.803359409709</v>
      </c>
      <c r="H83" s="11">
        <f>SUM(H79:H82)</f>
        <v>11386.45377700578</v>
      </c>
      <c r="I83" s="11">
        <f>SUM(I79:I82)</f>
        <v>12986.763645051313</v>
      </c>
      <c r="J83" s="11">
        <f>SUM(J79:J82)</f>
        <v>14671.230493024028</v>
      </c>
    </row>
    <row r="84">
      <c r="B84" t="s">
        <v>153</v>
      </c>
      <c r="F84" s="5">
        <f>F83/$F$11</f>
        <v>1.4617635330371883</v>
      </c>
      <c r="G84" s="5">
        <f>G83/$F$11</f>
        <v>1.724027926619224</v>
      </c>
      <c r="H84" s="5">
        <f>H83/$F$11</f>
        <v>1.9847290036396472</v>
      </c>
      <c r="I84" s="5">
        <f>I83/$F$11</f>
        <v>2.2636728672976023</v>
      </c>
      <c r="J84" s="5">
        <f>J83/$F$11</f>
        <v>2.5572858107403014</v>
      </c>
    </row>
    <row r="87">
      <c r="B87" t="s" s="15">
        <v>150</v>
      </c>
    </row>
    <row r="88">
      <c r="B88" t="s">
        <v>116</v>
      </c>
      <c r="F88" s="4">
        <f>$E$7*F$57</f>
        <v>4278.844052087504</v>
      </c>
      <c r="G88" s="4">
        <f>$E$7*G$57</f>
        <v>5511.297222238294</v>
      </c>
      <c r="H88" s="4">
        <f>$E$7*H$57</f>
        <v>6915.879162675793</v>
      </c>
      <c r="I88" s="4">
        <f>$E$7*I$57</f>
        <v>8400.01864224048</v>
      </c>
      <c r="J88" s="4">
        <f>$E$7*J$57</f>
        <v>10060.018294934527</v>
      </c>
    </row>
    <row r="89">
      <c r="B89" t="s">
        <v>117</v>
      </c>
      <c r="F89" s="4">
        <f>$E$8*F$57</f>
        <v>3033.7802932966906</v>
      </c>
      <c r="G89" s="4">
        <f>$E$8*G$57</f>
        <v>3907.612593445693</v>
      </c>
      <c r="H89" s="4">
        <f>$E$8*H$57</f>
        <v>4903.487404340196</v>
      </c>
      <c r="I89" s="4">
        <f>$E$8*I$57</f>
        <v>5955.76999533818</v>
      </c>
      <c r="J89" s="4">
        <f>$E$8*J$57</f>
        <v>7132.740731340026</v>
      </c>
    </row>
    <row r="90">
      <c r="B90" t="s">
        <v>118</v>
      </c>
      <c r="F90" s="4">
        <f>$E$9*F$57</f>
        <v>1245.0637587908136</v>
      </c>
      <c r="G90" s="4">
        <f>$E$9*G$57</f>
        <v>1603.6846287926019</v>
      </c>
      <c r="H90" s="4">
        <f>$E$9*H$57</f>
        <v>2012.391758335598</v>
      </c>
      <c r="I90" s="4">
        <f>$E$9*I$57</f>
        <v>2444.2486469023006</v>
      </c>
      <c r="J90" s="4">
        <f>$E$9*J$57</f>
        <v>2927.2775635945018</v>
      </c>
    </row>
    <row r="91">
      <c r="B91" t="s">
        <v>119</v>
      </c>
      <c r="F91" s="4">
        <f>$E$10*F$57</f>
        <v>1245.0637587908136</v>
      </c>
      <c r="G91" s="4">
        <f>$E$10*G$57</f>
        <v>1603.6846287926019</v>
      </c>
      <c r="H91" s="4">
        <f>$E$10*H$57</f>
        <v>2012.391758335598</v>
      </c>
      <c r="I91" s="4">
        <f>$E$10*I$57</f>
        <v>2444.2486469023006</v>
      </c>
      <c r="J91" s="4">
        <f>$E$10*J$57</f>
        <v>2927.2775635945018</v>
      </c>
    </row>
    <row r="92">
      <c r="B92" t="s" s="12">
        <v>152</v>
      </c>
      <c r="C92" s="10"/>
      <c r="D92" s="10"/>
      <c r="E92" s="10"/>
      <c r="F92" s="11">
        <f>SUM(F88:F91)</f>
        <v>9802.75186296582</v>
      </c>
      <c r="G92" s="11">
        <f>SUM(G88:G91)</f>
        <v>12626.27907326919</v>
      </c>
      <c r="H92" s="11">
        <f>SUM(H88:H91)</f>
        <v>15844.150083687186</v>
      </c>
      <c r="I92" s="11">
        <f>SUM(I88:I91)</f>
        <v>19244.28593138326</v>
      </c>
      <c r="J92" s="11">
        <f>SUM(J88:J91)</f>
        <v>23047.314153463558</v>
      </c>
    </row>
    <row r="93">
      <c r="B93" t="s">
        <v>153</v>
      </c>
      <c r="F93" s="5">
        <f>F92/$F$11</f>
        <v>1.708680008625742</v>
      </c>
      <c r="G93" s="5">
        <f>G92/$F$11</f>
        <v>2.200838186808631</v>
      </c>
      <c r="H93" s="5">
        <f>H92/$F$11</f>
        <v>2.761732917461747</v>
      </c>
      <c r="I93" s="5">
        <f>I92/$F$11</f>
        <v>3.3543975315196497</v>
      </c>
      <c r="J93" s="5">
        <f>J92/$F$11</f>
        <v>4.017288767179479</v>
      </c>
    </row>
  </sheetData>
  <pageMargins left="0.7" right="0.7" top="0.75" bottom="0.75" header="0.3" footer="0.3"/>
  <pageSetup orientation="landscape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9"/>
  <sheetViews>
    <sheetView showGridLines="0" workbookViewId="0">
      <selection activeCell="A1" sqref="A1"/>
    </sheetView>
  </sheetViews>
  <cols>
    <col min="1" max="1" width="2" customWidth="1"/>
    <col min="2" max="2" width="60" customWidth="1"/>
    <col min="3" max="10" width="11" customWidth="1"/>
    <col min="11" max="11" width="2" customWidth="1"/>
  </cols>
  <sheetData>
    <row r="2">
      <c r="B2" t="s" s="2">
        <v>155</v>
      </c>
    </row>
    <row r="3">
      <c r="B3" t="s" s="8">
        <v>1</v>
      </c>
    </row>
    <row r="5">
      <c r="B5" t="s" s="16">
        <v>156</v>
      </c>
      <c r="C5" s="16"/>
      <c r="D5" s="16"/>
      <c r="E5" s="16"/>
      <c r="F5" s="16"/>
      <c r="G5" s="16"/>
      <c r="H5" s="16"/>
      <c r="I5" s="16"/>
      <c r="J5" s="16"/>
    </row>
    <row r="6">
      <c r="B6" t="s">
        <v>61</v>
      </c>
      <c r="F6" s="28">
        <f>'Deal Returns'!F6</f>
        <v>46752</v>
      </c>
      <c r="G6" s="28">
        <f>'Deal Returns'!G6</f>
        <v>47118</v>
      </c>
      <c r="H6" s="28">
        <f>'Deal Returns'!H6</f>
        <v>47483</v>
      </c>
      <c r="I6" s="28">
        <f>'Deal Returns'!I6</f>
        <v>47848</v>
      </c>
      <c r="J6" s="28">
        <f>'Deal Returns'!J6</f>
        <v>48213</v>
      </c>
    </row>
    <row r="7">
      <c r="B7" t="s">
        <v>157</v>
      </c>
      <c r="D7" s="22">
        <f>'LBO Inputs'!E20</f>
        <v>936.44599591813</v>
      </c>
    </row>
    <row r="8">
      <c r="B8" t="s" s="3">
        <v>158</v>
      </c>
      <c r="C8" s="3"/>
      <c r="D8" s="26">
        <f>D9/D7</f>
        <v>0.35743438376747155</v>
      </c>
      <c r="E8" s="3"/>
      <c r="F8" s="3"/>
      <c r="G8" s="3"/>
      <c r="H8" s="3"/>
      <c r="I8" s="3"/>
      <c r="J8" s="3"/>
    </row>
    <row r="9">
      <c r="B9" t="s">
        <v>159</v>
      </c>
      <c r="D9" s="22">
        <f>'LBO Inputs'!E21</f>
        <v>334.717997482513</v>
      </c>
    </row>
    <row r="10">
      <c r="B10" t="s">
        <v>160</v>
      </c>
      <c r="D10" s="51">
        <f>'LBO Inputs'!$D$24</f>
        <v>25.041255617597592</v>
      </c>
    </row>
    <row r="12">
      <c r="B12" t="s">
        <v>161</v>
      </c>
      <c r="F12" s="22">
        <f>'LBO Inputs'!$D$10</f>
        <v>5737.031985790003</v>
      </c>
      <c r="G12" s="22">
        <f>'LBO Inputs'!$D$10</f>
        <v>5737.031985790003</v>
      </c>
      <c r="H12" s="22">
        <f>'LBO Inputs'!$D$10</f>
        <v>5737.031985790003</v>
      </c>
      <c r="I12" s="22">
        <f>'LBO Inputs'!$D$10</f>
        <v>5737.031985790003</v>
      </c>
      <c r="J12" s="22">
        <f>'LBO Inputs'!$D$10</f>
        <v>5737.031985790003</v>
      </c>
    </row>
    <row r="13">
      <c r="B13" t="s" s="9">
        <v>162</v>
      </c>
      <c r="F13" s="22">
        <f>$D$10*('Deal Returns'!F8-$D$7)*$D$8</f>
        <v>2343.3237188185662</v>
      </c>
      <c r="G13" s="22">
        <f>$D$10*('Deal Returns'!G8-$D$7)*$D$8</f>
        <v>3589.5109133241426</v>
      </c>
      <c r="H13" s="22">
        <f>$D$10*('Deal Returns'!H8-$D$7)*$D$8</f>
        <v>4860.784528750446</v>
      </c>
      <c r="I13" s="22">
        <f>$D$10*('Deal Returns'!I8-$D$7)*$D$8</f>
        <v>6185.038875102444</v>
      </c>
      <c r="J13" s="22">
        <f>$D$10*('Deal Returns'!J8-$D$7)*$D$8</f>
        <v>7641.718656089638</v>
      </c>
    </row>
    <row r="14">
      <c r="B14" t="s" s="9">
        <v>163</v>
      </c>
      <c r="F14" s="22">
        <f>$D$10*'Deal Returns'!F8*('Deal Returns'!F9-$D$8)</f>
        <v>619.0234238519005</v>
      </c>
      <c r="G14" s="22">
        <f>$D$10*'Deal Returns'!G8*('Deal Returns'!G9-$D$8)</f>
        <v>904.373838903513</v>
      </c>
      <c r="H14" s="22">
        <f>$D$10*'Deal Returns'!H8*('Deal Returns'!H9-$D$8)</f>
        <v>1118.4566805520092</v>
      </c>
      <c r="I14" s="22">
        <f>$D$10*'Deal Returns'!I8*('Deal Returns'!I9-$D$8)</f>
        <v>1360.1507751985564</v>
      </c>
      <c r="J14" s="22">
        <f>$D$10*'Deal Returns'!J8*('Deal Returns'!J9-$D$8)</f>
        <v>1496.1658527184072</v>
      </c>
    </row>
    <row r="15">
      <c r="B15" t="s" s="9">
        <v>164</v>
      </c>
      <c r="F15" s="22">
        <f>('Deal Returns'!F11-$D$10)*'Deal Returns'!F10</f>
        <v>0</v>
      </c>
      <c r="G15" s="22">
        <f>('Deal Returns'!G11-$D$10)*'Deal Returns'!G10</f>
        <v>0</v>
      </c>
      <c r="H15" s="22">
        <f>('Deal Returns'!H11-$D$10)*'Deal Returns'!H10</f>
        <v>0</v>
      </c>
      <c r="I15" s="22">
        <f>('Deal Returns'!I11-$D$10)*'Deal Returns'!I10</f>
        <v>0</v>
      </c>
      <c r="J15" s="22">
        <f>('Deal Returns'!J11-$D$10)*'Deal Returns'!J10</f>
        <v>0</v>
      </c>
    </row>
    <row r="16">
      <c r="B16" t="s" s="9">
        <v>305</v>
      </c>
      <c r="F16" s="22">
        <f>'LBO Inputs'!$D$12+'Deal Returns'!F13</f>
        <v>-102.56087544856109</v>
      </c>
      <c r="G16" s="22">
        <f>'LBO Inputs'!$D$12+'Deal Returns'!G13</f>
        <v>1.3571831615968222</v>
      </c>
      <c r="H16" s="22">
        <f>'LBO Inputs'!$D$12+'Deal Returns'!H13</f>
        <v>141.70770173469919</v>
      </c>
      <c r="I16" s="22">
        <f>'LBO Inputs'!$D$12+'Deal Returns'!I13</f>
        <v>315.22650861173406</v>
      </c>
      <c r="J16" s="22">
        <f>'LBO Inputs'!$D$12+'Deal Returns'!J13</f>
        <v>553.4738761619878</v>
      </c>
    </row>
    <row r="17">
      <c r="B17" t="s" s="9">
        <v>306</v>
      </c>
      <c r="F17" s="22">
        <f>('LBO Inputs'!$D$7-'LBO Inputs'!$D$12)-'LBO Inputs'!$D$10</f>
        <v>19.72694897999645</v>
      </c>
      <c r="G17" s="22">
        <f>('LBO Inputs'!$D$7-'LBO Inputs'!$D$12)-'LBO Inputs'!$D$10</f>
        <v>19.72694897999645</v>
      </c>
      <c r="H17" s="22">
        <f>('LBO Inputs'!$D$7-'LBO Inputs'!$D$12)-'LBO Inputs'!$D$10</f>
        <v>19.72694897999645</v>
      </c>
      <c r="I17" s="22">
        <f>('LBO Inputs'!$D$7-'LBO Inputs'!$D$12)-'LBO Inputs'!$D$10</f>
        <v>19.72694897999645</v>
      </c>
      <c r="J17" s="22">
        <f>('LBO Inputs'!$D$7-'LBO Inputs'!$D$12)-'LBO Inputs'!$D$10</f>
        <v>19.72694897999645</v>
      </c>
    </row>
    <row r="18">
      <c r="B18" t="s" s="12">
        <v>167</v>
      </c>
      <c r="C18" s="10"/>
      <c r="D18" s="10"/>
      <c r="E18" s="10"/>
      <c r="F18" s="11">
        <f>SUM(F12:F17)</f>
        <v>8616.545201991905</v>
      </c>
      <c r="G18" s="11">
        <f>SUM(G12:G17)</f>
        <v>10252.000870159252</v>
      </c>
      <c r="H18" s="11">
        <f>SUM(H12:H17)</f>
        <v>11877.707845807154</v>
      </c>
      <c r="I18" s="11">
        <f>SUM(I12:I17)</f>
        <v>13617.175093682732</v>
      </c>
      <c r="J18" s="11">
        <f>SUM(J12:J17)</f>
        <v>15448.117319740033</v>
      </c>
    </row>
    <row r="19">
      <c r="B19" t="s">
        <v>168</v>
      </c>
      <c r="F19" s="22">
        <f>'Deal Returns'!F14</f>
        <v>8616.545201991903</v>
      </c>
      <c r="G19" s="22">
        <f>'Deal Returns'!G14</f>
        <v>10252.000870159249</v>
      </c>
      <c r="H19" s="22">
        <f>'Deal Returns'!H14</f>
        <v>11877.707845807152</v>
      </c>
      <c r="I19" s="22">
        <f>'Deal Returns'!I14</f>
        <v>13617.17509368273</v>
      </c>
      <c r="J19" s="22">
        <f>'Deal Returns'!J14</f>
        <v>15448.117319740028</v>
      </c>
    </row>
    <row r="20">
      <c r="B20" t="s">
        <v>131</v>
      </c>
      <c r="F20" s="4">
        <f>F18-F19</f>
        <v>0</v>
      </c>
      <c r="G20" s="4">
        <f>G18-G19</f>
        <v>0</v>
      </c>
      <c r="H20" s="4">
        <f>H18-H19</f>
        <v>0</v>
      </c>
      <c r="I20" s="4">
        <f>I18-I19</f>
        <v>0</v>
      </c>
      <c r="J20" s="4">
        <f>J18-J19</f>
        <v>0</v>
      </c>
    </row>
    <row r="21">
      <c r="B21" t="s" s="9">
        <v>140</v>
      </c>
      <c r="F21" s="22">
        <f>'Equity Funding'!F29</f>
        <v>-230.361057296152</v>
      </c>
      <c r="G21" s="22">
        <f>'Equity Funding'!G29</f>
        <v>-361.1975107495397</v>
      </c>
      <c r="H21" s="22">
        <f>'Equity Funding'!H29</f>
        <v>-491.2540688013719</v>
      </c>
      <c r="I21" s="22">
        <f>'Equity Funding'!I29</f>
        <v>-630.4114486314182</v>
      </c>
      <c r="J21" s="22">
        <f>'Equity Funding'!J29</f>
        <v>-776.886826716002</v>
      </c>
    </row>
    <row r="22">
      <c r="B22" t="s" s="12">
        <v>141</v>
      </c>
      <c r="C22" s="10"/>
      <c r="D22" s="10"/>
      <c r="E22" s="10"/>
      <c r="F22" s="11">
        <f>F18+F21</f>
        <v>8386.184144695753</v>
      </c>
      <c r="G22" s="11">
        <f>G18+G21</f>
        <v>9890.803359409712</v>
      </c>
      <c r="H22" s="11">
        <f>H18+H21</f>
        <v>11386.453777005781</v>
      </c>
      <c r="I22" s="11">
        <f>I18+I21</f>
        <v>12986.763645051315</v>
      </c>
      <c r="J22" s="11">
        <f>J18+J21</f>
        <v>14671.230493024032</v>
      </c>
    </row>
    <row r="24">
      <c r="B24" t="s" s="15">
        <v>169</v>
      </c>
      <c r="C24" s="3"/>
      <c r="D24" s="3"/>
      <c r="E24" s="3"/>
      <c r="F24" s="3"/>
      <c r="G24" s="3"/>
      <c r="H24" s="3"/>
      <c r="I24" s="3"/>
      <c r="J24" s="3"/>
    </row>
    <row r="25">
      <c r="B25" t="s">
        <v>170</v>
      </c>
      <c r="F25" s="6">
        <f>F13/(F18-F12)</f>
        <v>0.8137916178448477</v>
      </c>
      <c r="G25" s="6">
        <f>G13/(G18-G12)</f>
        <v>0.7950245074226253</v>
      </c>
      <c r="H25" s="6">
        <f>H13/(H18-H12)</f>
        <v>0.7915715858574678</v>
      </c>
      <c r="I25" s="6">
        <f>I13/(I18-I12)</f>
        <v>0.784889156252445</v>
      </c>
      <c r="J25" s="6">
        <f>J13/(J18-J12)</f>
        <v>0.7869067558673519</v>
      </c>
    </row>
    <row r="26">
      <c r="B26" t="s">
        <v>171</v>
      </c>
      <c r="F26" s="6">
        <f>F14/(F18-F12)</f>
        <v>0.21497502437873744</v>
      </c>
      <c r="G26" s="6">
        <f>G14/(G18-G12)</f>
        <v>0.2003056636856216</v>
      </c>
      <c r="H26" s="6">
        <f>H14/(H18-H12)</f>
        <v>0.1821390195555584</v>
      </c>
      <c r="I26" s="6">
        <f>I14/(I18-I12)</f>
        <v>0.17260483173665123</v>
      </c>
      <c r="J26" s="6">
        <f>J14/(J18-J12)</f>
        <v>0.15406783086209733</v>
      </c>
    </row>
    <row r="27">
      <c r="B27" t="s">
        <v>172</v>
      </c>
      <c r="F27" s="6">
        <f>F15/(F18-F12)</f>
        <v>0</v>
      </c>
      <c r="G27" s="6">
        <f>G15/(G18-G12)</f>
        <v>0</v>
      </c>
      <c r="H27" s="6">
        <f>H15/(H18-H12)</f>
        <v>0</v>
      </c>
      <c r="I27" s="6">
        <f>I15/(I18-I12)</f>
        <v>0</v>
      </c>
      <c r="J27" s="6">
        <f>J15/(J18-J12)</f>
        <v>0</v>
      </c>
    </row>
    <row r="28">
      <c r="B28" t="s">
        <v>307</v>
      </c>
      <c r="F28" s="6">
        <f>F16/(F18-F12)</f>
        <v>-0.03561743522186004</v>
      </c>
      <c r="G28" s="6">
        <f>G16/(G18-G12)</f>
        <v>0.0003005963488021742</v>
      </c>
      <c r="H28" s="6">
        <f>H16/(H18-H12)</f>
        <v>0.02307689006309208</v>
      </c>
      <c r="I28" s="6">
        <f>I16/(I18-I12)</f>
        <v>0.04000263755311805</v>
      </c>
      <c r="J28" s="6">
        <f>J16/(J18-J12)</f>
        <v>0.05699402869286287</v>
      </c>
    </row>
    <row r="29">
      <c r="B29" t="s">
        <v>308</v>
      </c>
      <c r="F29" s="6">
        <f>F17/(F18-F12)</f>
        <v>0.006850792998275047</v>
      </c>
      <c r="G29" s="6">
        <f>G17/(G18-G12)</f>
        <v>0.0043692325429508135</v>
      </c>
      <c r="H29" s="6">
        <f>H17/(H18-H12)</f>
        <v>0.0032125045238817333</v>
      </c>
      <c r="I29" s="6">
        <f>I17/(I18-I12)</f>
        <v>0.0025033744577859247</v>
      </c>
      <c r="J29" s="6">
        <f>J17/(J18-J12)</f>
        <v>0.0020313845776878184</v>
      </c>
    </row>
    <row r="30">
      <c r="B30" t="s" s="12">
        <v>175</v>
      </c>
      <c r="C30" s="10"/>
      <c r="D30" s="10"/>
      <c r="E30" s="10"/>
      <c r="F30" s="34">
        <f>SUM(F25:F29)</f>
        <v>1</v>
      </c>
      <c r="G30" s="34">
        <f>SUM(G25:G29)</f>
        <v>1</v>
      </c>
      <c r="H30" s="34">
        <f>SUM(H25:H29)</f>
        <v>1</v>
      </c>
      <c r="I30" s="34">
        <f>SUM(I25:I29)</f>
        <v>1.0000000000000002</v>
      </c>
      <c r="J30" s="34">
        <f>SUM(J25:J29)</f>
        <v>0.9999999999999999</v>
      </c>
    </row>
    <row r="34">
      <c r="B34" t="s" s="16">
        <v>176</v>
      </c>
      <c r="C34" s="16"/>
      <c r="D34" s="16"/>
      <c r="E34" s="16"/>
      <c r="F34" s="16"/>
      <c r="G34" s="16"/>
      <c r="H34" s="16"/>
      <c r="I34" s="16"/>
      <c r="J34" s="16"/>
    </row>
    <row r="35">
      <c r="B35" t="s">
        <v>61</v>
      </c>
      <c r="F35" s="28">
        <f>'Deal Returns'!F67</f>
        <v>46752</v>
      </c>
      <c r="G35" s="28">
        <f>'Deal Returns'!G67</f>
        <v>47118</v>
      </c>
      <c r="H35" s="28">
        <f>'Deal Returns'!H67</f>
        <v>47483</v>
      </c>
      <c r="I35" s="28">
        <f>'Deal Returns'!I67</f>
        <v>47848</v>
      </c>
      <c r="J35" s="28">
        <f>'Deal Returns'!J67</f>
        <v>48213</v>
      </c>
    </row>
    <row r="36">
      <c r="B36" t="s">
        <v>157</v>
      </c>
      <c r="D36" s="22">
        <f>'LBO Inputs'!E33</f>
        <v>941.761534246575</v>
      </c>
    </row>
    <row r="37">
      <c r="B37" t="s" s="3">
        <v>158</v>
      </c>
      <c r="C37" s="3"/>
      <c r="D37" s="26">
        <f>D38/D36</f>
        <v>0.3595744680851065</v>
      </c>
      <c r="E37" s="3"/>
      <c r="F37" s="3"/>
      <c r="G37" s="3"/>
      <c r="H37" s="3"/>
      <c r="I37" s="3"/>
      <c r="J37" s="3"/>
    </row>
    <row r="38">
      <c r="B38" t="s">
        <v>159</v>
      </c>
      <c r="D38" s="22">
        <f>'LBO Inputs'!E34</f>
        <v>338.633402739726</v>
      </c>
    </row>
    <row r="39">
      <c r="B39" t="s">
        <v>160</v>
      </c>
      <c r="D39" s="51">
        <f>'LBO Inputs'!$D$37</f>
        <v>24.75171931344359</v>
      </c>
    </row>
    <row r="41">
      <c r="B41" t="s">
        <v>161</v>
      </c>
      <c r="F41" s="22">
        <f>'LBO Inputs'!$D$10</f>
        <v>5737.031985790003</v>
      </c>
      <c r="G41" s="22">
        <f>'LBO Inputs'!$D$10</f>
        <v>5737.031985790003</v>
      </c>
      <c r="H41" s="22">
        <f>'LBO Inputs'!$D$10</f>
        <v>5737.031985790003</v>
      </c>
      <c r="I41" s="22">
        <f>'LBO Inputs'!$D$10</f>
        <v>5737.031985790003</v>
      </c>
      <c r="J41" s="22">
        <f>'LBO Inputs'!$D$10</f>
        <v>5737.031985790003</v>
      </c>
    </row>
    <row r="42">
      <c r="B42" t="s" s="9">
        <v>162</v>
      </c>
      <c r="F42" s="22">
        <f>$D$39*('Deal Returns'!F69-$D$36)*$D$37</f>
        <v>3192.201807072016</v>
      </c>
      <c r="G42" s="22">
        <f>$D$39*('Deal Returns'!G69-$D$36)*$D$37</f>
        <v>5269.808011115995</v>
      </c>
      <c r="H42" s="22">
        <f>$D$39*('Deal Returns'!H69-$D$36)*$D$37</f>
        <v>7730.83510260169</v>
      </c>
      <c r="I42" s="22">
        <f>$D$39*('Deal Returns'!I69-$D$36)*$D$37</f>
        <v>10308.850148581123</v>
      </c>
      <c r="J42" s="22">
        <f>$D$39*('Deal Returns'!J69-$D$36)*$D$37</f>
        <v>13299.347601917258</v>
      </c>
    </row>
    <row r="43">
      <c r="B43" t="s" s="9">
        <v>163</v>
      </c>
      <c r="F43" s="22">
        <f>$D$39*'Deal Returns'!F69*('Deal Returns'!F70-$D$37)</f>
        <v>1271.4567972433626</v>
      </c>
      <c r="G43" s="22">
        <f>$D$39*'Deal Returns'!G69*('Deal Returns'!G70-$D$37)</f>
        <v>2070.430582647081</v>
      </c>
      <c r="H43" s="22">
        <f>$D$39*'Deal Returns'!H69*('Deal Returns'!H70-$D$37)</f>
        <v>2808.3588242540914</v>
      </c>
      <c r="I43" s="22">
        <f>$D$39*'Deal Returns'!I69*('Deal Returns'!I70-$D$37)</f>
        <v>3504.765691428417</v>
      </c>
      <c r="J43" s="22">
        <f>$D$39*'Deal Returns'!J69*('Deal Returns'!J70-$D$37)</f>
        <v>4065.5282020569553</v>
      </c>
    </row>
    <row r="44">
      <c r="B44" t="s" s="9">
        <v>164</v>
      </c>
      <c r="F44" s="22">
        <f>('Deal Returns'!F72-$D$39)*'Deal Returns'!F71</f>
        <v>0</v>
      </c>
      <c r="G44" s="22">
        <f>('Deal Returns'!G72-$D$39)*'Deal Returns'!G71</f>
        <v>0</v>
      </c>
      <c r="H44" s="22">
        <f>('Deal Returns'!H72-$D$39)*'Deal Returns'!H71</f>
        <v>0</v>
      </c>
      <c r="I44" s="22">
        <f>('Deal Returns'!I72-$D$39)*'Deal Returns'!I71</f>
        <v>0</v>
      </c>
      <c r="J44" s="22">
        <f>('Deal Returns'!J72-$D$39)*'Deal Returns'!J71</f>
        <v>0</v>
      </c>
    </row>
    <row r="45">
      <c r="B45" t="s" s="9">
        <v>305</v>
      </c>
      <c r="F45" s="22">
        <f>'LBO Inputs'!$D$12+'Deal Returns'!F74</f>
        <v>-64.12481723470364</v>
      </c>
      <c r="G45" s="22">
        <f>'LBO Inputs'!$D$12+'Deal Returns'!G74</f>
        <v>128.34650886474174</v>
      </c>
      <c r="H45" s="22">
        <f>'LBO Inputs'!$D$12+'Deal Returns'!H74</f>
        <v>427.0770566611568</v>
      </c>
      <c r="I45" s="22">
        <f>'LBO Inputs'!$D$12+'Deal Returns'!I74</f>
        <v>848.4549779596571</v>
      </c>
      <c r="J45" s="22">
        <f>'LBO Inputs'!$D$12+'Deal Returns'!J74</f>
        <v>1430.9213423431324</v>
      </c>
    </row>
    <row r="46">
      <c r="B46" t="s" s="9">
        <v>306</v>
      </c>
      <c r="F46" s="22">
        <f>('LBO Inputs'!$D$7-'LBO Inputs'!$D$12)-'LBO Inputs'!$D$10</f>
        <v>19.72694897999645</v>
      </c>
      <c r="G46" s="22">
        <f>('LBO Inputs'!$D$7-'LBO Inputs'!$D$12)-'LBO Inputs'!$D$10</f>
        <v>19.72694897999645</v>
      </c>
      <c r="H46" s="22">
        <f>('LBO Inputs'!$D$7-'LBO Inputs'!$D$12)-'LBO Inputs'!$D$10</f>
        <v>19.72694897999645</v>
      </c>
      <c r="I46" s="22">
        <f>('LBO Inputs'!$D$7-'LBO Inputs'!$D$12)-'LBO Inputs'!$D$10</f>
        <v>19.72694897999645</v>
      </c>
      <c r="J46" s="22">
        <f>('LBO Inputs'!$D$7-'LBO Inputs'!$D$12)-'LBO Inputs'!$D$10</f>
        <v>19.72694897999645</v>
      </c>
    </row>
    <row r="47">
      <c r="B47" t="s" s="12">
        <v>167</v>
      </c>
      <c r="C47" s="10"/>
      <c r="D47" s="10"/>
      <c r="E47" s="10"/>
      <c r="F47" s="11">
        <f>SUM(F41:F46)</f>
        <v>10156.292721850674</v>
      </c>
      <c r="G47" s="11">
        <f>SUM(G41:G46)</f>
        <v>13225.344037397817</v>
      </c>
      <c r="H47" s="11">
        <f>SUM(H41:H46)</f>
        <v>16723.029918286935</v>
      </c>
      <c r="I47" s="11">
        <f>SUM(I41:I46)</f>
        <v>20418.8297527392</v>
      </c>
      <c r="J47" s="11">
        <f>SUM(J41:J46)</f>
        <v>24552.556081087343</v>
      </c>
    </row>
    <row r="48">
      <c r="B48" t="s">
        <v>168</v>
      </c>
      <c r="F48" s="22">
        <f>'Deal Returns'!F75</f>
        <v>10156.292721850674</v>
      </c>
      <c r="G48" s="22">
        <f>'Deal Returns'!G75</f>
        <v>13225.344037397816</v>
      </c>
      <c r="H48" s="22">
        <f>'Deal Returns'!H75</f>
        <v>16723.02991828694</v>
      </c>
      <c r="I48" s="22">
        <f>'Deal Returns'!I75</f>
        <v>20418.829752739195</v>
      </c>
      <c r="J48" s="22">
        <f>'Deal Returns'!J75</f>
        <v>24552.556081087343</v>
      </c>
    </row>
    <row r="49">
      <c r="B49" t="s">
        <v>131</v>
      </c>
      <c r="F49" s="4">
        <f>F47-F48</f>
        <v>0</v>
      </c>
      <c r="G49" s="4">
        <f>G47-G48</f>
        <v>0</v>
      </c>
      <c r="H49" s="4">
        <f>H47-H48</f>
        <v>0</v>
      </c>
      <c r="I49" s="4">
        <f>I47-I48</f>
        <v>0</v>
      </c>
      <c r="J49" s="4">
        <f>J47-J48</f>
        <v>0</v>
      </c>
    </row>
    <row r="50">
      <c r="B50" t="s" s="9">
        <v>140</v>
      </c>
      <c r="F50" s="22">
        <f>'Equity Funding'!F56</f>
        <v>-353.54085888485366</v>
      </c>
      <c r="G50" s="22">
        <f>'Equity Funding'!G56</f>
        <v>-599.064964128625</v>
      </c>
      <c r="H50" s="22">
        <f>'Equity Funding'!H56</f>
        <v>-878.8798345997549</v>
      </c>
      <c r="I50" s="22">
        <f>'Equity Funding'!I56</f>
        <v>-1174.5438213559353</v>
      </c>
      <c r="J50" s="22">
        <f>'Equity Funding'!J56</f>
        <v>-1505.2419276237872</v>
      </c>
    </row>
    <row r="51">
      <c r="B51" t="s" s="12">
        <v>141</v>
      </c>
      <c r="C51" s="10"/>
      <c r="D51" s="10"/>
      <c r="E51" s="10"/>
      <c r="F51" s="11">
        <f>F47+F50</f>
        <v>9802.75186296582</v>
      </c>
      <c r="G51" s="11">
        <f>G47+G50</f>
        <v>12626.279073269192</v>
      </c>
      <c r="H51" s="11">
        <f>H47+H50</f>
        <v>15844.15008368718</v>
      </c>
      <c r="I51" s="11">
        <f>I47+I50</f>
        <v>19244.285931383263</v>
      </c>
      <c r="J51" s="11">
        <f>J47+J50</f>
        <v>23047.314153463554</v>
      </c>
    </row>
    <row r="53">
      <c r="B53" t="s" s="15">
        <v>169</v>
      </c>
      <c r="C53" s="3"/>
      <c r="D53" s="3"/>
      <c r="E53" s="3"/>
      <c r="F53" s="3"/>
      <c r="G53" s="3"/>
      <c r="H53" s="3"/>
      <c r="I53" s="3"/>
      <c r="J53" s="3"/>
    </row>
    <row r="54">
      <c r="B54" t="s">
        <v>170</v>
      </c>
      <c r="F54" s="6">
        <f>F42/(F47-F41)</f>
        <v>0.7223384176054624</v>
      </c>
      <c r="G54" s="6">
        <f>G42/(G47-G41)</f>
        <v>0.7037377682443824</v>
      </c>
      <c r="H54" s="6">
        <f>H42/(H47-H41)</f>
        <v>0.7036989402422545</v>
      </c>
      <c r="I54" s="6">
        <f>I42/(I47-I41)</f>
        <v>0.702151760446381</v>
      </c>
      <c r="J54" s="6">
        <f>J42/(J47-J41)</f>
        <v>0.7068284430748986</v>
      </c>
    </row>
    <row r="55">
      <c r="B55" t="s">
        <v>171</v>
      </c>
      <c r="F55" s="6">
        <f>F43/(F47-F41)</f>
        <v>0.28770802927929057</v>
      </c>
      <c r="G55" s="6">
        <f>G43/(G47-G41)</f>
        <v>0.27648828846582846</v>
      </c>
      <c r="H55" s="6">
        <f>H43/(H47-H41)</f>
        <v>0.2556307439260367</v>
      </c>
      <c r="I55" s="6">
        <f>I43/(I47-I41)</f>
        <v>0.23871502298704458</v>
      </c>
      <c r="J55" s="6">
        <f>J43/(J47-J41)</f>
        <v>0.21607307781945195</v>
      </c>
    </row>
    <row r="56">
      <c r="B56" t="s">
        <v>172</v>
      </c>
      <c r="F56" s="6">
        <f>F44/(F47-F41)</f>
        <v>0</v>
      </c>
      <c r="G56" s="6">
        <f>G44/(G47-G41)</f>
        <v>0</v>
      </c>
      <c r="H56" s="6">
        <f>H44/(H47-H41)</f>
        <v>0</v>
      </c>
      <c r="I56" s="6">
        <f>I44/(I47-I41)</f>
        <v>0</v>
      </c>
      <c r="J56" s="6">
        <f>J44/(J47-J41)</f>
        <v>0</v>
      </c>
    </row>
    <row r="57">
      <c r="B57" t="s">
        <v>307</v>
      </c>
      <c r="F57" s="6">
        <f>F45/(F47-F41)</f>
        <v>-0.014510304112959968</v>
      </c>
      <c r="G57" s="6">
        <f>G45/(G47-G41)</f>
        <v>0.017139578049125834</v>
      </c>
      <c r="H57" s="6">
        <f>H45/(H47-H41)</f>
        <v>0.038874671130043566</v>
      </c>
      <c r="I57" s="6">
        <f>I45/(I47-I41)</f>
        <v>0.05778958349839482</v>
      </c>
      <c r="J57" s="6">
        <f>J45/(J47-J41)</f>
        <v>0.07605003905794842</v>
      </c>
    </row>
    <row r="58">
      <c r="B58" t="s">
        <v>308</v>
      </c>
      <c r="F58" s="6">
        <f>F46/(F47-F41)</f>
        <v>0.004463857228207144</v>
      </c>
      <c r="G58" s="6">
        <f>G46/(G47-G41)</f>
        <v>0.002634365240663399</v>
      </c>
      <c r="H58" s="6">
        <f>H46/(H47-H41)</f>
        <v>0.001795644701665518</v>
      </c>
      <c r="I58" s="6">
        <f>I46/(I47-I41)</f>
        <v>0.0013436330681794709</v>
      </c>
      <c r="J58" s="6">
        <f>J46/(J47-J41)</f>
        <v>0.001048440047701191</v>
      </c>
    </row>
    <row r="59">
      <c r="B59" t="s" s="12">
        <v>175</v>
      </c>
      <c r="C59" s="10"/>
      <c r="D59" s="10"/>
      <c r="E59" s="10"/>
      <c r="F59" s="34">
        <f>SUM(F54:F58)</f>
        <v>1.0000000000000002</v>
      </c>
      <c r="G59" s="34">
        <f>SUM(G54:G58)</f>
        <v>1</v>
      </c>
      <c r="H59" s="34">
        <f>SUM(H54:H58)</f>
        <v>1.0000000000000004</v>
      </c>
      <c r="I59" s="34">
        <f>SUM(I54:I58)</f>
        <v>0.9999999999999998</v>
      </c>
      <c r="J59" s="34">
        <f>SUM(J54:J58)</f>
        <v>1</v>
      </c>
    </row>
  </sheetData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0"/>
  <sheetViews>
    <sheetView showGridLines="0" workbookViewId="0">
      <selection activeCell="A1" sqref="A1"/>
    </sheetView>
  </sheetViews>
  <cols>
    <col min="1" max="1" width="2" customWidth="1"/>
    <col min="2" max="2" width="60" customWidth="1"/>
    <col min="3" max="10" width="11" customWidth="1"/>
    <col min="11" max="11" width="2" customWidth="1"/>
  </cols>
  <sheetData>
    <row r="2">
      <c r="B2" t="s" s="2">
        <v>177</v>
      </c>
    </row>
    <row r="3">
      <c r="B3" t="s" s="8">
        <v>178</v>
      </c>
    </row>
    <row r="5">
      <c r="B5" t="s" s="16">
        <v>179</v>
      </c>
      <c r="C5" s="16"/>
      <c r="D5" s="16"/>
      <c r="E5" s="16"/>
      <c r="F5" s="16"/>
      <c r="G5" s="16"/>
      <c r="H5" s="16"/>
      <c r="I5" s="16"/>
      <c r="J5" s="16"/>
    </row>
    <row r="6">
      <c r="B6" t="s">
        <v>180</v>
      </c>
      <c r="D6" s="31">
        <f>'LBO Inputs'!D10</f>
        <v>5737.031985790003</v>
      </c>
    </row>
    <row r="7">
      <c r="B7" t="s">
        <v>181</v>
      </c>
      <c r="D7" s="31">
        <f>D6/(1-Assumptions!D18*Assumptions!D19)</f>
        <v>6374.479984211114</v>
      </c>
    </row>
    <row r="8">
      <c r="B8" t="s">
        <v>182</v>
      </c>
      <c r="D8" s="23">
        <f>EDATE('LBO Inputs'!D6,12*Assumptions!D19)</f>
        <v>48024</v>
      </c>
    </row>
    <row r="9">
      <c r="B9" t="s">
        <v>183</v>
      </c>
      <c r="D9" s="31">
        <f>Assumptions!D18*D7</f>
        <v>127.48959968422228</v>
      </c>
    </row>
    <row r="11">
      <c r="B11" t="s">
        <v>184</v>
      </c>
      <c r="D11" s="36">
        <f>'LBO Inputs'!$D$6</f>
        <v>46198</v>
      </c>
      <c r="E11" s="36">
        <f>'LBO Inputs'!$E$19</f>
        <v>46387</v>
      </c>
      <c r="F11" s="36">
        <f>'LBO Inputs'!$F$19</f>
        <v>46752</v>
      </c>
      <c r="G11" s="36">
        <f>'LBO Inputs'!$G$19</f>
        <v>47118</v>
      </c>
      <c r="H11" s="36">
        <f>'LBO Inputs'!$H$19</f>
        <v>47483</v>
      </c>
      <c r="I11" s="36">
        <f>'LBO Inputs'!$I$19</f>
        <v>47848</v>
      </c>
      <c r="J11" s="36">
        <f>'LBO Inputs'!$J$19</f>
        <v>48213</v>
      </c>
    </row>
    <row r="12">
      <c r="B12" t="s">
        <v>185</v>
      </c>
      <c r="D12" s="35">
        <f>E11</f>
        <v>46387</v>
      </c>
      <c r="E12" s="35">
        <f>F11</f>
        <v>46752</v>
      </c>
      <c r="F12" s="35">
        <f>G11</f>
        <v>47118</v>
      </c>
      <c r="G12" s="35">
        <f>H11</f>
        <v>47483</v>
      </c>
      <c r="H12" s="35">
        <f>I11</f>
        <v>47848</v>
      </c>
      <c r="I12" s="35">
        <f>J11</f>
        <v>48213</v>
      </c>
      <c r="J12" s="35">
        <f>J11</f>
        <v>48213</v>
      </c>
    </row>
    <row r="13">
      <c r="B13" t="s">
        <v>186</v>
      </c>
      <c r="D13" s="4">
        <f>MAX(0,MIN(D12,$D$8)-MIN(D11,$D$8))</f>
        <v>189</v>
      </c>
      <c r="E13" s="4">
        <f>MAX(0,MIN(E12,$D$8)-MIN(E11,$D$8))</f>
        <v>365</v>
      </c>
      <c r="F13" s="4">
        <f>MAX(0,MIN(F12,$D$8)-MIN(F11,$D$8))</f>
        <v>366</v>
      </c>
      <c r="G13" s="4">
        <f>MAX(0,MIN(G12,$D$8)-MIN(G11,$D$8))</f>
        <v>365</v>
      </c>
      <c r="H13" s="4">
        <f>MAX(0,MIN(H12,$D$8)-MIN(H11,$D$8))</f>
        <v>365</v>
      </c>
      <c r="I13" s="4">
        <f>MAX(0,MIN(I12,$D$8)-MIN(I11,$D$8))</f>
        <v>176</v>
      </c>
      <c r="J13" s="4">
        <f>MAX(0,MIN(J12,$D$8)-MIN(J11,$D$8))</f>
        <v>0</v>
      </c>
    </row>
    <row r="14">
      <c r="B14" t="s">
        <v>187</v>
      </c>
      <c r="D14" s="4">
        <f>MAX(0,D12-MAX(D11,$D$8))</f>
        <v>0</v>
      </c>
      <c r="E14" s="4">
        <f>MAX(0,E12-MAX(E11,$D$8))</f>
        <v>0</v>
      </c>
      <c r="F14" s="4">
        <f>MAX(0,F12-MAX(F11,$D$8))</f>
        <v>0</v>
      </c>
      <c r="G14" s="4">
        <f>MAX(0,G12-MAX(G11,$D$8))</f>
        <v>0</v>
      </c>
      <c r="H14" s="4">
        <f>MAX(0,H12-MAX(H11,$D$8))</f>
        <v>0</v>
      </c>
      <c r="I14" s="4">
        <f>MAX(0,I12-MAX(I11,$D$8))</f>
        <v>189</v>
      </c>
      <c r="J14" s="4">
        <f>MAX(0,J12-MAX(J11,$D$8))</f>
        <v>0</v>
      </c>
    </row>
    <row r="15">
      <c r="B15" t="s">
        <v>188</v>
      </c>
      <c r="D15" s="31">
        <f>Assumptions!$D$18*$D$7*D13/Assumptions!$D$24</f>
        <v>66.01516257621373</v>
      </c>
      <c r="E15" s="31">
        <f>Assumptions!$D$18*$D$7*E13/Assumptions!$D$24</f>
        <v>127.48959968422228</v>
      </c>
      <c r="F15" s="31">
        <f>Assumptions!$D$18*$D$7*F13/Assumptions!$D$24</f>
        <v>127.8388862586996</v>
      </c>
      <c r="G15" s="31">
        <f>Assumptions!$D$18*$D$7*G13/Assumptions!$D$24</f>
        <v>127.48959968422228</v>
      </c>
      <c r="H15" s="31">
        <f>Assumptions!$D$18*$D$7*H13/Assumptions!$D$24</f>
        <v>127.48959968422228</v>
      </c>
      <c r="I15" s="31">
        <f>Assumptions!$D$18*$D$7*I13/Assumptions!$D$24</f>
        <v>61.47443710800856</v>
      </c>
      <c r="J15" s="31">
        <f>Assumptions!$D$18*$D$7*J13/Assumptions!$D$24</f>
        <v>0</v>
      </c>
    </row>
    <row r="16">
      <c r="B16" t="s">
        <v>189</v>
      </c>
      <c r="D16" s="31">
        <f>Assumptions!$D$20*$D$6*D14/Assumptions!$D$24</f>
        <v>0</v>
      </c>
      <c r="E16" s="31">
        <f>Assumptions!$D$20*$D$6*E14/Assumptions!$D$24</f>
        <v>0</v>
      </c>
      <c r="F16" s="31">
        <f>Assumptions!$D$20*$D$6*F14/Assumptions!$D$24</f>
        <v>0</v>
      </c>
      <c r="G16" s="31">
        <f>Assumptions!$D$20*$D$6*G14/Assumptions!$D$24</f>
        <v>0</v>
      </c>
      <c r="H16" s="31">
        <f>Assumptions!$D$20*$D$6*H14/Assumptions!$D$24</f>
        <v>0</v>
      </c>
      <c r="I16" s="31">
        <f>Assumptions!$D$20*$D$6*I14/Assumptions!$D$24</f>
        <v>59.41364631859236</v>
      </c>
      <c r="J16" s="31">
        <f>Assumptions!$D$20*$D$6*J14/Assumptions!$D$24</f>
        <v>0</v>
      </c>
    </row>
    <row r="17">
      <c r="B17" t="s" s="12">
        <v>190</v>
      </c>
      <c r="C17" s="10"/>
      <c r="D17" s="33">
        <f>D15+D16</f>
        <v>66.01516257621373</v>
      </c>
      <c r="E17" s="33">
        <f>E15+E16</f>
        <v>127.48959968422228</v>
      </c>
      <c r="F17" s="33">
        <f>F15+F16</f>
        <v>127.8388862586996</v>
      </c>
      <c r="G17" s="33">
        <f>G15+G16</f>
        <v>127.48959968422228</v>
      </c>
      <c r="H17" s="33">
        <f>H15+H16</f>
        <v>127.48959968422228</v>
      </c>
      <c r="I17" s="33">
        <f>I15+I16</f>
        <v>120.88808342660093</v>
      </c>
      <c r="J17" s="33">
        <f>J15+J16</f>
        <v>0</v>
      </c>
    </row>
    <row r="18">
      <c r="B18" t="s">
        <v>191</v>
      </c>
      <c r="D18" s="30">
        <f>SUM($D17:D17)</f>
        <v>66.01516257621373</v>
      </c>
      <c r="E18" s="30">
        <f>SUM($D17:E17)</f>
        <v>193.504762260436</v>
      </c>
      <c r="F18" s="30">
        <f>SUM($D17:F17)</f>
        <v>321.3436485191356</v>
      </c>
      <c r="G18" s="30">
        <f>SUM($D17:G17)</f>
        <v>448.8332482033579</v>
      </c>
      <c r="H18" s="30">
        <f>SUM($D17:H17)</f>
        <v>576.3228478875802</v>
      </c>
      <c r="I18" s="30">
        <f>SUM($D17:I17)</f>
        <v>697.2109313141812</v>
      </c>
      <c r="J18" s="30">
        <f>SUM($D17:J17)</f>
        <v>697.2109313141812</v>
      </c>
    </row>
    <row r="21">
      <c r="B21" t="s" s="16">
        <v>192</v>
      </c>
      <c r="C21" s="16"/>
      <c r="D21" s="16"/>
      <c r="E21" s="16"/>
      <c r="F21" s="16"/>
      <c r="G21" s="16"/>
      <c r="H21" s="16"/>
      <c r="I21" s="16"/>
      <c r="J21" s="16"/>
    </row>
    <row r="22">
      <c r="B22" t="s">
        <v>61</v>
      </c>
      <c r="F22" s="28">
        <f>'Deal Returns'!F6</f>
        <v>46752</v>
      </c>
      <c r="G22" s="28">
        <f>'Deal Returns'!G6</f>
        <v>47118</v>
      </c>
      <c r="H22" s="28">
        <f>'Deal Returns'!H6</f>
        <v>47483</v>
      </c>
      <c r="I22" s="28">
        <f>'Deal Returns'!I6</f>
        <v>47848</v>
      </c>
      <c r="J22" s="28">
        <f>'Deal Returns'!J6</f>
        <v>48213</v>
      </c>
    </row>
    <row r="23">
      <c r="B23" t="s">
        <v>180</v>
      </c>
      <c r="F23" s="4">
        <f>$D$6</f>
        <v>5737.031985790003</v>
      </c>
      <c r="G23" s="4">
        <f>$D$6</f>
        <v>5737.031985790003</v>
      </c>
      <c r="H23" s="4">
        <f>$D$6</f>
        <v>5737.031985790003</v>
      </c>
      <c r="I23" s="4">
        <f>$D$6</f>
        <v>5737.031985790003</v>
      </c>
      <c r="J23" s="4">
        <f>$D$6</f>
        <v>5737.031985790003</v>
      </c>
    </row>
    <row r="24">
      <c r="B24" t="s">
        <v>193</v>
      </c>
      <c r="F24" s="4">
        <f>SUMPRODUCT($D$17:$J$17*($D$11:$J$11&lt;F$22))</f>
        <v>193.504762260436</v>
      </c>
      <c r="G24" s="4">
        <f>SUMPRODUCT($D$17:$J$17*($D$11:$J$11&lt;G$22))</f>
        <v>321.3436485191356</v>
      </c>
      <c r="H24" s="4">
        <f>SUMPRODUCT($D$17:$J$17*($D$11:$J$11&lt;H$22))</f>
        <v>448.8332482033579</v>
      </c>
      <c r="I24" s="4">
        <f>SUMPRODUCT($D$17:$J$17*($D$11:$J$11&lt;I$22))</f>
        <v>576.3228478875802</v>
      </c>
      <c r="J24" s="4">
        <f>SUMPRODUCT($D$17:$J$17*($D$11:$J$11&lt;J$22))</f>
        <v>697.2109313141812</v>
      </c>
    </row>
    <row r="25">
      <c r="B25" t="s" s="12">
        <v>194</v>
      </c>
      <c r="C25" s="10"/>
      <c r="D25" s="10"/>
      <c r="E25" s="10"/>
      <c r="F25" s="11">
        <f>F23+F24</f>
        <v>5930.536748050439</v>
      </c>
      <c r="G25" s="11">
        <f>G23+G24</f>
        <v>6058.375634309139</v>
      </c>
      <c r="H25" s="11">
        <f>H23+H24</f>
        <v>6185.8652339933615</v>
      </c>
      <c r="I25" s="11">
        <f>I23+I24</f>
        <v>6313.354833677583</v>
      </c>
      <c r="J25" s="11">
        <f>J23+J24</f>
        <v>6434.242917104184</v>
      </c>
    </row>
    <row r="26">
      <c r="B26" t="s">
        <v>195</v>
      </c>
      <c r="F26" s="22">
        <f>$D$6*((1+Assumptions!$D$21)^((F$22-$D$11)/Assumptions!$D$24)-1)</f>
        <v>710.8654695411964</v>
      </c>
      <c r="G26" s="22">
        <f>$D$6*((1+Assumptions!$D$21)^((G$22-$D$11)/Assumptions!$D$24)-1)</f>
        <v>1228.1657381841183</v>
      </c>
      <c r="H26" s="22">
        <f>$D$6*((1+Assumptions!$D$21)^((H$22-$D$11)/Assumptions!$D$24)-1)</f>
        <v>1785.381556102048</v>
      </c>
      <c r="I26" s="22">
        <f>$D$6*((1+Assumptions!$D$21)^((I$22-$D$11)/Assumptions!$D$24)-1)</f>
        <v>2387.1746394534134</v>
      </c>
      <c r="J26" s="22">
        <f>$D$6*((1+Assumptions!$D$21)^((J$22-$D$11)/Assumptions!$D$24)-1)</f>
        <v>3037.1111694728866</v>
      </c>
    </row>
    <row r="27">
      <c r="B27" t="s">
        <v>196</v>
      </c>
      <c r="F27" s="22">
        <f>SUMPRODUCT($D$17:$J$17*((1+Assumptions!$D$21)^((F$22-$D$11:$J$11)/Assumptions!$D$24)-1)*($D$11:$J$11&lt;F$22))</f>
        <v>18.37898981603375</v>
      </c>
      <c r="G27" s="22">
        <f>SUMPRODUCT($D$17:$J$17*((1+Assumptions!$D$21)^((G$22-$D$11:$J$11)/Assumptions!$D$24)-1)*($D$11:$J$11&lt;G$22))</f>
        <v>45.63417079437923</v>
      </c>
      <c r="H27" s="22">
        <f>SUMPRODUCT($D$17:$J$17*((1+Assumptions!$D$21)^((H$22-$D$11:$J$11)/Assumptions!$D$24)-1)*($D$11:$J$11&lt;H$22))</f>
        <v>85.19156431419822</v>
      </c>
      <c r="I27" s="22">
        <f>SUMPRODUCT($D$17:$J$17*((1+Assumptions!$D$21)^((I$22-$D$11:$J$11)/Assumptions!$D$24)-1)*($D$11:$J$11&lt;I$22))</f>
        <v>138.11271729034053</v>
      </c>
      <c r="J27" s="22">
        <f>SUMPRODUCT($D$17:$J$17*((1+Assumptions!$D$21)^((J$22-$D$11:$J$11)/Assumptions!$D$24)-1)*($D$11:$J$11&lt;J$22))</f>
        <v>204.9386091787023</v>
      </c>
    </row>
    <row r="28">
      <c r="B28" t="s" s="12">
        <v>197</v>
      </c>
      <c r="C28" s="10"/>
      <c r="D28" s="10"/>
      <c r="E28" s="10"/>
      <c r="F28" s="11">
        <f>F26+F27</f>
        <v>729.2444593572301</v>
      </c>
      <c r="G28" s="11">
        <f>G26+G27</f>
        <v>1273.7999089784976</v>
      </c>
      <c r="H28" s="11">
        <f>H26+H27</f>
        <v>1870.5731204162462</v>
      </c>
      <c r="I28" s="11">
        <f>I26+I27</f>
        <v>2525.287356743754</v>
      </c>
      <c r="J28" s="11">
        <f>J26+J27</f>
        <v>3242.049778651589</v>
      </c>
    </row>
    <row r="30">
      <c r="B30" t="s" s="12">
        <v>198</v>
      </c>
      <c r="C30" s="10"/>
      <c r="D30" s="10"/>
      <c r="E30" s="10"/>
      <c r="F30" s="27">
        <f>'Equity Funding'!F30</f>
        <v>8386.184144695751</v>
      </c>
      <c r="G30" s="27">
        <f>'Equity Funding'!G30</f>
        <v>9890.803359409709</v>
      </c>
      <c r="H30" s="27">
        <f>'Equity Funding'!H30</f>
        <v>11386.45377700578</v>
      </c>
      <c r="I30" s="27">
        <f>'Equity Funding'!I30</f>
        <v>12986.763645051313</v>
      </c>
      <c r="J30" s="27">
        <f>'Equity Funding'!J30</f>
        <v>14671.230493024026</v>
      </c>
    </row>
    <row r="31">
      <c r="B31" t="s" s="15">
        <v>199</v>
      </c>
    </row>
    <row r="32">
      <c r="B32" t="s">
        <v>200</v>
      </c>
      <c r="F32" s="4">
        <f>MIN(F30,F25)</f>
        <v>5930.536748050439</v>
      </c>
      <c r="G32" s="4">
        <f>MIN(G30,G25)</f>
        <v>6058.375634309139</v>
      </c>
      <c r="H32" s="4">
        <f>MIN(H30,H25)</f>
        <v>6185.8652339933615</v>
      </c>
      <c r="I32" s="4">
        <f>MIN(I30,I25)</f>
        <v>6313.354833677583</v>
      </c>
      <c r="J32" s="4">
        <f>MIN(J30,J25)</f>
        <v>6434.242917104184</v>
      </c>
    </row>
    <row r="33">
      <c r="B33" t="s" s="9">
        <v>201</v>
      </c>
      <c r="F33" s="4">
        <f>F30-F32</f>
        <v>2455.6473966453123</v>
      </c>
      <c r="G33" s="4">
        <f>G30-G32</f>
        <v>3832.4277251005697</v>
      </c>
      <c r="H33" s="4">
        <f>H30-H32</f>
        <v>5200.588543012418</v>
      </c>
      <c r="I33" s="4">
        <f>I30-I32</f>
        <v>6673.40881137373</v>
      </c>
      <c r="J33" s="4">
        <f>J30-J32</f>
        <v>8236.987575919842</v>
      </c>
    </row>
    <row r="34">
      <c r="B34" t="s">
        <v>202</v>
      </c>
      <c r="F34" s="4">
        <f>MIN(F33,F28)</f>
        <v>729.2444593572301</v>
      </c>
      <c r="G34" s="4">
        <f>MIN(G33,G28)</f>
        <v>1273.7999089784976</v>
      </c>
      <c r="H34" s="4">
        <f>MIN(H33,H28)</f>
        <v>1870.5731204162462</v>
      </c>
      <c r="I34" s="4">
        <f>MIN(I33,I28)</f>
        <v>2525.287356743754</v>
      </c>
      <c r="J34" s="4">
        <f>MIN(J33,J28)</f>
        <v>3242.049778651589</v>
      </c>
    </row>
    <row r="35">
      <c r="B35" t="s" s="9">
        <v>201</v>
      </c>
      <c r="F35" s="4">
        <f>F33-F34</f>
        <v>1726.4029372880823</v>
      </c>
      <c r="G35" s="4">
        <f>G33-G34</f>
        <v>2558.627816122072</v>
      </c>
      <c r="H35" s="4">
        <f>H33-H34</f>
        <v>3330.015422596172</v>
      </c>
      <c r="I35" s="4">
        <f>I33-I34</f>
        <v>4148.121454629976</v>
      </c>
      <c r="J35" s="4">
        <f>J33-J34</f>
        <v>4994.937797268253</v>
      </c>
    </row>
    <row r="36">
      <c r="B36" t="s">
        <v>203</v>
      </c>
      <c r="F36" s="22">
        <f>MIN(F35,Assumptions!$D$23*F34/(Assumptions!$D$22-Assumptions!$D$23))</f>
        <v>182.31111483930752</v>
      </c>
      <c r="G36" s="22">
        <f>MIN(G35,Assumptions!$D$23*G34/(Assumptions!$D$22-Assumptions!$D$23))</f>
        <v>318.4499772446244</v>
      </c>
      <c r="H36" s="22">
        <f>MIN(H35,Assumptions!$D$23*H34/(Assumptions!$D$22-Assumptions!$D$23))</f>
        <v>467.6432801040616</v>
      </c>
      <c r="I36" s="22">
        <f>MIN(I35,Assumptions!$D$23*I34/(Assumptions!$D$22-Assumptions!$D$23))</f>
        <v>631.3218391859385</v>
      </c>
      <c r="J36" s="22">
        <f>MIN(J35,Assumptions!$D$23*J34/(Assumptions!$D$22-Assumptions!$D$23))</f>
        <v>810.5124446628972</v>
      </c>
    </row>
    <row r="37">
      <c r="B37" t="s" s="9">
        <v>204</v>
      </c>
      <c r="F37" s="22">
        <f>Assumptions!$D$22*F36</f>
        <v>182.31111483930752</v>
      </c>
      <c r="G37" s="22">
        <f>Assumptions!$D$22*G36</f>
        <v>318.4499772446244</v>
      </c>
      <c r="H37" s="22">
        <f>Assumptions!$D$22*H36</f>
        <v>467.6432801040616</v>
      </c>
      <c r="I37" s="22">
        <f>Assumptions!$D$22*I36</f>
        <v>631.3218391859385</v>
      </c>
      <c r="J37" s="22">
        <f>Assumptions!$D$22*J36</f>
        <v>810.5124446628972</v>
      </c>
    </row>
    <row r="38">
      <c r="B38" t="s" s="9">
        <v>201</v>
      </c>
      <c r="F38" s="4">
        <f>F35-F36</f>
        <v>1544.0918224487748</v>
      </c>
      <c r="G38" s="4">
        <f>G35-G36</f>
        <v>2240.177838877448</v>
      </c>
      <c r="H38" s="4">
        <f>H35-H36</f>
        <v>2862.3721424921105</v>
      </c>
      <c r="I38" s="4">
        <f>I35-I36</f>
        <v>3516.7996154440375</v>
      </c>
      <c r="J38" s="4">
        <f>J35-J36</f>
        <v>4184.425352605356</v>
      </c>
    </row>
    <row r="39">
      <c r="B39" t="s">
        <v>205</v>
      </c>
      <c r="F39" s="22">
        <f>(1-Assumptions!$D$23)*F38</f>
        <v>1235.2734579590199</v>
      </c>
      <c r="G39" s="22">
        <f>(1-Assumptions!$D$23)*G38</f>
        <v>1792.1422711019584</v>
      </c>
      <c r="H39" s="22">
        <f>(1-Assumptions!$D$23)*H38</f>
        <v>2289.8977139936883</v>
      </c>
      <c r="I39" s="22">
        <f>(1-Assumptions!$D$23)*I38</f>
        <v>2813.4396923552304</v>
      </c>
      <c r="J39" s="22">
        <f>(1-Assumptions!$D$23)*J38</f>
        <v>3347.540282084285</v>
      </c>
    </row>
    <row r="40">
      <c r="B40" t="s">
        <v>206</v>
      </c>
      <c r="F40" s="22">
        <f>Assumptions!$D$23*F38</f>
        <v>308.81836448975497</v>
      </c>
      <c r="G40" s="22">
        <f>Assumptions!$D$23*G38</f>
        <v>448.0355677754896</v>
      </c>
      <c r="H40" s="22">
        <f>Assumptions!$D$23*H38</f>
        <v>572.4744284984221</v>
      </c>
      <c r="I40" s="22">
        <f>Assumptions!$D$23*I38</f>
        <v>703.3599230888076</v>
      </c>
      <c r="J40" s="22">
        <f>Assumptions!$D$23*J38</f>
        <v>836.8850705210713</v>
      </c>
    </row>
    <row r="41">
      <c r="B41" t="s" s="12">
        <v>207</v>
      </c>
      <c r="C41" s="10"/>
      <c r="D41" s="10"/>
      <c r="E41" s="10"/>
      <c r="F41" s="11">
        <f>F32+F34+F36-F37+F39</f>
        <v>7895.054665366689</v>
      </c>
      <c r="G41" s="11">
        <f>G32+G34+G36-G37+G39</f>
        <v>9124.317814389595</v>
      </c>
      <c r="H41" s="11">
        <f>H32+H34+H36-H37+H39</f>
        <v>10346.336068403294</v>
      </c>
      <c r="I41" s="11">
        <f>I32+I34+I36-I37+I39</f>
        <v>11652.081882776567</v>
      </c>
      <c r="J41" s="11">
        <f>J32+J34+J36-J37+J39</f>
        <v>13023.832977840057</v>
      </c>
    </row>
    <row r="42">
      <c r="B42" t="s" s="12">
        <v>208</v>
      </c>
      <c r="C42" s="10"/>
      <c r="D42" s="10"/>
      <c r="E42" s="10"/>
      <c r="F42" s="11">
        <f>F37+F40</f>
        <v>491.1294793290625</v>
      </c>
      <c r="G42" s="11">
        <f>G37+G40</f>
        <v>766.4855450201139</v>
      </c>
      <c r="H42" s="11">
        <f>H37+H40</f>
        <v>1040.1177086024836</v>
      </c>
      <c r="I42" s="11">
        <f>I37+I40</f>
        <v>1334.6817622747462</v>
      </c>
      <c r="J42" s="11">
        <f>J37+J40</f>
        <v>1647.3975151839686</v>
      </c>
    </row>
    <row r="43">
      <c r="B43" t="s" s="3">
        <v>209</v>
      </c>
      <c r="C43" s="3"/>
      <c r="D43" s="3"/>
      <c r="E43" s="3"/>
      <c r="F43" s="26">
        <f>IF(F30&gt;F25,F42/(F30-F25),0)</f>
        <v>0.20000000000000004</v>
      </c>
      <c r="G43" s="26">
        <f>IF(G30&gt;G25,G42/(G30-G25),0)</f>
        <v>0.2</v>
      </c>
      <c r="H43" s="26">
        <f>IF(H30&gt;H25,H42/(H30-H25),0)</f>
        <v>0.2</v>
      </c>
      <c r="I43" s="26">
        <f>IF(I30&gt;I25,I42/(I30-I25),0)</f>
        <v>0.20000000000000004</v>
      </c>
      <c r="J43" s="26">
        <f>IF(J30&gt;J25,J42/(J30-J25),0)</f>
        <v>0.2</v>
      </c>
    </row>
    <row r="44">
      <c r="B44" t="s" s="1">
        <v>210</v>
      </c>
      <c r="C44" s="1"/>
      <c r="D44" s="1"/>
      <c r="E44" s="1"/>
      <c r="F44" s="13">
        <f>F41/F25</f>
        <v>1.3312546571711323</v>
      </c>
      <c r="G44" s="13">
        <f>G41/G25</f>
        <v>1.5060667025527013</v>
      </c>
      <c r="H44" s="13">
        <f>H41/H25</f>
        <v>1.672577024721906</v>
      </c>
      <c r="I44" s="13">
        <f>I41/I25</f>
        <v>1.8456244246910372</v>
      </c>
      <c r="J44" s="13">
        <f>J41/J25</f>
        <v>2.0241438107999823</v>
      </c>
    </row>
    <row r="45">
      <c r="B45" t="s" s="1">
        <v>211</v>
      </c>
      <c r="C45" s="1"/>
      <c r="D45" s="1"/>
      <c r="E45" s="1"/>
      <c r="F45" s="14">
        <f>XIRR(F83:F89,$C$83:$C$89)</f>
        <v>0.2090527713298798</v>
      </c>
      <c r="G45" s="14">
        <f>XIRR(G83:G89,$C$83:$C$89)</f>
        <v>0.17940716147422794</v>
      </c>
      <c r="H45" s="14">
        <f>XIRR(H83:H89,$C$83:$C$89)</f>
        <v>0.16136124730110174</v>
      </c>
      <c r="I45" s="14">
        <f>XIRR(I83:I89,$C$83:$C$89)</f>
        <v>0.15008512139320376</v>
      </c>
      <c r="J45" s="14">
        <f>XIRR(J83:J89,$C$83:$C$89)</f>
        <v>0.141773122549057</v>
      </c>
    </row>
    <row r="47">
      <c r="B47" t="s" s="15">
        <v>212</v>
      </c>
    </row>
    <row r="48">
      <c r="B48" t="s">
        <v>213</v>
      </c>
      <c r="F48" s="4">
        <f>MIN(F30,F23)</f>
        <v>5737.031985790003</v>
      </c>
      <c r="G48" s="4">
        <f>MIN(G30,G23)</f>
        <v>5737.031985790003</v>
      </c>
      <c r="H48" s="4">
        <f>MIN(H30,H23)</f>
        <v>5737.031985790003</v>
      </c>
      <c r="I48" s="4">
        <f>MIN(I30,I23)</f>
        <v>5737.031985790003</v>
      </c>
      <c r="J48" s="4">
        <f>MIN(J30,J23)</f>
        <v>5737.031985790003</v>
      </c>
    </row>
    <row r="49">
      <c r="B49" t="s" s="9">
        <v>201</v>
      </c>
      <c r="F49" s="4">
        <f>F30-F48</f>
        <v>2649.1521589057484</v>
      </c>
      <c r="G49" s="4">
        <f>G30-G48</f>
        <v>4153.771373619706</v>
      </c>
      <c r="H49" s="4">
        <f>H30-H48</f>
        <v>5649.4217912157765</v>
      </c>
      <c r="I49" s="4">
        <f>I30-I48</f>
        <v>7249.73165926131</v>
      </c>
      <c r="J49" s="4">
        <f>J30-J48</f>
        <v>8934.198507234023</v>
      </c>
    </row>
    <row r="50">
      <c r="B50" t="s">
        <v>214</v>
      </c>
      <c r="F50" s="4">
        <f>MIN(F49,F26)</f>
        <v>710.8654695411964</v>
      </c>
      <c r="G50" s="4">
        <f>MIN(G49,G26)</f>
        <v>1228.1657381841183</v>
      </c>
      <c r="H50" s="4">
        <f>MIN(H49,H26)</f>
        <v>1785.381556102048</v>
      </c>
      <c r="I50" s="4">
        <f>MIN(I49,I26)</f>
        <v>2387.1746394534134</v>
      </c>
      <c r="J50" s="4">
        <f>MIN(J49,J26)</f>
        <v>3037.1111694728866</v>
      </c>
    </row>
    <row r="51">
      <c r="B51" t="s" s="9">
        <v>201</v>
      </c>
      <c r="F51" s="4">
        <f>F49-F50</f>
        <v>1938.2866893645519</v>
      </c>
      <c r="G51" s="4">
        <f>G49-G50</f>
        <v>2925.6056354355874</v>
      </c>
      <c r="H51" s="4">
        <f>H49-H50</f>
        <v>3864.040235113728</v>
      </c>
      <c r="I51" s="4">
        <f>I49-I50</f>
        <v>4862.557019807897</v>
      </c>
      <c r="J51" s="4">
        <f>J49-J50</f>
        <v>5897.087337761137</v>
      </c>
    </row>
    <row r="52">
      <c r="B52" t="s">
        <v>203</v>
      </c>
      <c r="F52" s="22">
        <f>MIN(F51,Assumptions!$D$23*F50/(Assumptions!$D$22-Assumptions!$D$23))</f>
        <v>177.7163673852991</v>
      </c>
      <c r="G52" s="22">
        <f>MIN(G51,Assumptions!$D$23*G50/(Assumptions!$D$22-Assumptions!$D$23))</f>
        <v>307.04143454602956</v>
      </c>
      <c r="H52" s="22">
        <f>MIN(H51,Assumptions!$D$23*H50/(Assumptions!$D$22-Assumptions!$D$23))</f>
        <v>446.345389025512</v>
      </c>
      <c r="I52" s="22">
        <f>MIN(I51,Assumptions!$D$23*I50/(Assumptions!$D$22-Assumptions!$D$23))</f>
        <v>596.7936598633534</v>
      </c>
      <c r="J52" s="22">
        <f>MIN(J51,Assumptions!$D$23*J50/(Assumptions!$D$22-Assumptions!$D$23))</f>
        <v>759.2777923682215</v>
      </c>
    </row>
    <row r="53">
      <c r="B53" t="s" s="9">
        <v>204</v>
      </c>
      <c r="F53" s="22">
        <f>Assumptions!$D$22*F52</f>
        <v>177.7163673852991</v>
      </c>
      <c r="G53" s="22">
        <f>Assumptions!$D$22*G52</f>
        <v>307.04143454602956</v>
      </c>
      <c r="H53" s="22">
        <f>Assumptions!$D$22*H52</f>
        <v>446.345389025512</v>
      </c>
      <c r="I53" s="22">
        <f>Assumptions!$D$22*I52</f>
        <v>596.7936598633534</v>
      </c>
      <c r="J53" s="22">
        <f>Assumptions!$D$22*J52</f>
        <v>759.2777923682215</v>
      </c>
    </row>
    <row r="54">
      <c r="B54" t="s" s="9">
        <v>201</v>
      </c>
      <c r="F54" s="4">
        <f>F51-F52</f>
        <v>1760.5703219792529</v>
      </c>
      <c r="G54" s="4">
        <f>G51-G52</f>
        <v>2618.564200889558</v>
      </c>
      <c r="H54" s="4">
        <f>H51-H52</f>
        <v>3417.6948460882163</v>
      </c>
      <c r="I54" s="4">
        <f>I51-I52</f>
        <v>4265.7633599445435</v>
      </c>
      <c r="J54" s="4">
        <f>J51-J52</f>
        <v>5137.809545392915</v>
      </c>
    </row>
    <row r="55">
      <c r="B55" t="s">
        <v>205</v>
      </c>
      <c r="F55" s="22">
        <f>(1-Assumptions!$D$23)*F54</f>
        <v>1408.4562575834025</v>
      </c>
      <c r="G55" s="22">
        <f>(1-Assumptions!$D$23)*G54</f>
        <v>2094.8513607116465</v>
      </c>
      <c r="H55" s="22">
        <f>(1-Assumptions!$D$23)*H54</f>
        <v>2734.155876870573</v>
      </c>
      <c r="I55" s="22">
        <f>(1-Assumptions!$D$23)*I54</f>
        <v>3412.610687955635</v>
      </c>
      <c r="J55" s="22">
        <f>(1-Assumptions!$D$23)*J54</f>
        <v>4110.247636314332</v>
      </c>
    </row>
    <row r="56">
      <c r="B56" t="s">
        <v>206</v>
      </c>
      <c r="F56" s="22">
        <f>Assumptions!$D$23*F54</f>
        <v>352.1140643958506</v>
      </c>
      <c r="G56" s="22">
        <f>Assumptions!$D$23*G54</f>
        <v>523.7128401779116</v>
      </c>
      <c r="H56" s="22">
        <f>Assumptions!$D$23*H54</f>
        <v>683.5389692176433</v>
      </c>
      <c r="I56" s="22">
        <f>Assumptions!$D$23*I54</f>
        <v>853.1526719889088</v>
      </c>
      <c r="J56" s="22">
        <f>Assumptions!$D$23*J54</f>
        <v>1027.561909078583</v>
      </c>
    </row>
    <row r="57">
      <c r="B57" t="s" s="12">
        <v>215</v>
      </c>
      <c r="C57" s="10"/>
      <c r="D57" s="10"/>
      <c r="E57" s="10"/>
      <c r="F57" s="11">
        <f>F48+F50+F52-F53+F55</f>
        <v>7856.353712914602</v>
      </c>
      <c r="G57" s="11">
        <f>G48+G50+G52-G53+G55</f>
        <v>9060.049084685768</v>
      </c>
      <c r="H57" s="11">
        <f>H48+H50+H52-H53+H55</f>
        <v>10256.569418762625</v>
      </c>
      <c r="I57" s="11">
        <f>I48+I50+I52-I53+I55</f>
        <v>11536.817313199052</v>
      </c>
      <c r="J57" s="11">
        <f>J48+J50+J52-J53+J55</f>
        <v>12884.390791577222</v>
      </c>
    </row>
    <row r="58">
      <c r="B58" t="s" s="12">
        <v>216</v>
      </c>
      <c r="C58" s="10"/>
      <c r="D58" s="10"/>
      <c r="E58" s="10"/>
      <c r="F58" s="11">
        <f>F53+F56</f>
        <v>529.8304317811497</v>
      </c>
      <c r="G58" s="11">
        <f>G53+G56</f>
        <v>830.7542747239412</v>
      </c>
      <c r="H58" s="11">
        <f>H53+H56</f>
        <v>1129.8843582431552</v>
      </c>
      <c r="I58" s="11">
        <f>I53+I56</f>
        <v>1449.9463318522621</v>
      </c>
      <c r="J58" s="11">
        <f>J53+J56</f>
        <v>1786.8397014468046</v>
      </c>
    </row>
    <row r="59">
      <c r="B59" t="s" s="9">
        <v>217</v>
      </c>
      <c r="F59" s="4">
        <f>-MAX(0,F58-F42)</f>
        <v>-38.70095245208722</v>
      </c>
      <c r="G59" s="4">
        <f>-MAX(0,G58-G42)</f>
        <v>-64.26872970382726</v>
      </c>
      <c r="H59" s="4">
        <f>-MAX(0,H58-H42)</f>
        <v>-89.76664964067163</v>
      </c>
      <c r="I59" s="4">
        <f>-MAX(0,I58-I42)</f>
        <v>-115.26456957751589</v>
      </c>
      <c r="J59" s="4">
        <f>-MAX(0,J58-J42)</f>
        <v>-139.442186262836</v>
      </c>
    </row>
    <row r="60">
      <c r="B60" t="s" s="12">
        <v>218</v>
      </c>
      <c r="C60" s="10"/>
      <c r="D60" s="10"/>
      <c r="E60" s="10"/>
      <c r="F60" s="11">
        <f>F58+F59</f>
        <v>491.1294793290625</v>
      </c>
      <c r="G60" s="11">
        <f>G58+G59</f>
        <v>766.4855450201139</v>
      </c>
      <c r="H60" s="11">
        <f>H58+H59</f>
        <v>1040.1177086024836</v>
      </c>
      <c r="I60" s="11">
        <f>I58+I59</f>
        <v>1334.6817622747462</v>
      </c>
      <c r="J60" s="11">
        <f>J58+J59</f>
        <v>1647.3975151839686</v>
      </c>
    </row>
    <row r="61">
      <c r="B61" t="s" s="12">
        <v>219</v>
      </c>
      <c r="C61" s="10"/>
      <c r="D61" s="10"/>
      <c r="E61" s="10"/>
      <c r="F61" s="11">
        <f>F57-F59</f>
        <v>7895.054665366689</v>
      </c>
      <c r="G61" s="11">
        <f>G57-G59</f>
        <v>9124.317814389595</v>
      </c>
      <c r="H61" s="11">
        <f>H57-H59</f>
        <v>10346.336068403296</v>
      </c>
      <c r="I61" s="11">
        <f>I57-I59</f>
        <v>11652.081882776567</v>
      </c>
      <c r="J61" s="11">
        <f>J57-J59</f>
        <v>13023.832977840058</v>
      </c>
    </row>
    <row r="62">
      <c r="B62" t="s">
        <v>220</v>
      </c>
      <c r="F62" s="5">
        <f>F57/F25</f>
        <v>1.3247289489433214</v>
      </c>
      <c r="G62" s="5">
        <f>G57/G25</f>
        <v>1.4954584581018509</v>
      </c>
      <c r="H62" s="5">
        <f>H57/H25</f>
        <v>1.6580654493407658</v>
      </c>
      <c r="I62" s="5">
        <f>I57/I25</f>
        <v>1.8273671632802488</v>
      </c>
      <c r="J62" s="5">
        <f>J57/J25</f>
        <v>2.0024719236705493</v>
      </c>
    </row>
    <row r="63">
      <c r="B63" t="s">
        <v>221</v>
      </c>
      <c r="F63" s="6">
        <f>XIRR(F93:F99,$C$93:$C$99)</f>
        <v>0.20511855483055116</v>
      </c>
      <c r="G63" s="6">
        <f>XIRR(G93:G99,$C$93:$C$99)</f>
        <v>0.17605753540992738</v>
      </c>
      <c r="H63" s="6">
        <f>XIRR(H93:H99,$C$93:$C$99)</f>
        <v>0.15843073725700382</v>
      </c>
      <c r="I63" s="6">
        <f>XIRR(I93:I99,$C$93:$C$99)</f>
        <v>0.1474919974803925</v>
      </c>
      <c r="J63" s="6">
        <f>XIRR(J93:J99,$C$93:$C$99)</f>
        <v>0.1394804298877716</v>
      </c>
    </row>
    <row r="65">
      <c r="B65" t="s" s="15">
        <v>222</v>
      </c>
    </row>
    <row r="66">
      <c r="B66" t="s">
        <v>223</v>
      </c>
      <c r="F66" s="24">
        <f>'Deal Returns'!F26</f>
        <v>1.5019168837360741</v>
      </c>
      <c r="G66" s="24">
        <f>'Deal Returns'!G26</f>
        <v>1.7869868767600263</v>
      </c>
      <c r="H66" s="24">
        <f>'Deal Returns'!H26</f>
        <v>2.0703576126517906</v>
      </c>
      <c r="I66" s="24">
        <f>'Deal Returns'!I26</f>
        <v>2.3735574644539152</v>
      </c>
      <c r="J66" s="24">
        <f>'Deal Returns'!J26</f>
        <v>2.692701968195979</v>
      </c>
    </row>
    <row r="67">
      <c r="B67" t="s">
        <v>224</v>
      </c>
      <c r="F67" s="25">
        <f>'Deal Returns'!F25</f>
        <v>0.3073209702968598</v>
      </c>
      <c r="G67" s="25">
        <f>'Deal Returns'!G25</f>
        <v>0.25900197625160215</v>
      </c>
      <c r="H67" s="25">
        <f>'Deal Returns'!H25</f>
        <v>0.22962204813957215</v>
      </c>
      <c r="I67" s="25">
        <f>'Deal Returns'!I25</f>
        <v>0.21071793437004088</v>
      </c>
      <c r="J67" s="25">
        <f>'Deal Returns'!J25</f>
        <v>0.19653367400169372</v>
      </c>
    </row>
    <row r="68">
      <c r="B68" t="s">
        <v>225</v>
      </c>
      <c r="F68" s="24">
        <f>'Equity Funding'!F33</f>
        <v>1.4617635330371883</v>
      </c>
      <c r="G68" s="24">
        <f>'Equity Funding'!G33</f>
        <v>1.724027926619224</v>
      </c>
      <c r="H68" s="24">
        <f>'Equity Funding'!H33</f>
        <v>1.9847290036396472</v>
      </c>
      <c r="I68" s="24">
        <f>'Equity Funding'!I33</f>
        <v>2.2636728672976023</v>
      </c>
      <c r="J68" s="24">
        <f>'Equity Funding'!J33</f>
        <v>2.557285810740301</v>
      </c>
    </row>
    <row r="69">
      <c r="B69" t="s">
        <v>226</v>
      </c>
      <c r="F69" s="25">
        <f>'Equity Funding'!F35</f>
        <v>0.2841874778270722</v>
      </c>
      <c r="G69" s="25">
        <f>'Equity Funding'!G35</f>
        <v>0.24121318459510807</v>
      </c>
      <c r="H69" s="25">
        <f>'Equity Funding'!H35</f>
        <v>0.2149573862552643</v>
      </c>
      <c r="I69" s="25">
        <f>'Equity Funding'!I35</f>
        <v>0.19808900952339176</v>
      </c>
      <c r="J69" s="25">
        <f>'Equity Funding'!J35</f>
        <v>0.18540218472480777</v>
      </c>
    </row>
    <row r="70">
      <c r="B70" t="s">
        <v>227</v>
      </c>
      <c r="F70" s="6">
        <f>XIRR(F103:F109,$C$103:$C$109)</f>
        <v>0.2584260404109955</v>
      </c>
      <c r="G70" s="6">
        <f>XIRR(G103:G109,$C$103:$C$109)</f>
        <v>0.21830155253410344</v>
      </c>
      <c r="H70" s="6">
        <f>XIRR(H103:H109,$C$103:$C$109)</f>
        <v>0.19405018687248232</v>
      </c>
      <c r="I70" s="6">
        <f>XIRR(I103:I109,$C$103:$C$109)</f>
        <v>0.17873141169548043</v>
      </c>
      <c r="J70" s="6">
        <f>XIRR(J103:J109,$C$103:$C$109)</f>
        <v>0.16742394566535954</v>
      </c>
    </row>
    <row r="71">
      <c r="B71" t="s">
        <v>210</v>
      </c>
      <c r="F71" s="5">
        <f>F44</f>
        <v>1.3312546571711323</v>
      </c>
      <c r="G71" s="5">
        <f>G44</f>
        <v>1.5060667025527013</v>
      </c>
      <c r="H71" s="5">
        <f>H44</f>
        <v>1.672577024721906</v>
      </c>
      <c r="I71" s="5">
        <f>I44</f>
        <v>1.8456244246910372</v>
      </c>
      <c r="J71" s="5">
        <f>J44</f>
        <v>2.0241438107999823</v>
      </c>
    </row>
    <row r="72">
      <c r="B72" t="s">
        <v>211</v>
      </c>
      <c r="F72" s="6">
        <f>F45</f>
        <v>0.2090527713298798</v>
      </c>
      <c r="G72" s="6">
        <f>G45</f>
        <v>0.17940716147422794</v>
      </c>
      <c r="H72" s="6">
        <f>H45</f>
        <v>0.16136124730110174</v>
      </c>
      <c r="I72" s="6">
        <f>I45</f>
        <v>0.15008512139320376</v>
      </c>
      <c r="J72" s="6">
        <f>J45</f>
        <v>0.141773122549057</v>
      </c>
    </row>
    <row r="73">
      <c r="B73" t="s">
        <v>228</v>
      </c>
      <c r="F73" s="5">
        <f>F62</f>
        <v>1.3247289489433214</v>
      </c>
      <c r="G73" s="5">
        <f>G62</f>
        <v>1.4954584581018509</v>
      </c>
      <c r="H73" s="5">
        <f>H62</f>
        <v>1.6580654493407658</v>
      </c>
      <c r="I73" s="5">
        <f>I62</f>
        <v>1.8273671632802488</v>
      </c>
      <c r="J73" s="5">
        <f>J62</f>
        <v>2.0024719236705493</v>
      </c>
    </row>
    <row r="74">
      <c r="B74" t="s">
        <v>229</v>
      </c>
      <c r="F74" s="6">
        <f>F63</f>
        <v>0.20511855483055116</v>
      </c>
      <c r="G74" s="6">
        <f>G63</f>
        <v>0.17605753540992738</v>
      </c>
      <c r="H74" s="6">
        <f>H63</f>
        <v>0.15843073725700382</v>
      </c>
      <c r="I74" s="6">
        <f>I63</f>
        <v>0.1474919974803925</v>
      </c>
      <c r="J74" s="6">
        <f>J63</f>
        <v>0.1394804298877716</v>
      </c>
    </row>
    <row r="75">
      <c r="B75" t="s">
        <v>230</v>
      </c>
      <c r="F75" s="4">
        <f>(F67-F72)*10000</f>
        <v>982.6819896697999</v>
      </c>
      <c r="G75" s="4">
        <f>(G67-G72)*10000</f>
        <v>795.9481477737421</v>
      </c>
      <c r="H75" s="4">
        <f>(H67-H72)*10000</f>
        <v>682.6080083847041</v>
      </c>
      <c r="I75" s="4">
        <f>(I67-I72)*10000</f>
        <v>606.3281297683712</v>
      </c>
      <c r="J75" s="4">
        <f>(J67-J72)*10000</f>
        <v>547.6055145263672</v>
      </c>
    </row>
    <row r="76">
      <c r="B76" t="s" s="9">
        <v>231</v>
      </c>
      <c r="F76" s="4">
        <f>(F67-F69)*10000</f>
        <v>231.33492469787575</v>
      </c>
      <c r="G76" s="4">
        <f>(G67-G69)*10000</f>
        <v>177.8879165649408</v>
      </c>
      <c r="H76" s="4">
        <f>(H67-H69)*10000</f>
        <v>146.64661884307844</v>
      </c>
      <c r="I76" s="4">
        <f>(I67-I69)*10000</f>
        <v>126.28924846649126</v>
      </c>
      <c r="J76" s="4">
        <f>(J67-J69)*10000</f>
        <v>111.31489276885954</v>
      </c>
    </row>
    <row r="77">
      <c r="B77" t="s" s="9">
        <v>232</v>
      </c>
      <c r="F77" s="4">
        <f>(F69-F70)*10000</f>
        <v>257.6143741607673</v>
      </c>
      <c r="G77" s="4">
        <f>(G69-G70)*10000</f>
        <v>229.11632061004633</v>
      </c>
      <c r="H77" s="4">
        <f>(H69-H70)*10000</f>
        <v>209.07199382781988</v>
      </c>
      <c r="I77" s="4">
        <f>(I69-I70)*10000</f>
        <v>193.57597827911326</v>
      </c>
      <c r="J77" s="4">
        <f>(J69-J70)*10000</f>
        <v>179.7823905944823</v>
      </c>
    </row>
    <row r="78">
      <c r="B78" t="s" s="9">
        <v>233</v>
      </c>
      <c r="F78" s="4">
        <f>(F70-F72)*10000</f>
        <v>493.73269081115694</v>
      </c>
      <c r="G78" s="4">
        <f>(G70-G72)*10000</f>
        <v>388.94391059875494</v>
      </c>
      <c r="H78" s="4">
        <f>(H70-H72)*10000</f>
        <v>326.8893957138058</v>
      </c>
      <c r="I78" s="4">
        <f>(I70-I72)*10000</f>
        <v>286.4629030227667</v>
      </c>
      <c r="J78" s="4">
        <f>(J70-J72)*10000</f>
        <v>256.5082311630254</v>
      </c>
    </row>
    <row r="79">
      <c r="B79" t="s">
        <v>234</v>
      </c>
      <c r="F79" s="5">
        <f>F66-F71</f>
        <v>0.1706622265649418</v>
      </c>
      <c r="G79" s="5">
        <f>G66-G71</f>
        <v>0.28092017420732507</v>
      </c>
      <c r="H79" s="5">
        <f>H66-H71</f>
        <v>0.3977805879298846</v>
      </c>
      <c r="I79" s="5">
        <f>I66-I71</f>
        <v>0.5279330397628781</v>
      </c>
      <c r="J79" s="5">
        <f>J66-J71</f>
        <v>0.6685581573959967</v>
      </c>
    </row>
    <row r="81">
      <c r="B81" t="s" s="15">
        <v>235</v>
      </c>
    </row>
    <row r="82">
      <c r="C82" t="s" s="18">
        <v>71</v>
      </c>
      <c r="D82" t="s" s="18">
        <v>236</v>
      </c>
      <c r="E82" s="18"/>
      <c r="F82" s="17">
        <f>F$22</f>
        <v>46752</v>
      </c>
      <c r="G82" s="17">
        <f>G$22</f>
        <v>47118</v>
      </c>
      <c r="H82" s="17">
        <f>H$22</f>
        <v>47483</v>
      </c>
      <c r="I82" s="17">
        <f>I$22</f>
        <v>47848</v>
      </c>
      <c r="J82" s="17">
        <f>J$22</f>
        <v>48213</v>
      </c>
    </row>
    <row r="83">
      <c r="B83" t="s" s="9">
        <v>237</v>
      </c>
      <c r="C83" s="35">
        <f>D$11</f>
        <v>46198</v>
      </c>
      <c r="D83" s="30">
        <f>D$17</f>
        <v>66.01516257621373</v>
      </c>
      <c r="F83" s="4">
        <f>IF($C83=$D$11,-$D$6,0)-IF($C83&lt;F$22,$D83,0)+IF($C83=F$22,F$41,0)</f>
        <v>-5803.047148366217</v>
      </c>
      <c r="G83" s="4">
        <f>IF($C83=$D$11,-$D$6,0)-IF($C83&lt;G$22,$D83,0)+IF($C83=G$22,G$41,0)</f>
        <v>-5803.047148366217</v>
      </c>
      <c r="H83" s="4">
        <f>IF($C83=$D$11,-$D$6,0)-IF($C83&lt;H$22,$D83,0)+IF($C83=H$22,H$41,0)</f>
        <v>-5803.047148366217</v>
      </c>
      <c r="I83" s="4">
        <f>IF($C83=$D$11,-$D$6,0)-IF($C83&lt;I$22,$D83,0)+IF($C83=I$22,I$41,0)</f>
        <v>-5803.047148366217</v>
      </c>
      <c r="J83" s="4">
        <f>IF($C83=$D$11,-$D$6,0)-IF($C83&lt;J$22,$D83,0)+IF($C83=J$22,J$41,0)</f>
        <v>-5803.047148366217</v>
      </c>
    </row>
    <row r="84">
      <c r="B84" t="s" s="9">
        <v>238</v>
      </c>
      <c r="C84" s="35">
        <f>E$11</f>
        <v>46387</v>
      </c>
      <c r="D84" s="30">
        <f>E$17</f>
        <v>127.48959968422228</v>
      </c>
      <c r="F84" s="4">
        <f>IF($C84=$D$11,-$D$6,0)-IF($C84&lt;F$22,$D84,0)+IF($C84=F$22,F$41,0)</f>
        <v>-127.48959968422228</v>
      </c>
      <c r="G84" s="4">
        <f>IF($C84=$D$11,-$D$6,0)-IF($C84&lt;G$22,$D84,0)+IF($C84=G$22,G$41,0)</f>
        <v>-127.48959968422228</v>
      </c>
      <c r="H84" s="4">
        <f>IF($C84=$D$11,-$D$6,0)-IF($C84&lt;H$22,$D84,0)+IF($C84=H$22,H$41,0)</f>
        <v>-127.48959968422228</v>
      </c>
      <c r="I84" s="4">
        <f>IF($C84=$D$11,-$D$6,0)-IF($C84&lt;I$22,$D84,0)+IF($C84=I$22,I$41,0)</f>
        <v>-127.48959968422228</v>
      </c>
      <c r="J84" s="4">
        <f>IF($C84=$D$11,-$D$6,0)-IF($C84&lt;J$22,$D84,0)+IF($C84=J$22,J$41,0)</f>
        <v>-127.48959968422228</v>
      </c>
    </row>
    <row r="85">
      <c r="B85" t="s" s="9">
        <v>238</v>
      </c>
      <c r="C85" s="35">
        <f>F$11</f>
        <v>46752</v>
      </c>
      <c r="D85" s="30">
        <f>F$17</f>
        <v>127.8388862586996</v>
      </c>
      <c r="F85" s="4">
        <f>IF($C85=$D$11,-$D$6,0)-IF($C85&lt;F$22,$D85,0)+IF($C85=F$22,F$41,0)</f>
        <v>7895.054665366689</v>
      </c>
      <c r="G85" s="4">
        <f>IF($C85=$D$11,-$D$6,0)-IF($C85&lt;G$22,$D85,0)+IF($C85=G$22,G$41,0)</f>
        <v>-127.8388862586996</v>
      </c>
      <c r="H85" s="4">
        <f>IF($C85=$D$11,-$D$6,0)-IF($C85&lt;H$22,$D85,0)+IF($C85=H$22,H$41,0)</f>
        <v>-127.8388862586996</v>
      </c>
      <c r="I85" s="4">
        <f>IF($C85=$D$11,-$D$6,0)-IF($C85&lt;I$22,$D85,0)+IF($C85=I$22,I$41,0)</f>
        <v>-127.8388862586996</v>
      </c>
      <c r="J85" s="4">
        <f>IF($C85=$D$11,-$D$6,0)-IF($C85&lt;J$22,$D85,0)+IF($C85=J$22,J$41,0)</f>
        <v>-127.8388862586996</v>
      </c>
    </row>
    <row r="86">
      <c r="B86" t="s" s="9">
        <v>238</v>
      </c>
      <c r="C86" s="35">
        <f>G$11</f>
        <v>47118</v>
      </c>
      <c r="D86" s="30">
        <f>G$17</f>
        <v>127.48959968422228</v>
      </c>
      <c r="F86" s="4">
        <f>IF($C86=$D$11,-$D$6,0)-IF($C86&lt;F$22,$D86,0)+IF($C86=F$22,F$41,0)</f>
        <v>0</v>
      </c>
      <c r="G86" s="4">
        <f>IF($C86=$D$11,-$D$6,0)-IF($C86&lt;G$22,$D86,0)+IF($C86=G$22,G$41,0)</f>
        <v>9124.317814389595</v>
      </c>
      <c r="H86" s="4">
        <f>IF($C86=$D$11,-$D$6,0)-IF($C86&lt;H$22,$D86,0)+IF($C86=H$22,H$41,0)</f>
        <v>-127.48959968422228</v>
      </c>
      <c r="I86" s="4">
        <f>IF($C86=$D$11,-$D$6,0)-IF($C86&lt;I$22,$D86,0)+IF($C86=I$22,I$41,0)</f>
        <v>-127.48959968422228</v>
      </c>
      <c r="J86" s="4">
        <f>IF($C86=$D$11,-$D$6,0)-IF($C86&lt;J$22,$D86,0)+IF($C86=J$22,J$41,0)</f>
        <v>-127.48959968422228</v>
      </c>
    </row>
    <row r="87">
      <c r="B87" t="s" s="9">
        <v>238</v>
      </c>
      <c r="C87" s="35">
        <f>H$11</f>
        <v>47483</v>
      </c>
      <c r="D87" s="30">
        <f>H$17</f>
        <v>127.48959968422228</v>
      </c>
      <c r="F87" s="4">
        <f>IF($C87=$D$11,-$D$6,0)-IF($C87&lt;F$22,$D87,0)+IF($C87=F$22,F$41,0)</f>
        <v>0</v>
      </c>
      <c r="G87" s="4">
        <f>IF($C87=$D$11,-$D$6,0)-IF($C87&lt;G$22,$D87,0)+IF($C87=G$22,G$41,0)</f>
        <v>0</v>
      </c>
      <c r="H87" s="4">
        <f>IF($C87=$D$11,-$D$6,0)-IF($C87&lt;H$22,$D87,0)+IF($C87=H$22,H$41,0)</f>
        <v>10346.336068403294</v>
      </c>
      <c r="I87" s="4">
        <f>IF($C87=$D$11,-$D$6,0)-IF($C87&lt;I$22,$D87,0)+IF($C87=I$22,I$41,0)</f>
        <v>-127.48959968422228</v>
      </c>
      <c r="J87" s="4">
        <f>IF($C87=$D$11,-$D$6,0)-IF($C87&lt;J$22,$D87,0)+IF($C87=J$22,J$41,0)</f>
        <v>-127.48959968422228</v>
      </c>
    </row>
    <row r="88">
      <c r="B88" t="s" s="9">
        <v>238</v>
      </c>
      <c r="C88" s="35">
        <f>I$11</f>
        <v>47848</v>
      </c>
      <c r="D88" s="30">
        <f>I$17</f>
        <v>120.88808342660093</v>
      </c>
      <c r="F88" s="4">
        <f>IF($C88=$D$11,-$D$6,0)-IF($C88&lt;F$22,$D88,0)+IF($C88=F$22,F$41,0)</f>
        <v>0</v>
      </c>
      <c r="G88" s="4">
        <f>IF($C88=$D$11,-$D$6,0)-IF($C88&lt;G$22,$D88,0)+IF($C88=G$22,G$41,0)</f>
        <v>0</v>
      </c>
      <c r="H88" s="4">
        <f>IF($C88=$D$11,-$D$6,0)-IF($C88&lt;H$22,$D88,0)+IF($C88=H$22,H$41,0)</f>
        <v>0</v>
      </c>
      <c r="I88" s="4">
        <f>IF($C88=$D$11,-$D$6,0)-IF($C88&lt;I$22,$D88,0)+IF($C88=I$22,I$41,0)</f>
        <v>11652.081882776567</v>
      </c>
      <c r="J88" s="4">
        <f>IF($C88=$D$11,-$D$6,0)-IF($C88&lt;J$22,$D88,0)+IF($C88=J$22,J$41,0)</f>
        <v>-120.88808342660093</v>
      </c>
    </row>
    <row r="89">
      <c r="B89" t="s" s="9">
        <v>238</v>
      </c>
      <c r="C89" s="35">
        <f>J$11</f>
        <v>48213</v>
      </c>
      <c r="D89" s="30">
        <f>J$17</f>
        <v>0</v>
      </c>
      <c r="F89" s="4">
        <f>IF($C89=$D$11,-$D$6,0)-IF($C89&lt;F$22,$D89,0)+IF($C89=F$22,F$41,0)</f>
        <v>0</v>
      </c>
      <c r="G89" s="4">
        <f>IF($C89=$D$11,-$D$6,0)-IF($C89&lt;G$22,$D89,0)+IF($C89=G$22,G$41,0)</f>
        <v>0</v>
      </c>
      <c r="H89" s="4">
        <f>IF($C89=$D$11,-$D$6,0)-IF($C89&lt;H$22,$D89,0)+IF($C89=H$22,H$41,0)</f>
        <v>0</v>
      </c>
      <c r="I89" s="4">
        <f>IF($C89=$D$11,-$D$6,0)-IF($C89&lt;I$22,$D89,0)+IF($C89=I$22,I$41,0)</f>
        <v>0</v>
      </c>
      <c r="J89" s="4">
        <f>IF($C89=$D$11,-$D$6,0)-IF($C89&lt;J$22,$D89,0)+IF($C89=J$22,J$41,0)</f>
        <v>13023.832977840057</v>
      </c>
    </row>
    <row r="91">
      <c r="B91" t="s" s="15">
        <v>239</v>
      </c>
    </row>
    <row r="92">
      <c r="C92" t="s" s="18">
        <v>71</v>
      </c>
      <c r="D92" t="s" s="18">
        <v>236</v>
      </c>
      <c r="E92" s="18"/>
      <c r="F92" s="17">
        <f>F$22</f>
        <v>46752</v>
      </c>
      <c r="G92" s="17">
        <f>G$22</f>
        <v>47118</v>
      </c>
      <c r="H92" s="17">
        <f>H$22</f>
        <v>47483</v>
      </c>
      <c r="I92" s="17">
        <f>I$22</f>
        <v>47848</v>
      </c>
      <c r="J92" s="17">
        <f>J$22</f>
        <v>48213</v>
      </c>
    </row>
    <row r="93">
      <c r="B93" t="s" s="9">
        <v>237</v>
      </c>
      <c r="C93" s="35">
        <f>D$11</f>
        <v>46198</v>
      </c>
      <c r="D93" s="30">
        <f>D$17</f>
        <v>66.01516257621373</v>
      </c>
      <c r="F93" s="4">
        <f>IF($C93=$D$11,-$D$6,0)-IF($C93&lt;F$22,$D93,0)+IF($C93=F$22,F$57,0)</f>
        <v>-5803.047148366217</v>
      </c>
      <c r="G93" s="4">
        <f>IF($C93=$D$11,-$D$6,0)-IF($C93&lt;G$22,$D93,0)+IF($C93=G$22,G$57,0)</f>
        <v>-5803.047148366217</v>
      </c>
      <c r="H93" s="4">
        <f>IF($C93=$D$11,-$D$6,0)-IF($C93&lt;H$22,$D93,0)+IF($C93=H$22,H$57,0)</f>
        <v>-5803.047148366217</v>
      </c>
      <c r="I93" s="4">
        <f>IF($C93=$D$11,-$D$6,0)-IF($C93&lt;I$22,$D93,0)+IF($C93=I$22,I$57,0)</f>
        <v>-5803.047148366217</v>
      </c>
      <c r="J93" s="4">
        <f>IF($C93=$D$11,-$D$6,0)-IF($C93&lt;J$22,$D93,0)+IF($C93=J$22,J$57,0)</f>
        <v>-5803.047148366217</v>
      </c>
    </row>
    <row r="94">
      <c r="B94" t="s" s="9">
        <v>238</v>
      </c>
      <c r="C94" s="35">
        <f>E$11</f>
        <v>46387</v>
      </c>
      <c r="D94" s="30">
        <f>E$17</f>
        <v>127.48959968422228</v>
      </c>
      <c r="F94" s="4">
        <f>IF($C94=$D$11,-$D$6,0)-IF($C94&lt;F$22,$D94,0)+IF($C94=F$22,F$57,0)</f>
        <v>-127.48959968422228</v>
      </c>
      <c r="G94" s="4">
        <f>IF($C94=$D$11,-$D$6,0)-IF($C94&lt;G$22,$D94,0)+IF($C94=G$22,G$57,0)</f>
        <v>-127.48959968422228</v>
      </c>
      <c r="H94" s="4">
        <f>IF($C94=$D$11,-$D$6,0)-IF($C94&lt;H$22,$D94,0)+IF($C94=H$22,H$57,0)</f>
        <v>-127.48959968422228</v>
      </c>
      <c r="I94" s="4">
        <f>IF($C94=$D$11,-$D$6,0)-IF($C94&lt;I$22,$D94,0)+IF($C94=I$22,I$57,0)</f>
        <v>-127.48959968422228</v>
      </c>
      <c r="J94" s="4">
        <f>IF($C94=$D$11,-$D$6,0)-IF($C94&lt;J$22,$D94,0)+IF($C94=J$22,J$57,0)</f>
        <v>-127.48959968422228</v>
      </c>
    </row>
    <row r="95">
      <c r="B95" t="s" s="9">
        <v>238</v>
      </c>
      <c r="C95" s="35">
        <f>F$11</f>
        <v>46752</v>
      </c>
      <c r="D95" s="30">
        <f>F$17</f>
        <v>127.8388862586996</v>
      </c>
      <c r="F95" s="4">
        <f>IF($C95=$D$11,-$D$6,0)-IF($C95&lt;F$22,$D95,0)+IF($C95=F$22,F$57,0)</f>
        <v>7856.353712914602</v>
      </c>
      <c r="G95" s="4">
        <f>IF($C95=$D$11,-$D$6,0)-IF($C95&lt;G$22,$D95,0)+IF($C95=G$22,G$57,0)</f>
        <v>-127.8388862586996</v>
      </c>
      <c r="H95" s="4">
        <f>IF($C95=$D$11,-$D$6,0)-IF($C95&lt;H$22,$D95,0)+IF($C95=H$22,H$57,0)</f>
        <v>-127.8388862586996</v>
      </c>
      <c r="I95" s="4">
        <f>IF($C95=$D$11,-$D$6,0)-IF($C95&lt;I$22,$D95,0)+IF($C95=I$22,I$57,0)</f>
        <v>-127.8388862586996</v>
      </c>
      <c r="J95" s="4">
        <f>IF($C95=$D$11,-$D$6,0)-IF($C95&lt;J$22,$D95,0)+IF($C95=J$22,J$57,0)</f>
        <v>-127.8388862586996</v>
      </c>
    </row>
    <row r="96">
      <c r="B96" t="s" s="9">
        <v>238</v>
      </c>
      <c r="C96" s="35">
        <f>G$11</f>
        <v>47118</v>
      </c>
      <c r="D96" s="30">
        <f>G$17</f>
        <v>127.48959968422228</v>
      </c>
      <c r="F96" s="4">
        <f>IF($C96=$D$11,-$D$6,0)-IF($C96&lt;F$22,$D96,0)+IF($C96=F$22,F$57,0)</f>
        <v>0</v>
      </c>
      <c r="G96" s="4">
        <f>IF($C96=$D$11,-$D$6,0)-IF($C96&lt;G$22,$D96,0)+IF($C96=G$22,G$57,0)</f>
        <v>9060.049084685768</v>
      </c>
      <c r="H96" s="4">
        <f>IF($C96=$D$11,-$D$6,0)-IF($C96&lt;H$22,$D96,0)+IF($C96=H$22,H$57,0)</f>
        <v>-127.48959968422228</v>
      </c>
      <c r="I96" s="4">
        <f>IF($C96=$D$11,-$D$6,0)-IF($C96&lt;I$22,$D96,0)+IF($C96=I$22,I$57,0)</f>
        <v>-127.48959968422228</v>
      </c>
      <c r="J96" s="4">
        <f>IF($C96=$D$11,-$D$6,0)-IF($C96&lt;J$22,$D96,0)+IF($C96=J$22,J$57,0)</f>
        <v>-127.48959968422228</v>
      </c>
    </row>
    <row r="97">
      <c r="B97" t="s" s="9">
        <v>238</v>
      </c>
      <c r="C97" s="35">
        <f>H$11</f>
        <v>47483</v>
      </c>
      <c r="D97" s="30">
        <f>H$17</f>
        <v>127.48959968422228</v>
      </c>
      <c r="F97" s="4">
        <f>IF($C97=$D$11,-$D$6,0)-IF($C97&lt;F$22,$D97,0)+IF($C97=F$22,F$57,0)</f>
        <v>0</v>
      </c>
      <c r="G97" s="4">
        <f>IF($C97=$D$11,-$D$6,0)-IF($C97&lt;G$22,$D97,0)+IF($C97=G$22,G$57,0)</f>
        <v>0</v>
      </c>
      <c r="H97" s="4">
        <f>IF($C97=$D$11,-$D$6,0)-IF($C97&lt;H$22,$D97,0)+IF($C97=H$22,H$57,0)</f>
        <v>10256.569418762625</v>
      </c>
      <c r="I97" s="4">
        <f>IF($C97=$D$11,-$D$6,0)-IF($C97&lt;I$22,$D97,0)+IF($C97=I$22,I$57,0)</f>
        <v>-127.48959968422228</v>
      </c>
      <c r="J97" s="4">
        <f>IF($C97=$D$11,-$D$6,0)-IF($C97&lt;J$22,$D97,0)+IF($C97=J$22,J$57,0)</f>
        <v>-127.48959968422228</v>
      </c>
    </row>
    <row r="98">
      <c r="B98" t="s" s="9">
        <v>238</v>
      </c>
      <c r="C98" s="35">
        <f>I$11</f>
        <v>47848</v>
      </c>
      <c r="D98" s="30">
        <f>I$17</f>
        <v>120.88808342660093</v>
      </c>
      <c r="F98" s="4">
        <f>IF($C98=$D$11,-$D$6,0)-IF($C98&lt;F$22,$D98,0)+IF($C98=F$22,F$57,0)</f>
        <v>0</v>
      </c>
      <c r="G98" s="4">
        <f>IF($C98=$D$11,-$D$6,0)-IF($C98&lt;G$22,$D98,0)+IF($C98=G$22,G$57,0)</f>
        <v>0</v>
      </c>
      <c r="H98" s="4">
        <f>IF($C98=$D$11,-$D$6,0)-IF($C98&lt;H$22,$D98,0)+IF($C98=H$22,H$57,0)</f>
        <v>0</v>
      </c>
      <c r="I98" s="4">
        <f>IF($C98=$D$11,-$D$6,0)-IF($C98&lt;I$22,$D98,0)+IF($C98=I$22,I$57,0)</f>
        <v>11536.817313199052</v>
      </c>
      <c r="J98" s="4">
        <f>IF($C98=$D$11,-$D$6,0)-IF($C98&lt;J$22,$D98,0)+IF($C98=J$22,J$57,0)</f>
        <v>-120.88808342660093</v>
      </c>
    </row>
    <row r="99">
      <c r="B99" t="s" s="9">
        <v>238</v>
      </c>
      <c r="C99" s="35">
        <f>J$11</f>
        <v>48213</v>
      </c>
      <c r="D99" s="30">
        <f>J$17</f>
        <v>0</v>
      </c>
      <c r="F99" s="4">
        <f>IF($C99=$D$11,-$D$6,0)-IF($C99&lt;F$22,$D99,0)+IF($C99=F$22,F$57,0)</f>
        <v>0</v>
      </c>
      <c r="G99" s="4">
        <f>IF($C99=$D$11,-$D$6,0)-IF($C99&lt;G$22,$D99,0)+IF($C99=G$22,G$57,0)</f>
        <v>0</v>
      </c>
      <c r="H99" s="4">
        <f>IF($C99=$D$11,-$D$6,0)-IF($C99&lt;H$22,$D99,0)+IF($C99=H$22,H$57,0)</f>
        <v>0</v>
      </c>
      <c r="I99" s="4">
        <f>IF($C99=$D$11,-$D$6,0)-IF($C99&lt;I$22,$D99,0)+IF($C99=I$22,I$57,0)</f>
        <v>0</v>
      </c>
      <c r="J99" s="4">
        <f>IF($C99=$D$11,-$D$6,0)-IF($C99&lt;J$22,$D99,0)+IF($C99=J$22,J$57,0)</f>
        <v>12884.390791577222</v>
      </c>
    </row>
    <row r="101">
      <c r="B101" t="s" s="15">
        <v>240</v>
      </c>
    </row>
    <row r="102">
      <c r="C102" t="s" s="18">
        <v>71</v>
      </c>
      <c r="D102" t="s" s="18">
        <v>236</v>
      </c>
      <c r="E102" s="18"/>
      <c r="F102" s="17">
        <f>F$22</f>
        <v>46752</v>
      </c>
      <c r="G102" s="17">
        <f>G$22</f>
        <v>47118</v>
      </c>
      <c r="H102" s="17">
        <f>H$22</f>
        <v>47483</v>
      </c>
      <c r="I102" s="17">
        <f>I$22</f>
        <v>47848</v>
      </c>
      <c r="J102" s="17">
        <f>J$22</f>
        <v>48213</v>
      </c>
    </row>
    <row r="103">
      <c r="B103" t="s" s="9">
        <v>237</v>
      </c>
      <c r="C103" s="35">
        <f>D$11</f>
        <v>46198</v>
      </c>
      <c r="D103" s="30">
        <f>D$17</f>
        <v>66.01516257621373</v>
      </c>
      <c r="F103" s="4">
        <f>IF($C103=$D$11,-$D$6,0)-IF($C103&lt;F$22,$D103,0)+IF($C103=F$22,F$30,0)</f>
        <v>-5803.047148366217</v>
      </c>
      <c r="G103" s="4">
        <f>IF($C103=$D$11,-$D$6,0)-IF($C103&lt;G$22,$D103,0)+IF($C103=G$22,G$30,0)</f>
        <v>-5803.047148366217</v>
      </c>
      <c r="H103" s="4">
        <f>IF($C103=$D$11,-$D$6,0)-IF($C103&lt;H$22,$D103,0)+IF($C103=H$22,H$30,0)</f>
        <v>-5803.047148366217</v>
      </c>
      <c r="I103" s="4">
        <f>IF($C103=$D$11,-$D$6,0)-IF($C103&lt;I$22,$D103,0)+IF($C103=I$22,I$30,0)</f>
        <v>-5803.047148366217</v>
      </c>
      <c r="J103" s="4">
        <f>IF($C103=$D$11,-$D$6,0)-IF($C103&lt;J$22,$D103,0)+IF($C103=J$22,J$30,0)</f>
        <v>-5803.047148366217</v>
      </c>
    </row>
    <row r="104">
      <c r="B104" t="s" s="9">
        <v>238</v>
      </c>
      <c r="C104" s="35">
        <f>E$11</f>
        <v>46387</v>
      </c>
      <c r="D104" s="30">
        <f>E$17</f>
        <v>127.48959968422228</v>
      </c>
      <c r="F104" s="4">
        <f>IF($C104=$D$11,-$D$6,0)-IF($C104&lt;F$22,$D104,0)+IF($C104=F$22,F$30,0)</f>
        <v>-127.48959968422228</v>
      </c>
      <c r="G104" s="4">
        <f>IF($C104=$D$11,-$D$6,0)-IF($C104&lt;G$22,$D104,0)+IF($C104=G$22,G$30,0)</f>
        <v>-127.48959968422228</v>
      </c>
      <c r="H104" s="4">
        <f>IF($C104=$D$11,-$D$6,0)-IF($C104&lt;H$22,$D104,0)+IF($C104=H$22,H$30,0)</f>
        <v>-127.48959968422228</v>
      </c>
      <c r="I104" s="4">
        <f>IF($C104=$D$11,-$D$6,0)-IF($C104&lt;I$22,$D104,0)+IF($C104=I$22,I$30,0)</f>
        <v>-127.48959968422228</v>
      </c>
      <c r="J104" s="4">
        <f>IF($C104=$D$11,-$D$6,0)-IF($C104&lt;J$22,$D104,0)+IF($C104=J$22,J$30,0)</f>
        <v>-127.48959968422228</v>
      </c>
    </row>
    <row r="105">
      <c r="B105" t="s" s="9">
        <v>238</v>
      </c>
      <c r="C105" s="35">
        <f>F$11</f>
        <v>46752</v>
      </c>
      <c r="D105" s="30">
        <f>F$17</f>
        <v>127.8388862586996</v>
      </c>
      <c r="F105" s="4">
        <f>IF($C105=$D$11,-$D$6,0)-IF($C105&lt;F$22,$D105,0)+IF($C105=F$22,F$30,0)</f>
        <v>8386.184144695751</v>
      </c>
      <c r="G105" s="4">
        <f>IF($C105=$D$11,-$D$6,0)-IF($C105&lt;G$22,$D105,0)+IF($C105=G$22,G$30,0)</f>
        <v>-127.8388862586996</v>
      </c>
      <c r="H105" s="4">
        <f>IF($C105=$D$11,-$D$6,0)-IF($C105&lt;H$22,$D105,0)+IF($C105=H$22,H$30,0)</f>
        <v>-127.8388862586996</v>
      </c>
      <c r="I105" s="4">
        <f>IF($C105=$D$11,-$D$6,0)-IF($C105&lt;I$22,$D105,0)+IF($C105=I$22,I$30,0)</f>
        <v>-127.8388862586996</v>
      </c>
      <c r="J105" s="4">
        <f>IF($C105=$D$11,-$D$6,0)-IF($C105&lt;J$22,$D105,0)+IF($C105=J$22,J$30,0)</f>
        <v>-127.8388862586996</v>
      </c>
    </row>
    <row r="106">
      <c r="B106" t="s" s="9">
        <v>238</v>
      </c>
      <c r="C106" s="35">
        <f>G$11</f>
        <v>47118</v>
      </c>
      <c r="D106" s="30">
        <f>G$17</f>
        <v>127.48959968422228</v>
      </c>
      <c r="F106" s="4">
        <f>IF($C106=$D$11,-$D$6,0)-IF($C106&lt;F$22,$D106,0)+IF($C106=F$22,F$30,0)</f>
        <v>0</v>
      </c>
      <c r="G106" s="4">
        <f>IF($C106=$D$11,-$D$6,0)-IF($C106&lt;G$22,$D106,0)+IF($C106=G$22,G$30,0)</f>
        <v>9890.803359409709</v>
      </c>
      <c r="H106" s="4">
        <f>IF($C106=$D$11,-$D$6,0)-IF($C106&lt;H$22,$D106,0)+IF($C106=H$22,H$30,0)</f>
        <v>-127.48959968422228</v>
      </c>
      <c r="I106" s="4">
        <f>IF($C106=$D$11,-$D$6,0)-IF($C106&lt;I$22,$D106,0)+IF($C106=I$22,I$30,0)</f>
        <v>-127.48959968422228</v>
      </c>
      <c r="J106" s="4">
        <f>IF($C106=$D$11,-$D$6,0)-IF($C106&lt;J$22,$D106,0)+IF($C106=J$22,J$30,0)</f>
        <v>-127.48959968422228</v>
      </c>
    </row>
    <row r="107">
      <c r="B107" t="s" s="9">
        <v>238</v>
      </c>
      <c r="C107" s="35">
        <f>H$11</f>
        <v>47483</v>
      </c>
      <c r="D107" s="30">
        <f>H$17</f>
        <v>127.48959968422228</v>
      </c>
      <c r="F107" s="4">
        <f>IF($C107=$D$11,-$D$6,0)-IF($C107&lt;F$22,$D107,0)+IF($C107=F$22,F$30,0)</f>
        <v>0</v>
      </c>
      <c r="G107" s="4">
        <f>IF($C107=$D$11,-$D$6,0)-IF($C107&lt;G$22,$D107,0)+IF($C107=G$22,G$30,0)</f>
        <v>0</v>
      </c>
      <c r="H107" s="4">
        <f>IF($C107=$D$11,-$D$6,0)-IF($C107&lt;H$22,$D107,0)+IF($C107=H$22,H$30,0)</f>
        <v>11386.45377700578</v>
      </c>
      <c r="I107" s="4">
        <f>IF($C107=$D$11,-$D$6,0)-IF($C107&lt;I$22,$D107,0)+IF($C107=I$22,I$30,0)</f>
        <v>-127.48959968422228</v>
      </c>
      <c r="J107" s="4">
        <f>IF($C107=$D$11,-$D$6,0)-IF($C107&lt;J$22,$D107,0)+IF($C107=J$22,J$30,0)</f>
        <v>-127.48959968422228</v>
      </c>
    </row>
    <row r="108">
      <c r="B108" t="s" s="9">
        <v>238</v>
      </c>
      <c r="C108" s="35">
        <f>I$11</f>
        <v>47848</v>
      </c>
      <c r="D108" s="30">
        <f>I$17</f>
        <v>120.88808342660093</v>
      </c>
      <c r="F108" s="4">
        <f>IF($C108=$D$11,-$D$6,0)-IF($C108&lt;F$22,$D108,0)+IF($C108=F$22,F$30,0)</f>
        <v>0</v>
      </c>
      <c r="G108" s="4">
        <f>IF($C108=$D$11,-$D$6,0)-IF($C108&lt;G$22,$D108,0)+IF($C108=G$22,G$30,0)</f>
        <v>0</v>
      </c>
      <c r="H108" s="4">
        <f>IF($C108=$D$11,-$D$6,0)-IF($C108&lt;H$22,$D108,0)+IF($C108=H$22,H$30,0)</f>
        <v>0</v>
      </c>
      <c r="I108" s="4">
        <f>IF($C108=$D$11,-$D$6,0)-IF($C108&lt;I$22,$D108,0)+IF($C108=I$22,I$30,0)</f>
        <v>12986.763645051313</v>
      </c>
      <c r="J108" s="4">
        <f>IF($C108=$D$11,-$D$6,0)-IF($C108&lt;J$22,$D108,0)+IF($C108=J$22,J$30,0)</f>
        <v>-120.88808342660093</v>
      </c>
    </row>
    <row r="109">
      <c r="B109" t="s" s="9">
        <v>238</v>
      </c>
      <c r="C109" s="35">
        <f>J$11</f>
        <v>48213</v>
      </c>
      <c r="D109" s="30">
        <f>J$17</f>
        <v>0</v>
      </c>
      <c r="F109" s="4">
        <f>IF($C109=$D$11,-$D$6,0)-IF($C109&lt;F$22,$D109,0)+IF($C109=F$22,F$30,0)</f>
        <v>0</v>
      </c>
      <c r="G109" s="4">
        <f>IF($C109=$D$11,-$D$6,0)-IF($C109&lt;G$22,$D109,0)+IF($C109=G$22,G$30,0)</f>
        <v>0</v>
      </c>
      <c r="H109" s="4">
        <f>IF($C109=$D$11,-$D$6,0)-IF($C109&lt;H$22,$D109,0)+IF($C109=H$22,H$30,0)</f>
        <v>0</v>
      </c>
      <c r="I109" s="4">
        <f>IF($C109=$D$11,-$D$6,0)-IF($C109&lt;I$22,$D109,0)+IF($C109=I$22,I$30,0)</f>
        <v>0</v>
      </c>
      <c r="J109" s="4">
        <f>IF($C109=$D$11,-$D$6,0)-IF($C109&lt;J$22,$D109,0)+IF($C109=J$22,J$30,0)</f>
        <v>14671.230493024026</v>
      </c>
    </row>
    <row r="112">
      <c r="B112" t="s" s="16">
        <v>241</v>
      </c>
      <c r="C112" s="16"/>
      <c r="D112" s="16"/>
      <c r="E112" s="16"/>
      <c r="F112" s="16"/>
      <c r="G112" s="16"/>
      <c r="H112" s="16"/>
      <c r="I112" s="16"/>
      <c r="J112" s="16"/>
    </row>
    <row r="113">
      <c r="B113" t="s">
        <v>61</v>
      </c>
      <c r="F113" s="28">
        <f>'Deal Returns'!F67</f>
        <v>46752</v>
      </c>
      <c r="G113" s="28">
        <f>'Deal Returns'!G67</f>
        <v>47118</v>
      </c>
      <c r="H113" s="28">
        <f>'Deal Returns'!H67</f>
        <v>47483</v>
      </c>
      <c r="I113" s="28">
        <f>'Deal Returns'!I67</f>
        <v>47848</v>
      </c>
      <c r="J113" s="28">
        <f>'Deal Returns'!J67</f>
        <v>48213</v>
      </c>
    </row>
    <row r="114">
      <c r="B114" t="s">
        <v>180</v>
      </c>
      <c r="F114" s="4">
        <f>$D$6</f>
        <v>5737.031985790003</v>
      </c>
      <c r="G114" s="4">
        <f>$D$6</f>
        <v>5737.031985790003</v>
      </c>
      <c r="H114" s="4">
        <f>$D$6</f>
        <v>5737.031985790003</v>
      </c>
      <c r="I114" s="4">
        <f>$D$6</f>
        <v>5737.031985790003</v>
      </c>
      <c r="J114" s="4">
        <f>$D$6</f>
        <v>5737.031985790003</v>
      </c>
    </row>
    <row r="115">
      <c r="B115" t="s">
        <v>193</v>
      </c>
      <c r="F115" s="4">
        <f>SUMPRODUCT($D$17:$J$17*($D$11:$J$11&lt;F$113))</f>
        <v>193.504762260436</v>
      </c>
      <c r="G115" s="4">
        <f>SUMPRODUCT($D$17:$J$17*($D$11:$J$11&lt;G$113))</f>
        <v>321.3436485191356</v>
      </c>
      <c r="H115" s="4">
        <f>SUMPRODUCT($D$17:$J$17*($D$11:$J$11&lt;H$113))</f>
        <v>448.8332482033579</v>
      </c>
      <c r="I115" s="4">
        <f>SUMPRODUCT($D$17:$J$17*($D$11:$J$11&lt;I$113))</f>
        <v>576.3228478875802</v>
      </c>
      <c r="J115" s="4">
        <f>SUMPRODUCT($D$17:$J$17*($D$11:$J$11&lt;J$113))</f>
        <v>697.2109313141812</v>
      </c>
    </row>
    <row r="116">
      <c r="B116" t="s" s="12">
        <v>194</v>
      </c>
      <c r="C116" s="10"/>
      <c r="D116" s="10"/>
      <c r="E116" s="10"/>
      <c r="F116" s="11">
        <f>F114+F115</f>
        <v>5930.536748050439</v>
      </c>
      <c r="G116" s="11">
        <f>G114+G115</f>
        <v>6058.375634309139</v>
      </c>
      <c r="H116" s="11">
        <f>H114+H115</f>
        <v>6185.8652339933615</v>
      </c>
      <c r="I116" s="11">
        <f>I114+I115</f>
        <v>6313.354833677583</v>
      </c>
      <c r="J116" s="11">
        <f>J114+J115</f>
        <v>6434.242917104184</v>
      </c>
    </row>
    <row r="117">
      <c r="B117" t="s">
        <v>195</v>
      </c>
      <c r="F117" s="22">
        <f>$D$6*((1+Assumptions!$D$21)^((F$113-$D$11)/Assumptions!$D$24)-1)</f>
        <v>710.8654695411964</v>
      </c>
      <c r="G117" s="22">
        <f>$D$6*((1+Assumptions!$D$21)^((G$113-$D$11)/Assumptions!$D$24)-1)</f>
        <v>1228.1657381841183</v>
      </c>
      <c r="H117" s="22">
        <f>$D$6*((1+Assumptions!$D$21)^((H$113-$D$11)/Assumptions!$D$24)-1)</f>
        <v>1785.381556102048</v>
      </c>
      <c r="I117" s="22">
        <f>$D$6*((1+Assumptions!$D$21)^((I$113-$D$11)/Assumptions!$D$24)-1)</f>
        <v>2387.1746394534134</v>
      </c>
      <c r="J117" s="22">
        <f>$D$6*((1+Assumptions!$D$21)^((J$113-$D$11)/Assumptions!$D$24)-1)</f>
        <v>3037.1111694728866</v>
      </c>
    </row>
    <row r="118">
      <c r="B118" t="s">
        <v>196</v>
      </c>
      <c r="F118" s="22">
        <f>SUMPRODUCT($D$17:$J$17*((1+Assumptions!$D$21)^((F$113-$D$11:$J$11)/Assumptions!$D$24)-1)*($D$11:$J$11&lt;F$113))</f>
        <v>18.37898981603375</v>
      </c>
      <c r="G118" s="22">
        <f>SUMPRODUCT($D$17:$J$17*((1+Assumptions!$D$21)^((G$113-$D$11:$J$11)/Assumptions!$D$24)-1)*($D$11:$J$11&lt;G$113))</f>
        <v>45.63417079437923</v>
      </c>
      <c r="H118" s="22">
        <f>SUMPRODUCT($D$17:$J$17*((1+Assumptions!$D$21)^((H$113-$D$11:$J$11)/Assumptions!$D$24)-1)*($D$11:$J$11&lt;H$113))</f>
        <v>85.19156431419822</v>
      </c>
      <c r="I118" s="22">
        <f>SUMPRODUCT($D$17:$J$17*((1+Assumptions!$D$21)^((I$113-$D$11:$J$11)/Assumptions!$D$24)-1)*($D$11:$J$11&lt;I$113))</f>
        <v>138.11271729034053</v>
      </c>
      <c r="J118" s="22">
        <f>SUMPRODUCT($D$17:$J$17*((1+Assumptions!$D$21)^((J$113-$D$11:$J$11)/Assumptions!$D$24)-1)*($D$11:$J$11&lt;J$113))</f>
        <v>204.9386091787023</v>
      </c>
    </row>
    <row r="119">
      <c r="B119" t="s" s="12">
        <v>197</v>
      </c>
      <c r="C119" s="10"/>
      <c r="D119" s="10"/>
      <c r="E119" s="10"/>
      <c r="F119" s="11">
        <f>F117+F118</f>
        <v>729.2444593572301</v>
      </c>
      <c r="G119" s="11">
        <f>G117+G118</f>
        <v>1273.7999089784976</v>
      </c>
      <c r="H119" s="11">
        <f>H117+H118</f>
        <v>1870.5731204162462</v>
      </c>
      <c r="I119" s="11">
        <f>I117+I118</f>
        <v>2525.287356743754</v>
      </c>
      <c r="J119" s="11">
        <f>J117+J118</f>
        <v>3242.049778651589</v>
      </c>
    </row>
    <row r="121">
      <c r="B121" t="s" s="12">
        <v>198</v>
      </c>
      <c r="C121" s="10"/>
      <c r="D121" s="10"/>
      <c r="E121" s="10"/>
      <c r="F121" s="27">
        <f>'Equity Funding'!F57</f>
        <v>9802.75186296582</v>
      </c>
      <c r="G121" s="27">
        <f>'Equity Funding'!G57</f>
        <v>12626.27907326919</v>
      </c>
      <c r="H121" s="27">
        <f>'Equity Funding'!H57</f>
        <v>15844.150083687184</v>
      </c>
      <c r="I121" s="27">
        <f>'Equity Funding'!I57</f>
        <v>19244.28593138326</v>
      </c>
      <c r="J121" s="27">
        <f>'Equity Funding'!J57</f>
        <v>23047.314153463554</v>
      </c>
    </row>
    <row r="122">
      <c r="B122" t="s" s="15">
        <v>199</v>
      </c>
    </row>
    <row r="123">
      <c r="B123" t="s">
        <v>200</v>
      </c>
      <c r="F123" s="4">
        <f>MIN(F121,F116)</f>
        <v>5930.536748050439</v>
      </c>
      <c r="G123" s="4">
        <f>MIN(G121,G116)</f>
        <v>6058.375634309139</v>
      </c>
      <c r="H123" s="4">
        <f>MIN(H121,H116)</f>
        <v>6185.8652339933615</v>
      </c>
      <c r="I123" s="4">
        <f>MIN(I121,I116)</f>
        <v>6313.354833677583</v>
      </c>
      <c r="J123" s="4">
        <f>MIN(J121,J116)</f>
        <v>6434.242917104184</v>
      </c>
    </row>
    <row r="124">
      <c r="B124" t="s" s="9">
        <v>201</v>
      </c>
      <c r="F124" s="4">
        <f>F121-F123</f>
        <v>3872.2151149153815</v>
      </c>
      <c r="G124" s="4">
        <f>G121-G123</f>
        <v>6567.903438960051</v>
      </c>
      <c r="H124" s="4">
        <f>H121-H123</f>
        <v>9658.284849693822</v>
      </c>
      <c r="I124" s="4">
        <f>I121-I123</f>
        <v>12930.931097705678</v>
      </c>
      <c r="J124" s="4">
        <f>J121-J123</f>
        <v>16613.07123635937</v>
      </c>
    </row>
    <row r="125">
      <c r="B125" t="s">
        <v>202</v>
      </c>
      <c r="F125" s="4">
        <f>MIN(F124,F119)</f>
        <v>729.2444593572301</v>
      </c>
      <c r="G125" s="4">
        <f>MIN(G124,G119)</f>
        <v>1273.7999089784976</v>
      </c>
      <c r="H125" s="4">
        <f>MIN(H124,H119)</f>
        <v>1870.5731204162462</v>
      </c>
      <c r="I125" s="4">
        <f>MIN(I124,I119)</f>
        <v>2525.287356743754</v>
      </c>
      <c r="J125" s="4">
        <f>MIN(J124,J119)</f>
        <v>3242.049778651589</v>
      </c>
    </row>
    <row r="126">
      <c r="B126" t="s" s="9">
        <v>201</v>
      </c>
      <c r="F126" s="4">
        <f>F124-F125</f>
        <v>3142.9706555581515</v>
      </c>
      <c r="G126" s="4">
        <f>G124-G125</f>
        <v>5294.103529981554</v>
      </c>
      <c r="H126" s="4">
        <f>H124-H125</f>
        <v>7787.7117292775765</v>
      </c>
      <c r="I126" s="4">
        <f>I124-I125</f>
        <v>10405.643740961923</v>
      </c>
      <c r="J126" s="4">
        <f>J124-J125</f>
        <v>13371.021457707782</v>
      </c>
    </row>
    <row r="127">
      <c r="B127" t="s">
        <v>203</v>
      </c>
      <c r="F127" s="22">
        <f>MIN(F126,Assumptions!$D$23*F125/(Assumptions!$D$22-Assumptions!$D$23))</f>
        <v>182.31111483930752</v>
      </c>
      <c r="G127" s="22">
        <f>MIN(G126,Assumptions!$D$23*G125/(Assumptions!$D$22-Assumptions!$D$23))</f>
        <v>318.4499772446244</v>
      </c>
      <c r="H127" s="22">
        <f>MIN(H126,Assumptions!$D$23*H125/(Assumptions!$D$22-Assumptions!$D$23))</f>
        <v>467.6432801040616</v>
      </c>
      <c r="I127" s="22">
        <f>MIN(I126,Assumptions!$D$23*I125/(Assumptions!$D$22-Assumptions!$D$23))</f>
        <v>631.3218391859385</v>
      </c>
      <c r="J127" s="22">
        <f>MIN(J126,Assumptions!$D$23*J125/(Assumptions!$D$22-Assumptions!$D$23))</f>
        <v>810.5124446628972</v>
      </c>
    </row>
    <row r="128">
      <c r="B128" t="s" s="9">
        <v>204</v>
      </c>
      <c r="F128" s="22">
        <f>Assumptions!$D$22*F127</f>
        <v>182.31111483930752</v>
      </c>
      <c r="G128" s="22">
        <f>Assumptions!$D$22*G127</f>
        <v>318.4499772446244</v>
      </c>
      <c r="H128" s="22">
        <f>Assumptions!$D$22*H127</f>
        <v>467.6432801040616</v>
      </c>
      <c r="I128" s="22">
        <f>Assumptions!$D$22*I127</f>
        <v>631.3218391859385</v>
      </c>
      <c r="J128" s="22">
        <f>Assumptions!$D$22*J127</f>
        <v>810.5124446628972</v>
      </c>
    </row>
    <row r="129">
      <c r="B129" t="s" s="9">
        <v>201</v>
      </c>
      <c r="F129" s="4">
        <f>F126-F127</f>
        <v>2960.659540718844</v>
      </c>
      <c r="G129" s="4">
        <f>G126-G127</f>
        <v>4975.65355273693</v>
      </c>
      <c r="H129" s="4">
        <f>H126-H127</f>
        <v>7320.068449173515</v>
      </c>
      <c r="I129" s="4">
        <f>I126-I127</f>
        <v>9774.321901775984</v>
      </c>
      <c r="J129" s="4">
        <f>J126-J127</f>
        <v>12560.509013044884</v>
      </c>
    </row>
    <row r="130">
      <c r="B130" t="s">
        <v>205</v>
      </c>
      <c r="F130" s="22">
        <f>(1-Assumptions!$D$23)*F129</f>
        <v>2368.527632575075</v>
      </c>
      <c r="G130" s="22">
        <f>(1-Assumptions!$D$23)*G129</f>
        <v>3980.522842189544</v>
      </c>
      <c r="H130" s="22">
        <f>(1-Assumptions!$D$23)*H129</f>
        <v>5856.054759338812</v>
      </c>
      <c r="I130" s="22">
        <f>(1-Assumptions!$D$23)*I129</f>
        <v>7819.457521420787</v>
      </c>
      <c r="J130" s="22">
        <f>(1-Assumptions!$D$23)*J129</f>
        <v>10048.407210435907</v>
      </c>
    </row>
    <row r="131">
      <c r="B131" t="s">
        <v>206</v>
      </c>
      <c r="F131" s="22">
        <f>Assumptions!$D$23*F129</f>
        <v>592.1319081437688</v>
      </c>
      <c r="G131" s="22">
        <f>Assumptions!$D$23*G129</f>
        <v>995.130710547386</v>
      </c>
      <c r="H131" s="22">
        <f>Assumptions!$D$23*H129</f>
        <v>1464.013689834703</v>
      </c>
      <c r="I131" s="22">
        <f>Assumptions!$D$23*I129</f>
        <v>1954.8643803551968</v>
      </c>
      <c r="J131" s="22">
        <f>Assumptions!$D$23*J129</f>
        <v>2512.101802608977</v>
      </c>
    </row>
    <row r="132">
      <c r="B132" t="s" s="12">
        <v>207</v>
      </c>
      <c r="C132" s="10"/>
      <c r="D132" s="10"/>
      <c r="E132" s="10"/>
      <c r="F132" s="11">
        <f>F123+F125+F127-F128+F130</f>
        <v>9028.308839982745</v>
      </c>
      <c r="G132" s="11">
        <f>G123+G125+G127-G128+G130</f>
        <v>11312.69838547718</v>
      </c>
      <c r="H132" s="11">
        <f>H123+H125+H127-H128+H130</f>
        <v>13912.493113748418</v>
      </c>
      <c r="I132" s="11">
        <f>I123+I125+I127-I128+I130</f>
        <v>16658.099711842122</v>
      </c>
      <c r="J132" s="11">
        <f>J123+J125+J127-J128+J130</f>
        <v>19724.69990619168</v>
      </c>
    </row>
    <row r="133">
      <c r="B133" t="s" s="12">
        <v>208</v>
      </c>
      <c r="C133" s="10"/>
      <c r="D133" s="10"/>
      <c r="E133" s="10"/>
      <c r="F133" s="11">
        <f>F128+F131</f>
        <v>774.4430229830763</v>
      </c>
      <c r="G133" s="11">
        <f>G128+G131</f>
        <v>1313.5806877920104</v>
      </c>
      <c r="H133" s="11">
        <f>H128+H131</f>
        <v>1931.6569699387646</v>
      </c>
      <c r="I133" s="11">
        <f>I128+I131</f>
        <v>2586.1862195411354</v>
      </c>
      <c r="J133" s="11">
        <f>J128+J131</f>
        <v>3322.614247271874</v>
      </c>
    </row>
    <row r="134">
      <c r="B134" t="s" s="3">
        <v>209</v>
      </c>
      <c r="C134" s="3"/>
      <c r="D134" s="3"/>
      <c r="E134" s="3"/>
      <c r="F134" s="26">
        <f>IF(F121&gt;F116,F133/(F121-F116),0)</f>
        <v>0.19999999999999998</v>
      </c>
      <c r="G134" s="26">
        <f>IF(G121&gt;G116,G133/(G121-G116),0)</f>
        <v>0.20000000000000004</v>
      </c>
      <c r="H134" s="26">
        <f>IF(H121&gt;H116,H133/(H121-H116),0)</f>
        <v>0.2</v>
      </c>
      <c r="I134" s="26">
        <f>IF(I121&gt;I116,I133/(I121-I116),0)</f>
        <v>0.19999999999999998</v>
      </c>
      <c r="J134" s="26">
        <f>IF(J121&gt;J116,J133/(J121-J116),0)</f>
        <v>0.19999999999999998</v>
      </c>
    </row>
    <row r="135">
      <c r="B135" t="s" s="1">
        <v>210</v>
      </c>
      <c r="C135" s="1"/>
      <c r="D135" s="1"/>
      <c r="E135" s="1"/>
      <c r="F135" s="13">
        <f>F132/F116</f>
        <v>1.5223426181366542</v>
      </c>
      <c r="G135" s="13">
        <f>G132/G116</f>
        <v>1.8672824315171757</v>
      </c>
      <c r="H135" s="13">
        <f>H132/H116</f>
        <v>2.249077952312103</v>
      </c>
      <c r="I135" s="13">
        <f>I132/I116</f>
        <v>2.638549574781089</v>
      </c>
      <c r="J135" s="13">
        <f>J132/J116</f>
        <v>3.06558209882897</v>
      </c>
    </row>
    <row r="136">
      <c r="B136" t="s" s="1">
        <v>211</v>
      </c>
      <c r="C136" s="1"/>
      <c r="D136" s="1"/>
      <c r="E136" s="1"/>
      <c r="F136" s="14">
        <f>XIRR(F174:F180,$C$174:$C$180)</f>
        <v>0.32152497172355665</v>
      </c>
      <c r="G136" s="14">
        <f>XIRR(G174:G180,$C$174:$C$180)</f>
        <v>0.28588824868202223</v>
      </c>
      <c r="H136" s="14">
        <f>XIRR(H174:H180,$C$174:$C$180)</f>
        <v>0.2653200328350068</v>
      </c>
      <c r="I136" s="14">
        <f>XIRR(I174:I180,$C$174:$C$180)</f>
        <v>0.24706147313117982</v>
      </c>
      <c r="J136" s="14">
        <f>XIRR(J174:J180,$C$174:$C$180)</f>
        <v>0.23347705006599423</v>
      </c>
    </row>
    <row r="138">
      <c r="B138" t="s" s="15">
        <v>212</v>
      </c>
    </row>
    <row r="139">
      <c r="B139" t="s">
        <v>213</v>
      </c>
      <c r="F139" s="4">
        <f>MIN(F121,F114)</f>
        <v>5737.031985790003</v>
      </c>
      <c r="G139" s="4">
        <f>MIN(G121,G114)</f>
        <v>5737.031985790003</v>
      </c>
      <c r="H139" s="4">
        <f>MIN(H121,H114)</f>
        <v>5737.031985790003</v>
      </c>
      <c r="I139" s="4">
        <f>MIN(I121,I114)</f>
        <v>5737.031985790003</v>
      </c>
      <c r="J139" s="4">
        <f>MIN(J121,J114)</f>
        <v>5737.031985790003</v>
      </c>
    </row>
    <row r="140">
      <c r="B140" t="s" s="9">
        <v>201</v>
      </c>
      <c r="F140" s="4">
        <f>F121-F139</f>
        <v>4065.7198771758176</v>
      </c>
      <c r="G140" s="4">
        <f>G121-G139</f>
        <v>6889.247087479187</v>
      </c>
      <c r="H140" s="4">
        <f>H121-H139</f>
        <v>10107.11809789718</v>
      </c>
      <c r="I140" s="4">
        <f>I121-I139</f>
        <v>13507.253945593257</v>
      </c>
      <c r="J140" s="4">
        <f>J121-J139</f>
        <v>17310.28216767355</v>
      </c>
    </row>
    <row r="141">
      <c r="B141" t="s">
        <v>214</v>
      </c>
      <c r="F141" s="4">
        <f>MIN(F140,F117)</f>
        <v>710.8654695411964</v>
      </c>
      <c r="G141" s="4">
        <f>MIN(G140,G117)</f>
        <v>1228.1657381841183</v>
      </c>
      <c r="H141" s="4">
        <f>MIN(H140,H117)</f>
        <v>1785.381556102048</v>
      </c>
      <c r="I141" s="4">
        <f>MIN(I140,I117)</f>
        <v>2387.1746394534134</v>
      </c>
      <c r="J141" s="4">
        <f>MIN(J140,J117)</f>
        <v>3037.1111694728866</v>
      </c>
    </row>
    <row r="142">
      <c r="B142" t="s" s="9">
        <v>201</v>
      </c>
      <c r="F142" s="4">
        <f>F140-F141</f>
        <v>3354.854407634621</v>
      </c>
      <c r="G142" s="4">
        <f>G140-G141</f>
        <v>5661.081349295069</v>
      </c>
      <c r="H142" s="4">
        <f>H140-H141</f>
        <v>8321.736541795133</v>
      </c>
      <c r="I142" s="4">
        <f>I140-I141</f>
        <v>11120.079306139844</v>
      </c>
      <c r="J142" s="4">
        <f>J140-J141</f>
        <v>14273.170998200665</v>
      </c>
    </row>
    <row r="143">
      <c r="B143" t="s">
        <v>203</v>
      </c>
      <c r="F143" s="22">
        <f>MIN(F142,Assumptions!$D$23*F141/(Assumptions!$D$22-Assumptions!$D$23))</f>
        <v>177.7163673852991</v>
      </c>
      <c r="G143" s="22">
        <f>MIN(G142,Assumptions!$D$23*G141/(Assumptions!$D$22-Assumptions!$D$23))</f>
        <v>307.04143454602956</v>
      </c>
      <c r="H143" s="22">
        <f>MIN(H142,Assumptions!$D$23*H141/(Assumptions!$D$22-Assumptions!$D$23))</f>
        <v>446.345389025512</v>
      </c>
      <c r="I143" s="22">
        <f>MIN(I142,Assumptions!$D$23*I141/(Assumptions!$D$22-Assumptions!$D$23))</f>
        <v>596.7936598633534</v>
      </c>
      <c r="J143" s="22">
        <f>MIN(J142,Assumptions!$D$23*J141/(Assumptions!$D$22-Assumptions!$D$23))</f>
        <v>759.2777923682215</v>
      </c>
    </row>
    <row r="144">
      <c r="B144" t="s" s="9">
        <v>204</v>
      </c>
      <c r="F144" s="22">
        <f>Assumptions!$D$22*F143</f>
        <v>177.7163673852991</v>
      </c>
      <c r="G144" s="22">
        <f>Assumptions!$D$22*G143</f>
        <v>307.04143454602956</v>
      </c>
      <c r="H144" s="22">
        <f>Assumptions!$D$22*H143</f>
        <v>446.345389025512</v>
      </c>
      <c r="I144" s="22">
        <f>Assumptions!$D$22*I143</f>
        <v>596.7936598633534</v>
      </c>
      <c r="J144" s="22">
        <f>Assumptions!$D$22*J143</f>
        <v>759.2777923682215</v>
      </c>
    </row>
    <row r="145">
      <c r="B145" t="s" s="9">
        <v>201</v>
      </c>
      <c r="F145" s="4">
        <f>F142-F143</f>
        <v>3177.138040249322</v>
      </c>
      <c r="G145" s="4">
        <f>G142-G143</f>
        <v>5354.03991474904</v>
      </c>
      <c r="H145" s="4">
        <f>H142-H143</f>
        <v>7875.391152769621</v>
      </c>
      <c r="I145" s="4">
        <f>I142-I143</f>
        <v>10523.28564627649</v>
      </c>
      <c r="J145" s="4">
        <f>J142-J143</f>
        <v>13513.893205832443</v>
      </c>
    </row>
    <row r="146">
      <c r="B146" t="s">
        <v>205</v>
      </c>
      <c r="F146" s="22">
        <f>(1-Assumptions!$D$23)*F145</f>
        <v>2541.7104321994575</v>
      </c>
      <c r="G146" s="22">
        <f>(1-Assumptions!$D$23)*G145</f>
        <v>4283.231931799232</v>
      </c>
      <c r="H146" s="22">
        <f>(1-Assumptions!$D$23)*H145</f>
        <v>6300.312922215697</v>
      </c>
      <c r="I146" s="22">
        <f>(1-Assumptions!$D$23)*I145</f>
        <v>8418.628517021192</v>
      </c>
      <c r="J146" s="22">
        <f>(1-Assumptions!$D$23)*J145</f>
        <v>10811.114564665955</v>
      </c>
    </row>
    <row r="147">
      <c r="B147" t="s">
        <v>206</v>
      </c>
      <c r="F147" s="22">
        <f>Assumptions!$D$23*F145</f>
        <v>635.4276080498644</v>
      </c>
      <c r="G147" s="22">
        <f>Assumptions!$D$23*G145</f>
        <v>1070.807982949808</v>
      </c>
      <c r="H147" s="22">
        <f>Assumptions!$D$23*H145</f>
        <v>1575.0782305539242</v>
      </c>
      <c r="I147" s="22">
        <f>Assumptions!$D$23*I145</f>
        <v>2104.657129255298</v>
      </c>
      <c r="J147" s="22">
        <f>Assumptions!$D$23*J145</f>
        <v>2702.778641166489</v>
      </c>
    </row>
    <row r="148">
      <c r="B148" t="s" s="12">
        <v>215</v>
      </c>
      <c r="C148" s="10"/>
      <c r="D148" s="10"/>
      <c r="E148" s="10"/>
      <c r="F148" s="11">
        <f>F139+F141+F143-F144+F146</f>
        <v>8989.607887530656</v>
      </c>
      <c r="G148" s="11">
        <f>G139+G141+G143-G144+G146</f>
        <v>11248.429655773354</v>
      </c>
      <c r="H148" s="11">
        <f>H139+H141+H143-H144+H146</f>
        <v>13822.726464107749</v>
      </c>
      <c r="I148" s="11">
        <f>I139+I141+I143-I144+I146</f>
        <v>16542.83514226461</v>
      </c>
      <c r="J148" s="11">
        <f>J139+J141+J143-J144+J146</f>
        <v>19585.257719928843</v>
      </c>
    </row>
    <row r="149">
      <c r="B149" t="s" s="12">
        <v>216</v>
      </c>
      <c r="C149" s="10"/>
      <c r="D149" s="10"/>
      <c r="E149" s="10"/>
      <c r="F149" s="11">
        <f>F144+F147</f>
        <v>813.1439754351635</v>
      </c>
      <c r="G149" s="11">
        <f>G144+G147</f>
        <v>1377.8494174958378</v>
      </c>
      <c r="H149" s="11">
        <f>H144+H147</f>
        <v>2021.4236195794363</v>
      </c>
      <c r="I149" s="11">
        <f>I144+I147</f>
        <v>2701.4507891186513</v>
      </c>
      <c r="J149" s="11">
        <f>J144+J147</f>
        <v>3462.0564335347103</v>
      </c>
    </row>
    <row r="150">
      <c r="B150" t="s" s="9">
        <v>217</v>
      </c>
      <c r="F150" s="4">
        <f>-MAX(0,F149-F133)</f>
        <v>-38.70095245208722</v>
      </c>
      <c r="G150" s="4">
        <f>-MAX(0,G149-G133)</f>
        <v>-64.26872970382738</v>
      </c>
      <c r="H150" s="4">
        <f>-MAX(0,H149-H133)</f>
        <v>-89.76664964067163</v>
      </c>
      <c r="I150" s="4">
        <f>-MAX(0,I149-I133)</f>
        <v>-115.26456957751589</v>
      </c>
      <c r="J150" s="4">
        <f>-MAX(0,J149-J133)</f>
        <v>-139.44218626283646</v>
      </c>
    </row>
    <row r="151">
      <c r="B151" t="s" s="12">
        <v>218</v>
      </c>
      <c r="C151" s="10"/>
      <c r="D151" s="10"/>
      <c r="E151" s="10"/>
      <c r="F151" s="11">
        <f>F149+F150</f>
        <v>774.4430229830763</v>
      </c>
      <c r="G151" s="11">
        <f>G149+G150</f>
        <v>1313.5806877920104</v>
      </c>
      <c r="H151" s="11">
        <f>H149+H150</f>
        <v>1931.6569699387646</v>
      </c>
      <c r="I151" s="11">
        <f>I149+I150</f>
        <v>2586.1862195411354</v>
      </c>
      <c r="J151" s="11">
        <f>J149+J150</f>
        <v>3322.614247271874</v>
      </c>
    </row>
    <row r="152">
      <c r="B152" t="s" s="12">
        <v>219</v>
      </c>
      <c r="C152" s="10"/>
      <c r="D152" s="10"/>
      <c r="E152" s="10"/>
      <c r="F152" s="11">
        <f>F148-F150</f>
        <v>9028.308839982743</v>
      </c>
      <c r="G152" s="11">
        <f>G148-G150</f>
        <v>11312.698385477182</v>
      </c>
      <c r="H152" s="11">
        <f>H148-H150</f>
        <v>13912.49311374842</v>
      </c>
      <c r="I152" s="11">
        <f>I148-I150</f>
        <v>16658.099711842126</v>
      </c>
      <c r="J152" s="11">
        <f>J148-J150</f>
        <v>19724.69990619168</v>
      </c>
    </row>
    <row r="153">
      <c r="B153" t="s">
        <v>220</v>
      </c>
      <c r="F153" s="5">
        <f>F148/F116</f>
        <v>1.515816909908843</v>
      </c>
      <c r="G153" s="5">
        <f>G148/G116</f>
        <v>1.8566741870663255</v>
      </c>
      <c r="H153" s="5">
        <f>H148/H116</f>
        <v>2.234566376930963</v>
      </c>
      <c r="I153" s="5">
        <f>I148/I116</f>
        <v>2.6202923133703013</v>
      </c>
      <c r="J153" s="5">
        <f>J148/J116</f>
        <v>3.043910211699537</v>
      </c>
    </row>
    <row r="154">
      <c r="B154" t="s">
        <v>221</v>
      </c>
      <c r="F154" s="6">
        <f>XIRR(F184:F190,$C$184:$C$190)</f>
        <v>0.3177660524845124</v>
      </c>
      <c r="G154" s="6">
        <f>XIRR(G184:G190,$C$184:$C$190)</f>
        <v>0.2829479515552521</v>
      </c>
      <c r="H154" s="6">
        <f>XIRR(H184:H190,$C$184:$C$190)</f>
        <v>0.2629545152187348</v>
      </c>
      <c r="I154" s="6">
        <f>XIRR(I184:I190,$C$184:$C$190)</f>
        <v>0.24510599970817568</v>
      </c>
      <c r="J154" s="6">
        <f>XIRR(J184:J190,$C$184:$C$190)</f>
        <v>0.23185413479804998</v>
      </c>
    </row>
    <row r="156">
      <c r="B156" t="s" s="15">
        <v>222</v>
      </c>
    </row>
    <row r="157">
      <c r="B157" t="s">
        <v>223</v>
      </c>
      <c r="F157" s="24">
        <f>'Deal Returns'!F87</f>
        <v>1.7703043572018935</v>
      </c>
      <c r="G157" s="24">
        <f>'Deal Returns'!G87</f>
        <v>2.3052588987050338</v>
      </c>
      <c r="H157" s="24">
        <f>'Deal Returns'!H87</f>
        <v>2.9149270841975508</v>
      </c>
      <c r="I157" s="24">
        <f>'Deal Returns'!I87</f>
        <v>3.559127751651793</v>
      </c>
      <c r="J157" s="24">
        <f>'Deal Returns'!J87</f>
        <v>4.279661703455955</v>
      </c>
    </row>
    <row r="158">
      <c r="B158" t="s">
        <v>224</v>
      </c>
      <c r="F158" s="25">
        <f>'Deal Returns'!F86</f>
        <v>0.4568843781948091</v>
      </c>
      <c r="G158" s="25">
        <f>'Deal Returns'!G86</f>
        <v>0.392852419614792</v>
      </c>
      <c r="H158" s="25">
        <f>'Deal Returns'!H86</f>
        <v>0.35511439442634585</v>
      </c>
      <c r="I158" s="25">
        <f>'Deal Returns'!I86</f>
        <v>0.32423140406608586</v>
      </c>
      <c r="J158" s="25">
        <f>'Deal Returns'!J86</f>
        <v>0.3012909710407258</v>
      </c>
    </row>
    <row r="159">
      <c r="B159" t="s">
        <v>225</v>
      </c>
      <c r="F159" s="24">
        <f>'Equity Funding'!F60</f>
        <v>1.708680008625742</v>
      </c>
      <c r="G159" s="24">
        <f>'Equity Funding'!G60</f>
        <v>2.200838186808631</v>
      </c>
      <c r="H159" s="24">
        <f>'Equity Funding'!H60</f>
        <v>2.761732917461747</v>
      </c>
      <c r="I159" s="24">
        <f>'Equity Funding'!I60</f>
        <v>3.3543975315196497</v>
      </c>
      <c r="J159" s="24">
        <f>'Equity Funding'!J60</f>
        <v>4.017288767179478</v>
      </c>
    </row>
    <row r="160">
      <c r="B160" t="s">
        <v>226</v>
      </c>
      <c r="F160" s="25">
        <f>'Equity Funding'!F62</f>
        <v>0.42327004075050356</v>
      </c>
      <c r="G160" s="25">
        <f>'Equity Funding'!G62</f>
        <v>0.36747094988822937</v>
      </c>
      <c r="H160" s="25">
        <f>'Equity Funding'!H62</f>
        <v>0.33449267745017996</v>
      </c>
      <c r="I160" s="25">
        <f>'Equity Funding'!I62</f>
        <v>0.3069901168346405</v>
      </c>
      <c r="J160" s="25">
        <f>'Equity Funding'!J62</f>
        <v>0.2864630043506622</v>
      </c>
    </row>
    <row r="161">
      <c r="B161" t="s">
        <v>227</v>
      </c>
      <c r="F161" s="6">
        <f>XIRR(F194:F200,$C$194:$C$200)</f>
        <v>0.3956365525722504</v>
      </c>
      <c r="G161" s="6">
        <f>XIRR(G194:G200,$C$194:$C$200)</f>
        <v>0.34389817118644717</v>
      </c>
      <c r="H161" s="6">
        <f>XIRR(H194:H200,$C$194:$C$200)</f>
        <v>0.31375105977058415</v>
      </c>
      <c r="I161" s="6">
        <f>XIRR(I194:I200,$C$194:$C$200)</f>
        <v>0.2883725106716156</v>
      </c>
      <c r="J161" s="6">
        <f>XIRR(J194:J200,$C$194:$C$200)</f>
        <v>0.2695948541164399</v>
      </c>
    </row>
    <row r="162">
      <c r="B162" t="s">
        <v>210</v>
      </c>
      <c r="F162" s="5">
        <f>F135</f>
        <v>1.5223426181366542</v>
      </c>
      <c r="G162" s="5">
        <f>G135</f>
        <v>1.8672824315171757</v>
      </c>
      <c r="H162" s="5">
        <f>H135</f>
        <v>2.249077952312103</v>
      </c>
      <c r="I162" s="5">
        <f>I135</f>
        <v>2.638549574781089</v>
      </c>
      <c r="J162" s="5">
        <f>J135</f>
        <v>3.06558209882897</v>
      </c>
    </row>
    <row r="163">
      <c r="B163" t="s">
        <v>211</v>
      </c>
      <c r="F163" s="6">
        <f>F136</f>
        <v>0.32152497172355665</v>
      </c>
      <c r="G163" s="6">
        <f>G136</f>
        <v>0.28588824868202223</v>
      </c>
      <c r="H163" s="6">
        <f>H136</f>
        <v>0.2653200328350068</v>
      </c>
      <c r="I163" s="6">
        <f>I136</f>
        <v>0.24706147313117982</v>
      </c>
      <c r="J163" s="6">
        <f>J136</f>
        <v>0.23347705006599423</v>
      </c>
    </row>
    <row r="164">
      <c r="B164" t="s">
        <v>228</v>
      </c>
      <c r="F164" s="5">
        <f>F153</f>
        <v>1.515816909908843</v>
      </c>
      <c r="G164" s="5">
        <f>G153</f>
        <v>1.8566741870663255</v>
      </c>
      <c r="H164" s="5">
        <f>H153</f>
        <v>2.234566376930963</v>
      </c>
      <c r="I164" s="5">
        <f>I153</f>
        <v>2.6202923133703013</v>
      </c>
      <c r="J164" s="5">
        <f>J153</f>
        <v>3.043910211699537</v>
      </c>
    </row>
    <row r="165">
      <c r="B165" t="s">
        <v>229</v>
      </c>
      <c r="F165" s="6">
        <f>F154</f>
        <v>0.3177660524845124</v>
      </c>
      <c r="G165" s="6">
        <f>G154</f>
        <v>0.2829479515552521</v>
      </c>
      <c r="H165" s="6">
        <f>H154</f>
        <v>0.2629545152187348</v>
      </c>
      <c r="I165" s="6">
        <f>I154</f>
        <v>0.24510599970817568</v>
      </c>
      <c r="J165" s="6">
        <f>J154</f>
        <v>0.23185413479804998</v>
      </c>
    </row>
    <row r="166">
      <c r="B166" t="s">
        <v>230</v>
      </c>
      <c r="F166" s="4">
        <f>(F158-F163)*10000</f>
        <v>1353.5940647125244</v>
      </c>
      <c r="G166" s="4">
        <f>(G158-G163)*10000</f>
        <v>1069.6417093276978</v>
      </c>
      <c r="H166" s="4">
        <f>(H158-H163)*10000</f>
        <v>897.9436159133902</v>
      </c>
      <c r="I166" s="4">
        <f>(I158-I163)*10000</f>
        <v>771.6993093490604</v>
      </c>
      <c r="J166" s="4">
        <f>(J158-J163)*10000</f>
        <v>678.1392097473155</v>
      </c>
    </row>
    <row r="167">
      <c r="B167" t="s" s="9">
        <v>231</v>
      </c>
      <c r="F167" s="4">
        <f>(F158-F160)*10000</f>
        <v>336.14337444305534</v>
      </c>
      <c r="G167" s="4">
        <f>(G158-G160)*10000</f>
        <v>253.81469726562634</v>
      </c>
      <c r="H167" s="4">
        <f>(H158-H160)*10000</f>
        <v>206.21716976165882</v>
      </c>
      <c r="I167" s="4">
        <f>(I158-I160)*10000</f>
        <v>172.41287231445358</v>
      </c>
      <c r="J167" s="4">
        <f>(J158-J160)*10000</f>
        <v>148.27966690063587</v>
      </c>
    </row>
    <row r="168">
      <c r="B168" t="s" s="9">
        <v>232</v>
      </c>
      <c r="F168" s="4">
        <f>(F160-F161)*10000</f>
        <v>276.33488178253174</v>
      </c>
      <c r="G168" s="4">
        <f>(G160-G161)*10000</f>
        <v>235.72778701782204</v>
      </c>
      <c r="H168" s="4">
        <f>(H160-H161)*10000</f>
        <v>207.41617679595814</v>
      </c>
      <c r="I168" s="4">
        <f>(I160-I161)*10000</f>
        <v>186.1760616302488</v>
      </c>
      <c r="J168" s="4">
        <f>(J160-J161)*10000</f>
        <v>168.68150234222279</v>
      </c>
    </row>
    <row r="169">
      <c r="B169" t="s" s="9">
        <v>233</v>
      </c>
      <c r="F169" s="4">
        <f>(F161-F163)*10000</f>
        <v>741.1158084869373</v>
      </c>
      <c r="G169" s="4">
        <f>(G161-G163)*10000</f>
        <v>580.0992250442494</v>
      </c>
      <c r="H169" s="4">
        <f>(H161-H163)*10000</f>
        <v>484.31026935577324</v>
      </c>
      <c r="I169" s="4">
        <f>(I161-I163)*10000</f>
        <v>413.110375404358</v>
      </c>
      <c r="J169" s="4">
        <f>(J161-J163)*10000</f>
        <v>361.17804050445676</v>
      </c>
    </row>
    <row r="170">
      <c r="B170" t="s">
        <v>234</v>
      </c>
      <c r="F170" s="5">
        <f>F157-F162</f>
        <v>0.24796173906523933</v>
      </c>
      <c r="G170" s="5">
        <f>G157-G162</f>
        <v>0.4379764671878581</v>
      </c>
      <c r="H170" s="5">
        <f>H157-H162</f>
        <v>0.6658491318854476</v>
      </c>
      <c r="I170" s="5">
        <f>I157-I162</f>
        <v>0.9205781768707038</v>
      </c>
      <c r="J170" s="5">
        <f>J157-J162</f>
        <v>1.2140796046269848</v>
      </c>
    </row>
    <row r="172">
      <c r="B172" t="s" s="15">
        <v>235</v>
      </c>
    </row>
    <row r="173">
      <c r="C173" t="s" s="18">
        <v>71</v>
      </c>
      <c r="D173" t="s" s="18">
        <v>236</v>
      </c>
      <c r="E173" s="18"/>
      <c r="F173" s="17">
        <f>F$113</f>
        <v>46752</v>
      </c>
      <c r="G173" s="17">
        <f>G$113</f>
        <v>47118</v>
      </c>
      <c r="H173" s="17">
        <f>H$113</f>
        <v>47483</v>
      </c>
      <c r="I173" s="17">
        <f>I$113</f>
        <v>47848</v>
      </c>
      <c r="J173" s="17">
        <f>J$113</f>
        <v>48213</v>
      </c>
    </row>
    <row r="174">
      <c r="B174" t="s" s="9">
        <v>237</v>
      </c>
      <c r="C174" s="35">
        <f>D$11</f>
        <v>46198</v>
      </c>
      <c r="D174" s="30">
        <f>D$17</f>
        <v>66.01516257621373</v>
      </c>
      <c r="F174" s="4">
        <f>IF($C174=$D$11,-$D$6,0)-IF($C174&lt;F$113,$D174,0)+IF($C174=F$113,F$132,0)</f>
        <v>-5803.047148366217</v>
      </c>
      <c r="G174" s="4">
        <f>IF($C174=$D$11,-$D$6,0)-IF($C174&lt;G$113,$D174,0)+IF($C174=G$113,G$132,0)</f>
        <v>-5803.047148366217</v>
      </c>
      <c r="H174" s="4">
        <f>IF($C174=$D$11,-$D$6,0)-IF($C174&lt;H$113,$D174,0)+IF($C174=H$113,H$132,0)</f>
        <v>-5803.047148366217</v>
      </c>
      <c r="I174" s="4">
        <f>IF($C174=$D$11,-$D$6,0)-IF($C174&lt;I$113,$D174,0)+IF($C174=I$113,I$132,0)</f>
        <v>-5803.047148366217</v>
      </c>
      <c r="J174" s="4">
        <f>IF($C174=$D$11,-$D$6,0)-IF($C174&lt;J$113,$D174,0)+IF($C174=J$113,J$132,0)</f>
        <v>-5803.047148366217</v>
      </c>
    </row>
    <row r="175">
      <c r="B175" t="s" s="9">
        <v>238</v>
      </c>
      <c r="C175" s="35">
        <f>E$11</f>
        <v>46387</v>
      </c>
      <c r="D175" s="30">
        <f>E$17</f>
        <v>127.48959968422228</v>
      </c>
      <c r="F175" s="4">
        <f>IF($C175=$D$11,-$D$6,0)-IF($C175&lt;F$113,$D175,0)+IF($C175=F$113,F$132,0)</f>
        <v>-127.48959968422228</v>
      </c>
      <c r="G175" s="4">
        <f>IF($C175=$D$11,-$D$6,0)-IF($C175&lt;G$113,$D175,0)+IF($C175=G$113,G$132,0)</f>
        <v>-127.48959968422228</v>
      </c>
      <c r="H175" s="4">
        <f>IF($C175=$D$11,-$D$6,0)-IF($C175&lt;H$113,$D175,0)+IF($C175=H$113,H$132,0)</f>
        <v>-127.48959968422228</v>
      </c>
      <c r="I175" s="4">
        <f>IF($C175=$D$11,-$D$6,0)-IF($C175&lt;I$113,$D175,0)+IF($C175=I$113,I$132,0)</f>
        <v>-127.48959968422228</v>
      </c>
      <c r="J175" s="4">
        <f>IF($C175=$D$11,-$D$6,0)-IF($C175&lt;J$113,$D175,0)+IF($C175=J$113,J$132,0)</f>
        <v>-127.48959968422228</v>
      </c>
    </row>
    <row r="176">
      <c r="B176" t="s" s="9">
        <v>238</v>
      </c>
      <c r="C176" s="35">
        <f>F$11</f>
        <v>46752</v>
      </c>
      <c r="D176" s="30">
        <f>F$17</f>
        <v>127.8388862586996</v>
      </c>
      <c r="F176" s="4">
        <f>IF($C176=$D$11,-$D$6,0)-IF($C176&lt;F$113,$D176,0)+IF($C176=F$113,F$132,0)</f>
        <v>9028.308839982745</v>
      </c>
      <c r="G176" s="4">
        <f>IF($C176=$D$11,-$D$6,0)-IF($C176&lt;G$113,$D176,0)+IF($C176=G$113,G$132,0)</f>
        <v>-127.8388862586996</v>
      </c>
      <c r="H176" s="4">
        <f>IF($C176=$D$11,-$D$6,0)-IF($C176&lt;H$113,$D176,0)+IF($C176=H$113,H$132,0)</f>
        <v>-127.8388862586996</v>
      </c>
      <c r="I176" s="4">
        <f>IF($C176=$D$11,-$D$6,0)-IF($C176&lt;I$113,$D176,0)+IF($C176=I$113,I$132,0)</f>
        <v>-127.8388862586996</v>
      </c>
      <c r="J176" s="4">
        <f>IF($C176=$D$11,-$D$6,0)-IF($C176&lt;J$113,$D176,0)+IF($C176=J$113,J$132,0)</f>
        <v>-127.8388862586996</v>
      </c>
    </row>
    <row r="177">
      <c r="B177" t="s" s="9">
        <v>238</v>
      </c>
      <c r="C177" s="35">
        <f>G$11</f>
        <v>47118</v>
      </c>
      <c r="D177" s="30">
        <f>G$17</f>
        <v>127.48959968422228</v>
      </c>
      <c r="F177" s="4">
        <f>IF($C177=$D$11,-$D$6,0)-IF($C177&lt;F$113,$D177,0)+IF($C177=F$113,F$132,0)</f>
        <v>0</v>
      </c>
      <c r="G177" s="4">
        <f>IF($C177=$D$11,-$D$6,0)-IF($C177&lt;G$113,$D177,0)+IF($C177=G$113,G$132,0)</f>
        <v>11312.69838547718</v>
      </c>
      <c r="H177" s="4">
        <f>IF($C177=$D$11,-$D$6,0)-IF($C177&lt;H$113,$D177,0)+IF($C177=H$113,H$132,0)</f>
        <v>-127.48959968422228</v>
      </c>
      <c r="I177" s="4">
        <f>IF($C177=$D$11,-$D$6,0)-IF($C177&lt;I$113,$D177,0)+IF($C177=I$113,I$132,0)</f>
        <v>-127.48959968422228</v>
      </c>
      <c r="J177" s="4">
        <f>IF($C177=$D$11,-$D$6,0)-IF($C177&lt;J$113,$D177,0)+IF($C177=J$113,J$132,0)</f>
        <v>-127.48959968422228</v>
      </c>
    </row>
    <row r="178">
      <c r="B178" t="s" s="9">
        <v>238</v>
      </c>
      <c r="C178" s="35">
        <f>H$11</f>
        <v>47483</v>
      </c>
      <c r="D178" s="30">
        <f>H$17</f>
        <v>127.48959968422228</v>
      </c>
      <c r="F178" s="4">
        <f>IF($C178=$D$11,-$D$6,0)-IF($C178&lt;F$113,$D178,0)+IF($C178=F$113,F$132,0)</f>
        <v>0</v>
      </c>
      <c r="G178" s="4">
        <f>IF($C178=$D$11,-$D$6,0)-IF($C178&lt;G$113,$D178,0)+IF($C178=G$113,G$132,0)</f>
        <v>0</v>
      </c>
      <c r="H178" s="4">
        <f>IF($C178=$D$11,-$D$6,0)-IF($C178&lt;H$113,$D178,0)+IF($C178=H$113,H$132,0)</f>
        <v>13912.493113748418</v>
      </c>
      <c r="I178" s="4">
        <f>IF($C178=$D$11,-$D$6,0)-IF($C178&lt;I$113,$D178,0)+IF($C178=I$113,I$132,0)</f>
        <v>-127.48959968422228</v>
      </c>
      <c r="J178" s="4">
        <f>IF($C178=$D$11,-$D$6,0)-IF($C178&lt;J$113,$D178,0)+IF($C178=J$113,J$132,0)</f>
        <v>-127.48959968422228</v>
      </c>
    </row>
    <row r="179">
      <c r="B179" t="s" s="9">
        <v>238</v>
      </c>
      <c r="C179" s="35">
        <f>I$11</f>
        <v>47848</v>
      </c>
      <c r="D179" s="30">
        <f>I$17</f>
        <v>120.88808342660093</v>
      </c>
      <c r="F179" s="4">
        <f>IF($C179=$D$11,-$D$6,0)-IF($C179&lt;F$113,$D179,0)+IF($C179=F$113,F$132,0)</f>
        <v>0</v>
      </c>
      <c r="G179" s="4">
        <f>IF($C179=$D$11,-$D$6,0)-IF($C179&lt;G$113,$D179,0)+IF($C179=G$113,G$132,0)</f>
        <v>0</v>
      </c>
      <c r="H179" s="4">
        <f>IF($C179=$D$11,-$D$6,0)-IF($C179&lt;H$113,$D179,0)+IF($C179=H$113,H$132,0)</f>
        <v>0</v>
      </c>
      <c r="I179" s="4">
        <f>IF($C179=$D$11,-$D$6,0)-IF($C179&lt;I$113,$D179,0)+IF($C179=I$113,I$132,0)</f>
        <v>16658.099711842122</v>
      </c>
      <c r="J179" s="4">
        <f>IF($C179=$D$11,-$D$6,0)-IF($C179&lt;J$113,$D179,0)+IF($C179=J$113,J$132,0)</f>
        <v>-120.88808342660093</v>
      </c>
    </row>
    <row r="180">
      <c r="B180" t="s" s="9">
        <v>238</v>
      </c>
      <c r="C180" s="35">
        <f>J$11</f>
        <v>48213</v>
      </c>
      <c r="D180" s="30">
        <f>J$17</f>
        <v>0</v>
      </c>
      <c r="F180" s="4">
        <f>IF($C180=$D$11,-$D$6,0)-IF($C180&lt;F$113,$D180,0)+IF($C180=F$113,F$132,0)</f>
        <v>0</v>
      </c>
      <c r="G180" s="4">
        <f>IF($C180=$D$11,-$D$6,0)-IF($C180&lt;G$113,$D180,0)+IF($C180=G$113,G$132,0)</f>
        <v>0</v>
      </c>
      <c r="H180" s="4">
        <f>IF($C180=$D$11,-$D$6,0)-IF($C180&lt;H$113,$D180,0)+IF($C180=H$113,H$132,0)</f>
        <v>0</v>
      </c>
      <c r="I180" s="4">
        <f>IF($C180=$D$11,-$D$6,0)-IF($C180&lt;I$113,$D180,0)+IF($C180=I$113,I$132,0)</f>
        <v>0</v>
      </c>
      <c r="J180" s="4">
        <f>IF($C180=$D$11,-$D$6,0)-IF($C180&lt;J$113,$D180,0)+IF($C180=J$113,J$132,0)</f>
        <v>19724.69990619168</v>
      </c>
    </row>
    <row r="182">
      <c r="B182" t="s" s="15">
        <v>239</v>
      </c>
    </row>
    <row r="183">
      <c r="C183" t="s" s="18">
        <v>71</v>
      </c>
      <c r="D183" t="s" s="18">
        <v>236</v>
      </c>
      <c r="E183" s="18"/>
      <c r="F183" s="17">
        <f>F$113</f>
        <v>46752</v>
      </c>
      <c r="G183" s="17">
        <f>G$113</f>
        <v>47118</v>
      </c>
      <c r="H183" s="17">
        <f>H$113</f>
        <v>47483</v>
      </c>
      <c r="I183" s="17">
        <f>I$113</f>
        <v>47848</v>
      </c>
      <c r="J183" s="17">
        <f>J$113</f>
        <v>48213</v>
      </c>
    </row>
    <row r="184">
      <c r="B184" t="s" s="9">
        <v>237</v>
      </c>
      <c r="C184" s="35">
        <f>D$11</f>
        <v>46198</v>
      </c>
      <c r="D184" s="30">
        <f>D$17</f>
        <v>66.01516257621373</v>
      </c>
      <c r="F184" s="4">
        <f>IF($C184=$D$11,-$D$6,0)-IF($C184&lt;F$113,$D184,0)+IF($C184=F$113,F$148,0)</f>
        <v>-5803.047148366217</v>
      </c>
      <c r="G184" s="4">
        <f>IF($C184=$D$11,-$D$6,0)-IF($C184&lt;G$113,$D184,0)+IF($C184=G$113,G$148,0)</f>
        <v>-5803.047148366217</v>
      </c>
      <c r="H184" s="4">
        <f>IF($C184=$D$11,-$D$6,0)-IF($C184&lt;H$113,$D184,0)+IF($C184=H$113,H$148,0)</f>
        <v>-5803.047148366217</v>
      </c>
      <c r="I184" s="4">
        <f>IF($C184=$D$11,-$D$6,0)-IF($C184&lt;I$113,$D184,0)+IF($C184=I$113,I$148,0)</f>
        <v>-5803.047148366217</v>
      </c>
      <c r="J184" s="4">
        <f>IF($C184=$D$11,-$D$6,0)-IF($C184&lt;J$113,$D184,0)+IF($C184=J$113,J$148,0)</f>
        <v>-5803.047148366217</v>
      </c>
    </row>
    <row r="185">
      <c r="B185" t="s" s="9">
        <v>238</v>
      </c>
      <c r="C185" s="35">
        <f>E$11</f>
        <v>46387</v>
      </c>
      <c r="D185" s="30">
        <f>E$17</f>
        <v>127.48959968422228</v>
      </c>
      <c r="F185" s="4">
        <f>IF($C185=$D$11,-$D$6,0)-IF($C185&lt;F$113,$D185,0)+IF($C185=F$113,F$148,0)</f>
        <v>-127.48959968422228</v>
      </c>
      <c r="G185" s="4">
        <f>IF($C185=$D$11,-$D$6,0)-IF($C185&lt;G$113,$D185,0)+IF($C185=G$113,G$148,0)</f>
        <v>-127.48959968422228</v>
      </c>
      <c r="H185" s="4">
        <f>IF($C185=$D$11,-$D$6,0)-IF($C185&lt;H$113,$D185,0)+IF($C185=H$113,H$148,0)</f>
        <v>-127.48959968422228</v>
      </c>
      <c r="I185" s="4">
        <f>IF($C185=$D$11,-$D$6,0)-IF($C185&lt;I$113,$D185,0)+IF($C185=I$113,I$148,0)</f>
        <v>-127.48959968422228</v>
      </c>
      <c r="J185" s="4">
        <f>IF($C185=$D$11,-$D$6,0)-IF($C185&lt;J$113,$D185,0)+IF($C185=J$113,J$148,0)</f>
        <v>-127.48959968422228</v>
      </c>
    </row>
    <row r="186">
      <c r="B186" t="s" s="9">
        <v>238</v>
      </c>
      <c r="C186" s="35">
        <f>F$11</f>
        <v>46752</v>
      </c>
      <c r="D186" s="30">
        <f>F$17</f>
        <v>127.8388862586996</v>
      </c>
      <c r="F186" s="4">
        <f>IF($C186=$D$11,-$D$6,0)-IF($C186&lt;F$113,$D186,0)+IF($C186=F$113,F$148,0)</f>
        <v>8989.607887530656</v>
      </c>
      <c r="G186" s="4">
        <f>IF($C186=$D$11,-$D$6,0)-IF($C186&lt;G$113,$D186,0)+IF($C186=G$113,G$148,0)</f>
        <v>-127.8388862586996</v>
      </c>
      <c r="H186" s="4">
        <f>IF($C186=$D$11,-$D$6,0)-IF($C186&lt;H$113,$D186,0)+IF($C186=H$113,H$148,0)</f>
        <v>-127.8388862586996</v>
      </c>
      <c r="I186" s="4">
        <f>IF($C186=$D$11,-$D$6,0)-IF($C186&lt;I$113,$D186,0)+IF($C186=I$113,I$148,0)</f>
        <v>-127.8388862586996</v>
      </c>
      <c r="J186" s="4">
        <f>IF($C186=$D$11,-$D$6,0)-IF($C186&lt;J$113,$D186,0)+IF($C186=J$113,J$148,0)</f>
        <v>-127.8388862586996</v>
      </c>
    </row>
    <row r="187">
      <c r="B187" t="s" s="9">
        <v>238</v>
      </c>
      <c r="C187" s="35">
        <f>G$11</f>
        <v>47118</v>
      </c>
      <c r="D187" s="30">
        <f>G$17</f>
        <v>127.48959968422228</v>
      </c>
      <c r="F187" s="4">
        <f>IF($C187=$D$11,-$D$6,0)-IF($C187&lt;F$113,$D187,0)+IF($C187=F$113,F$148,0)</f>
        <v>0</v>
      </c>
      <c r="G187" s="4">
        <f>IF($C187=$D$11,-$D$6,0)-IF($C187&lt;G$113,$D187,0)+IF($C187=G$113,G$148,0)</f>
        <v>11248.429655773354</v>
      </c>
      <c r="H187" s="4">
        <f>IF($C187=$D$11,-$D$6,0)-IF($C187&lt;H$113,$D187,0)+IF($C187=H$113,H$148,0)</f>
        <v>-127.48959968422228</v>
      </c>
      <c r="I187" s="4">
        <f>IF($C187=$D$11,-$D$6,0)-IF($C187&lt;I$113,$D187,0)+IF($C187=I$113,I$148,0)</f>
        <v>-127.48959968422228</v>
      </c>
      <c r="J187" s="4">
        <f>IF($C187=$D$11,-$D$6,0)-IF($C187&lt;J$113,$D187,0)+IF($C187=J$113,J$148,0)</f>
        <v>-127.48959968422228</v>
      </c>
    </row>
    <row r="188">
      <c r="B188" t="s" s="9">
        <v>238</v>
      </c>
      <c r="C188" s="35">
        <f>H$11</f>
        <v>47483</v>
      </c>
      <c r="D188" s="30">
        <f>H$17</f>
        <v>127.48959968422228</v>
      </c>
      <c r="F188" s="4">
        <f>IF($C188=$D$11,-$D$6,0)-IF($C188&lt;F$113,$D188,0)+IF($C188=F$113,F$148,0)</f>
        <v>0</v>
      </c>
      <c r="G188" s="4">
        <f>IF($C188=$D$11,-$D$6,0)-IF($C188&lt;G$113,$D188,0)+IF($C188=G$113,G$148,0)</f>
        <v>0</v>
      </c>
      <c r="H188" s="4">
        <f>IF($C188=$D$11,-$D$6,0)-IF($C188&lt;H$113,$D188,0)+IF($C188=H$113,H$148,0)</f>
        <v>13822.726464107749</v>
      </c>
      <c r="I188" s="4">
        <f>IF($C188=$D$11,-$D$6,0)-IF($C188&lt;I$113,$D188,0)+IF($C188=I$113,I$148,0)</f>
        <v>-127.48959968422228</v>
      </c>
      <c r="J188" s="4">
        <f>IF($C188=$D$11,-$D$6,0)-IF($C188&lt;J$113,$D188,0)+IF($C188=J$113,J$148,0)</f>
        <v>-127.48959968422228</v>
      </c>
    </row>
    <row r="189">
      <c r="B189" t="s" s="9">
        <v>238</v>
      </c>
      <c r="C189" s="35">
        <f>I$11</f>
        <v>47848</v>
      </c>
      <c r="D189" s="30">
        <f>I$17</f>
        <v>120.88808342660093</v>
      </c>
      <c r="F189" s="4">
        <f>IF($C189=$D$11,-$D$6,0)-IF($C189&lt;F$113,$D189,0)+IF($C189=F$113,F$148,0)</f>
        <v>0</v>
      </c>
      <c r="G189" s="4">
        <f>IF($C189=$D$11,-$D$6,0)-IF($C189&lt;G$113,$D189,0)+IF($C189=G$113,G$148,0)</f>
        <v>0</v>
      </c>
      <c r="H189" s="4">
        <f>IF($C189=$D$11,-$D$6,0)-IF($C189&lt;H$113,$D189,0)+IF($C189=H$113,H$148,0)</f>
        <v>0</v>
      </c>
      <c r="I189" s="4">
        <f>IF($C189=$D$11,-$D$6,0)-IF($C189&lt;I$113,$D189,0)+IF($C189=I$113,I$148,0)</f>
        <v>16542.83514226461</v>
      </c>
      <c r="J189" s="4">
        <f>IF($C189=$D$11,-$D$6,0)-IF($C189&lt;J$113,$D189,0)+IF($C189=J$113,J$148,0)</f>
        <v>-120.88808342660093</v>
      </c>
    </row>
    <row r="190">
      <c r="B190" t="s" s="9">
        <v>238</v>
      </c>
      <c r="C190" s="35">
        <f>J$11</f>
        <v>48213</v>
      </c>
      <c r="D190" s="30">
        <f>J$17</f>
        <v>0</v>
      </c>
      <c r="F190" s="4">
        <f>IF($C190=$D$11,-$D$6,0)-IF($C190&lt;F$113,$D190,0)+IF($C190=F$113,F$148,0)</f>
        <v>0</v>
      </c>
      <c r="G190" s="4">
        <f>IF($C190=$D$11,-$D$6,0)-IF($C190&lt;G$113,$D190,0)+IF($C190=G$113,G$148,0)</f>
        <v>0</v>
      </c>
      <c r="H190" s="4">
        <f>IF($C190=$D$11,-$D$6,0)-IF($C190&lt;H$113,$D190,0)+IF($C190=H$113,H$148,0)</f>
        <v>0</v>
      </c>
      <c r="I190" s="4">
        <f>IF($C190=$D$11,-$D$6,0)-IF($C190&lt;I$113,$D190,0)+IF($C190=I$113,I$148,0)</f>
        <v>0</v>
      </c>
      <c r="J190" s="4">
        <f>IF($C190=$D$11,-$D$6,0)-IF($C190&lt;J$113,$D190,0)+IF($C190=J$113,J$148,0)</f>
        <v>19585.257719928843</v>
      </c>
    </row>
    <row r="192">
      <c r="B192" t="s" s="15">
        <v>240</v>
      </c>
    </row>
    <row r="193">
      <c r="C193" t="s" s="18">
        <v>71</v>
      </c>
      <c r="D193" t="s" s="18">
        <v>236</v>
      </c>
      <c r="E193" s="18"/>
      <c r="F193" s="17">
        <f>F$113</f>
        <v>46752</v>
      </c>
      <c r="G193" s="17">
        <f>G$113</f>
        <v>47118</v>
      </c>
      <c r="H193" s="17">
        <f>H$113</f>
        <v>47483</v>
      </c>
      <c r="I193" s="17">
        <f>I$113</f>
        <v>47848</v>
      </c>
      <c r="J193" s="17">
        <f>J$113</f>
        <v>48213</v>
      </c>
    </row>
    <row r="194">
      <c r="B194" t="s" s="9">
        <v>237</v>
      </c>
      <c r="C194" s="35">
        <f>D$11</f>
        <v>46198</v>
      </c>
      <c r="D194" s="30">
        <f>D$17</f>
        <v>66.01516257621373</v>
      </c>
      <c r="F194" s="4">
        <f>IF($C194=$D$11,-$D$6,0)-IF($C194&lt;F$113,$D194,0)+IF($C194=F$113,F$121,0)</f>
        <v>-5803.047148366217</v>
      </c>
      <c r="G194" s="4">
        <f>IF($C194=$D$11,-$D$6,0)-IF($C194&lt;G$113,$D194,0)+IF($C194=G$113,G$121,0)</f>
        <v>-5803.047148366217</v>
      </c>
      <c r="H194" s="4">
        <f>IF($C194=$D$11,-$D$6,0)-IF($C194&lt;H$113,$D194,0)+IF($C194=H$113,H$121,0)</f>
        <v>-5803.047148366217</v>
      </c>
      <c r="I194" s="4">
        <f>IF($C194=$D$11,-$D$6,0)-IF($C194&lt;I$113,$D194,0)+IF($C194=I$113,I$121,0)</f>
        <v>-5803.047148366217</v>
      </c>
      <c r="J194" s="4">
        <f>IF($C194=$D$11,-$D$6,0)-IF($C194&lt;J$113,$D194,0)+IF($C194=J$113,J$121,0)</f>
        <v>-5803.047148366217</v>
      </c>
    </row>
    <row r="195">
      <c r="B195" t="s" s="9">
        <v>238</v>
      </c>
      <c r="C195" s="35">
        <f>E$11</f>
        <v>46387</v>
      </c>
      <c r="D195" s="30">
        <f>E$17</f>
        <v>127.48959968422228</v>
      </c>
      <c r="F195" s="4">
        <f>IF($C195=$D$11,-$D$6,0)-IF($C195&lt;F$113,$D195,0)+IF($C195=F$113,F$121,0)</f>
        <v>-127.48959968422228</v>
      </c>
      <c r="G195" s="4">
        <f>IF($C195=$D$11,-$D$6,0)-IF($C195&lt;G$113,$D195,0)+IF($C195=G$113,G$121,0)</f>
        <v>-127.48959968422228</v>
      </c>
      <c r="H195" s="4">
        <f>IF($C195=$D$11,-$D$6,0)-IF($C195&lt;H$113,$D195,0)+IF($C195=H$113,H$121,0)</f>
        <v>-127.48959968422228</v>
      </c>
      <c r="I195" s="4">
        <f>IF($C195=$D$11,-$D$6,0)-IF($C195&lt;I$113,$D195,0)+IF($C195=I$113,I$121,0)</f>
        <v>-127.48959968422228</v>
      </c>
      <c r="J195" s="4">
        <f>IF($C195=$D$11,-$D$6,0)-IF($C195&lt;J$113,$D195,0)+IF($C195=J$113,J$121,0)</f>
        <v>-127.48959968422228</v>
      </c>
    </row>
    <row r="196">
      <c r="B196" t="s" s="9">
        <v>238</v>
      </c>
      <c r="C196" s="35">
        <f>F$11</f>
        <v>46752</v>
      </c>
      <c r="D196" s="30">
        <f>F$17</f>
        <v>127.8388862586996</v>
      </c>
      <c r="F196" s="4">
        <f>IF($C196=$D$11,-$D$6,0)-IF($C196&lt;F$113,$D196,0)+IF($C196=F$113,F$121,0)</f>
        <v>9802.75186296582</v>
      </c>
      <c r="G196" s="4">
        <f>IF($C196=$D$11,-$D$6,0)-IF($C196&lt;G$113,$D196,0)+IF($C196=G$113,G$121,0)</f>
        <v>-127.8388862586996</v>
      </c>
      <c r="H196" s="4">
        <f>IF($C196=$D$11,-$D$6,0)-IF($C196&lt;H$113,$D196,0)+IF($C196=H$113,H$121,0)</f>
        <v>-127.8388862586996</v>
      </c>
      <c r="I196" s="4">
        <f>IF($C196=$D$11,-$D$6,0)-IF($C196&lt;I$113,$D196,0)+IF($C196=I$113,I$121,0)</f>
        <v>-127.8388862586996</v>
      </c>
      <c r="J196" s="4">
        <f>IF($C196=$D$11,-$D$6,0)-IF($C196&lt;J$113,$D196,0)+IF($C196=J$113,J$121,0)</f>
        <v>-127.8388862586996</v>
      </c>
    </row>
    <row r="197">
      <c r="B197" t="s" s="9">
        <v>238</v>
      </c>
      <c r="C197" s="35">
        <f>G$11</f>
        <v>47118</v>
      </c>
      <c r="D197" s="30">
        <f>G$17</f>
        <v>127.48959968422228</v>
      </c>
      <c r="F197" s="4">
        <f>IF($C197=$D$11,-$D$6,0)-IF($C197&lt;F$113,$D197,0)+IF($C197=F$113,F$121,0)</f>
        <v>0</v>
      </c>
      <c r="G197" s="4">
        <f>IF($C197=$D$11,-$D$6,0)-IF($C197&lt;G$113,$D197,0)+IF($C197=G$113,G$121,0)</f>
        <v>12626.27907326919</v>
      </c>
      <c r="H197" s="4">
        <f>IF($C197=$D$11,-$D$6,0)-IF($C197&lt;H$113,$D197,0)+IF($C197=H$113,H$121,0)</f>
        <v>-127.48959968422228</v>
      </c>
      <c r="I197" s="4">
        <f>IF($C197=$D$11,-$D$6,0)-IF($C197&lt;I$113,$D197,0)+IF($C197=I$113,I$121,0)</f>
        <v>-127.48959968422228</v>
      </c>
      <c r="J197" s="4">
        <f>IF($C197=$D$11,-$D$6,0)-IF($C197&lt;J$113,$D197,0)+IF($C197=J$113,J$121,0)</f>
        <v>-127.48959968422228</v>
      </c>
    </row>
    <row r="198">
      <c r="B198" t="s" s="9">
        <v>238</v>
      </c>
      <c r="C198" s="35">
        <f>H$11</f>
        <v>47483</v>
      </c>
      <c r="D198" s="30">
        <f>H$17</f>
        <v>127.48959968422228</v>
      </c>
      <c r="F198" s="4">
        <f>IF($C198=$D$11,-$D$6,0)-IF($C198&lt;F$113,$D198,0)+IF($C198=F$113,F$121,0)</f>
        <v>0</v>
      </c>
      <c r="G198" s="4">
        <f>IF($C198=$D$11,-$D$6,0)-IF($C198&lt;G$113,$D198,0)+IF($C198=G$113,G$121,0)</f>
        <v>0</v>
      </c>
      <c r="H198" s="4">
        <f>IF($C198=$D$11,-$D$6,0)-IF($C198&lt;H$113,$D198,0)+IF($C198=H$113,H$121,0)</f>
        <v>15844.150083687184</v>
      </c>
      <c r="I198" s="4">
        <f>IF($C198=$D$11,-$D$6,0)-IF($C198&lt;I$113,$D198,0)+IF($C198=I$113,I$121,0)</f>
        <v>-127.48959968422228</v>
      </c>
      <c r="J198" s="4">
        <f>IF($C198=$D$11,-$D$6,0)-IF($C198&lt;J$113,$D198,0)+IF($C198=J$113,J$121,0)</f>
        <v>-127.48959968422228</v>
      </c>
    </row>
    <row r="199">
      <c r="B199" t="s" s="9">
        <v>238</v>
      </c>
      <c r="C199" s="35">
        <f>I$11</f>
        <v>47848</v>
      </c>
      <c r="D199" s="30">
        <f>I$17</f>
        <v>120.88808342660093</v>
      </c>
      <c r="F199" s="4">
        <f>IF($C199=$D$11,-$D$6,0)-IF($C199&lt;F$113,$D199,0)+IF($C199=F$113,F$121,0)</f>
        <v>0</v>
      </c>
      <c r="G199" s="4">
        <f>IF($C199=$D$11,-$D$6,0)-IF($C199&lt;G$113,$D199,0)+IF($C199=G$113,G$121,0)</f>
        <v>0</v>
      </c>
      <c r="H199" s="4">
        <f>IF($C199=$D$11,-$D$6,0)-IF($C199&lt;H$113,$D199,0)+IF($C199=H$113,H$121,0)</f>
        <v>0</v>
      </c>
      <c r="I199" s="4">
        <f>IF($C199=$D$11,-$D$6,0)-IF($C199&lt;I$113,$D199,0)+IF($C199=I$113,I$121,0)</f>
        <v>19244.28593138326</v>
      </c>
      <c r="J199" s="4">
        <f>IF($C199=$D$11,-$D$6,0)-IF($C199&lt;J$113,$D199,0)+IF($C199=J$113,J$121,0)</f>
        <v>-120.88808342660093</v>
      </c>
    </row>
    <row r="200">
      <c r="B200" t="s" s="9">
        <v>238</v>
      </c>
      <c r="C200" s="35">
        <f>J$11</f>
        <v>48213</v>
      </c>
      <c r="D200" s="30">
        <f>J$17</f>
        <v>0</v>
      </c>
      <c r="F200" s="4">
        <f>IF($C200=$D$11,-$D$6,0)-IF($C200&lt;F$113,$D200,0)+IF($C200=F$113,F$121,0)</f>
        <v>0</v>
      </c>
      <c r="G200" s="4">
        <f>IF($C200=$D$11,-$D$6,0)-IF($C200&lt;G$113,$D200,0)+IF($C200=G$113,G$121,0)</f>
        <v>0</v>
      </c>
      <c r="H200" s="4">
        <f>IF($C200=$D$11,-$D$6,0)-IF($C200&lt;H$113,$D200,0)+IF($C200=H$113,H$121,0)</f>
        <v>0</v>
      </c>
      <c r="I200" s="4">
        <f>IF($C200=$D$11,-$D$6,0)-IF($C200&lt;I$113,$D200,0)+IF($C200=I$113,I$121,0)</f>
        <v>0</v>
      </c>
      <c r="J200" s="4">
        <f>IF($C200=$D$11,-$D$6,0)-IF($C200&lt;J$113,$D200,0)+IF($C200=J$113,J$121,0)</f>
        <v>23047.314153463554</v>
      </c>
    </row>
  </sheetData>
  <pageMargins left="0.7" right="0.7" top="0.75" bottom="0.75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0"/>
  <sheetViews>
    <sheetView showGridLines="0" workbookViewId="0">
      <selection activeCell="A1" sqref="A1"/>
    </sheetView>
  </sheetViews>
  <cols>
    <col min="1" max="1" width="2" customWidth="1"/>
    <col min="2" max="2" width="60" customWidth="1"/>
    <col min="3" max="10" width="11" customWidth="1"/>
    <col min="11" max="11" width="2" customWidth="1"/>
  </cols>
  <sheetData>
    <row r="2">
      <c r="B2" t="s" s="2">
        <v>242</v>
      </c>
    </row>
    <row r="3">
      <c r="B3" t="s" s="8">
        <v>243</v>
      </c>
    </row>
    <row r="4">
      <c r="B4" t="s">
        <v>244</v>
      </c>
      <c r="D4" s="23">
        <f>Assumptions!D6</f>
        <v>47848</v>
      </c>
    </row>
    <row r="6">
      <c r="B6" t="s" s="16">
        <v>245</v>
      </c>
      <c r="C6" s="16"/>
      <c r="D6" s="16"/>
      <c r="E6" s="16"/>
      <c r="F6" s="16"/>
      <c r="G6" s="16"/>
      <c r="H6" s="16"/>
      <c r="I6" s="16"/>
      <c r="J6" s="16"/>
    </row>
    <row r="7">
      <c r="B7" t="s">
        <v>71</v>
      </c>
      <c r="D7" s="36">
        <f>'Fund Waterfall'!D11</f>
        <v>46198</v>
      </c>
      <c r="E7" s="36">
        <f>'Fund Waterfall'!E11</f>
        <v>46387</v>
      </c>
      <c r="F7" s="36">
        <f>'Fund Waterfall'!F11</f>
        <v>46752</v>
      </c>
      <c r="G7" s="36">
        <f>'Fund Waterfall'!G11</f>
        <v>47118</v>
      </c>
      <c r="H7" s="36">
        <f>'Fund Waterfall'!H11</f>
        <v>47483</v>
      </c>
      <c r="I7" s="36">
        <f>'Fund Waterfall'!I11</f>
        <v>47848</v>
      </c>
      <c r="J7" s="36">
        <f>'Fund Waterfall'!J11</f>
        <v>48213</v>
      </c>
    </row>
    <row r="8">
      <c r="B8" t="s" s="9">
        <v>246</v>
      </c>
      <c r="D8" s="22">
        <f>IF(D$7='Fund Waterfall'!$D$11,-'Fund Waterfall'!$D$6,0)</f>
        <v>-5737.031985790003</v>
      </c>
      <c r="E8" s="22">
        <f>IF(E$7='Fund Waterfall'!$D$11,-'Fund Waterfall'!$D$6,0)</f>
        <v>0</v>
      </c>
      <c r="F8" s="22">
        <f>IF(F$7='Fund Waterfall'!$D$11,-'Fund Waterfall'!$D$6,0)</f>
        <v>0</v>
      </c>
      <c r="G8" s="22">
        <f>IF(G$7='Fund Waterfall'!$D$11,-'Fund Waterfall'!$D$6,0)</f>
        <v>0</v>
      </c>
      <c r="H8" s="22">
        <f>IF(H$7='Fund Waterfall'!$D$11,-'Fund Waterfall'!$D$6,0)</f>
        <v>0</v>
      </c>
      <c r="I8" s="22">
        <f>IF(I$7='Fund Waterfall'!$D$11,-'Fund Waterfall'!$D$6,0)</f>
        <v>0</v>
      </c>
      <c r="J8" s="22">
        <f>IF(J$7='Fund Waterfall'!$D$11,-'Fund Waterfall'!$D$6,0)</f>
        <v>0</v>
      </c>
    </row>
    <row r="9">
      <c r="B9" t="s" s="9">
        <v>247</v>
      </c>
      <c r="D9" s="22">
        <f>-IF(D$7&lt;Assumptions!$D$6,'Fund Waterfall'!D$17,0)</f>
        <v>-66.01516257621373</v>
      </c>
      <c r="E9" s="22">
        <f>-IF(E$7&lt;Assumptions!$D$6,'Fund Waterfall'!E$17,0)</f>
        <v>-127.48959968422228</v>
      </c>
      <c r="F9" s="22">
        <f>-IF(F$7&lt;Assumptions!$D$6,'Fund Waterfall'!F$17,0)</f>
        <v>-127.8388862586996</v>
      </c>
      <c r="G9" s="22">
        <f>-IF(G$7&lt;Assumptions!$D$6,'Fund Waterfall'!G$17,0)</f>
        <v>-127.48959968422228</v>
      </c>
      <c r="H9" s="22">
        <f>-IF(H$7&lt;Assumptions!$D$6,'Fund Waterfall'!H$17,0)</f>
        <v>-127.48959968422228</v>
      </c>
      <c r="I9" s="22">
        <f>-IF(I$7&lt;Assumptions!$D$6,'Fund Waterfall'!I$17,0)</f>
        <v>0</v>
      </c>
      <c r="J9" s="22">
        <f>-IF(J$7&lt;Assumptions!$D$6,'Fund Waterfall'!J$17,0)</f>
        <v>0</v>
      </c>
    </row>
    <row r="10">
      <c r="B10" t="s" s="9">
        <v>248</v>
      </c>
      <c r="D10" s="22">
        <f>IF(D$7=Assumptions!$D$6,INDEX('Fund Waterfall'!$F$41:$J$41,MATCH(Assumptions!$D$6,'Fund Waterfall'!$F$22:$J$22,0)),0)</f>
        <v>0</v>
      </c>
      <c r="E10" s="22">
        <f>IF(E$7=Assumptions!$D$6,INDEX('Fund Waterfall'!$F$41:$J$41,MATCH(Assumptions!$D$6,'Fund Waterfall'!$F$22:$J$22,0)),0)</f>
        <v>0</v>
      </c>
      <c r="F10" s="22">
        <f>IF(F$7=Assumptions!$D$6,INDEX('Fund Waterfall'!$F$41:$J$41,MATCH(Assumptions!$D$6,'Fund Waterfall'!$F$22:$J$22,0)),0)</f>
        <v>0</v>
      </c>
      <c r="G10" s="22">
        <f>IF(G$7=Assumptions!$D$6,INDEX('Fund Waterfall'!$F$41:$J$41,MATCH(Assumptions!$D$6,'Fund Waterfall'!$F$22:$J$22,0)),0)</f>
        <v>0</v>
      </c>
      <c r="H10" s="22">
        <f>IF(H$7=Assumptions!$D$6,INDEX('Fund Waterfall'!$F$41:$J$41,MATCH(Assumptions!$D$6,'Fund Waterfall'!$F$22:$J$22,0)),0)</f>
        <v>0</v>
      </c>
      <c r="I10" s="22">
        <f>IF(I$7=Assumptions!$D$6,INDEX('Fund Waterfall'!$F$41:$J$41,MATCH(Assumptions!$D$6,'Fund Waterfall'!$F$22:$J$22,0)),0)</f>
        <v>11652.081882776567</v>
      </c>
      <c r="J10" s="22">
        <f>IF(J$7=Assumptions!$D$6,INDEX('Fund Waterfall'!$F$41:$J$41,MATCH(Assumptions!$D$6,'Fund Waterfall'!$F$22:$J$22,0)),0)</f>
        <v>0</v>
      </c>
    </row>
    <row r="11">
      <c r="B11" t="s" s="12">
        <v>249</v>
      </c>
      <c r="C11" s="10"/>
      <c r="D11" s="11">
        <f>SUM(D8:D10)</f>
        <v>-5803.047148366217</v>
      </c>
      <c r="E11" s="11">
        <f>SUM(E8:E10)</f>
        <v>-127.48959968422228</v>
      </c>
      <c r="F11" s="11">
        <f>SUM(F8:F10)</f>
        <v>-127.8388862586996</v>
      </c>
      <c r="G11" s="11">
        <f>SUM(G8:G10)</f>
        <v>-127.48959968422228</v>
      </c>
      <c r="H11" s="11">
        <f>SUM(H8:H10)</f>
        <v>-127.48959968422228</v>
      </c>
      <c r="I11" s="11">
        <f>SUM(I8:I10)</f>
        <v>11652.081882776567</v>
      </c>
      <c r="J11" s="11">
        <f>SUM(J8:J10)</f>
        <v>0</v>
      </c>
    </row>
    <row r="12">
      <c r="B12" t="s">
        <v>250</v>
      </c>
      <c r="D12" s="4">
        <f>SUM($D11:D11)</f>
        <v>-5803.047148366217</v>
      </c>
      <c r="E12" s="4">
        <f>SUM($D11:E11)</f>
        <v>-5930.536748050439</v>
      </c>
      <c r="F12" s="4">
        <f>SUM($D11:F11)</f>
        <v>-6058.375634309139</v>
      </c>
      <c r="G12" s="4">
        <f>SUM($D11:G11)</f>
        <v>-6185.8652339933615</v>
      </c>
      <c r="H12" s="4">
        <f>SUM($D11:H11)</f>
        <v>-6313.354833677584</v>
      </c>
      <c r="I12" s="4">
        <f>SUM($D11:I11)</f>
        <v>5338.727049098983</v>
      </c>
      <c r="J12" s="4">
        <f>SUM($D11:J11)</f>
        <v>5338.727049098983</v>
      </c>
    </row>
    <row r="14">
      <c r="B14" t="s">
        <v>251</v>
      </c>
      <c r="D14" s="4">
        <f>-SUM($D8:D9)</f>
        <v>5803.047148366217</v>
      </c>
      <c r="E14" s="4">
        <f>-SUM($D8:E9)</f>
        <v>5930.536748050439</v>
      </c>
      <c r="F14" s="4">
        <f>-SUM($D8:F9)</f>
        <v>6058.375634309139</v>
      </c>
      <c r="G14" s="4">
        <f>-SUM($D8:G9)</f>
        <v>6185.8652339933615</v>
      </c>
      <c r="H14" s="4">
        <f>-SUM($D8:H9)</f>
        <v>6313.354833677584</v>
      </c>
      <c r="I14" s="4">
        <f>-SUM($D8:I9)</f>
        <v>6313.354833677584</v>
      </c>
      <c r="J14" s="4">
        <f>-SUM($D8:J9)</f>
        <v>6313.354833677584</v>
      </c>
    </row>
    <row r="15">
      <c r="B15" t="s">
        <v>252</v>
      </c>
      <c r="D15" s="4">
        <f>SUM($D10:D10)</f>
        <v>0</v>
      </c>
      <c r="E15" s="4">
        <f>SUM($D10:E10)</f>
        <v>0</v>
      </c>
      <c r="F15" s="4">
        <f>SUM($D10:F10)</f>
        <v>0</v>
      </c>
      <c r="G15" s="4">
        <f>SUM($D10:G10)</f>
        <v>0</v>
      </c>
      <c r="H15" s="4">
        <f>SUM($D10:H10)</f>
        <v>0</v>
      </c>
      <c r="I15" s="4">
        <f>SUM($D10:I10)</f>
        <v>11652.081882776567</v>
      </c>
      <c r="J15" s="4">
        <f>SUM($D10:J10)</f>
        <v>11652.081882776567</v>
      </c>
    </row>
    <row r="16">
      <c r="B16" t="s">
        <v>253</v>
      </c>
      <c r="D16" s="22">
        <f>'LBO Inputs'!$D$10</f>
        <v>5737.031985790003</v>
      </c>
      <c r="E16" s="22">
        <f>('LBO Inputs'!$D$24+Assumptions!$D$7)*'LBO Inputs'!F21-'LBO Inputs'!E23</f>
        <v>7250.75774200701</v>
      </c>
      <c r="F16" s="22">
        <f>'Deal Returns'!F14</f>
        <v>8616.545201991903</v>
      </c>
      <c r="G16" s="22">
        <f>'Deal Returns'!G14</f>
        <v>10252.000870159249</v>
      </c>
      <c r="H16" s="22">
        <f>'Deal Returns'!H14</f>
        <v>11877.707845807152</v>
      </c>
      <c r="I16" s="22">
        <f>'Deal Returns'!I14</f>
        <v>13617.17509368273</v>
      </c>
      <c r="J16" s="22">
        <f>'Deal Returns'!J14</f>
        <v>15448.117319740028</v>
      </c>
    </row>
    <row r="17">
      <c r="B17" t="s" s="9">
        <v>254</v>
      </c>
      <c r="D17" s="22">
        <f>-Assumptions!$D$12*MAX(0,D16-'LBO Inputs'!$D$10*Assumptions!$D$13)*IF(Assumptions!$D$15=1,1,MIN(1,YEARFRAC('Fund Waterfall'!$D$11,D$7,1)/Assumptions!$D$14))</f>
        <v>0</v>
      </c>
      <c r="E17" s="22">
        <f>-Assumptions!$D$12*MAX(0,E16-'LBO Inputs'!$D$10*Assumptions!$D$13)*IF(Assumptions!$D$15=1,1,MIN(1,YEARFRAC('Fund Waterfall'!$D$11,E$7,1)/Assumptions!$D$14))</f>
        <v>-121.09806049736056</v>
      </c>
      <c r="F17" s="22">
        <f>-Assumptions!$D$12*MAX(0,F16-'LBO Inputs'!$D$10*Assumptions!$D$13)*IF(Assumptions!$D$15=1,1,MIN(1,YEARFRAC('Fund Waterfall'!$D$11,F$7,1)/Assumptions!$D$14))</f>
        <v>-230.361057296152</v>
      </c>
      <c r="G17" s="22">
        <f>-Assumptions!$D$12*MAX(0,G16-'LBO Inputs'!$D$10*Assumptions!$D$13)*IF(Assumptions!$D$15=1,1,MIN(1,YEARFRAC('Fund Waterfall'!$D$11,G$7,1)/Assumptions!$D$14))</f>
        <v>-361.1975107495397</v>
      </c>
      <c r="H17" s="22">
        <f>-Assumptions!$D$12*MAX(0,H16-'LBO Inputs'!$D$10*Assumptions!$D$13)*IF(Assumptions!$D$15=1,1,MIN(1,YEARFRAC('Fund Waterfall'!$D$11,H$7,1)/Assumptions!$D$14))</f>
        <v>-491.2540688013719</v>
      </c>
      <c r="I17" s="22">
        <f>-Assumptions!$D$12*MAX(0,I16-'LBO Inputs'!$D$10*Assumptions!$D$13)*IF(Assumptions!$D$15=1,1,MIN(1,YEARFRAC('Fund Waterfall'!$D$11,I$7,1)/Assumptions!$D$14))</f>
        <v>-630.4114486314182</v>
      </c>
      <c r="J17" s="22">
        <f>-Assumptions!$D$12*MAX(0,J16-'LBO Inputs'!$D$10*Assumptions!$D$13)*IF(Assumptions!$D$15=1,1,MIN(1,YEARFRAC('Fund Waterfall'!$D$11,J$7,1)/Assumptions!$D$14))</f>
        <v>-776.886826716002</v>
      </c>
    </row>
    <row r="18">
      <c r="B18" t="s">
        <v>255</v>
      </c>
      <c r="D18" s="4">
        <f>D16+D17</f>
        <v>5737.031985790003</v>
      </c>
      <c r="E18" s="4">
        <f>E16+E17</f>
        <v>7129.65968150965</v>
      </c>
      <c r="F18" s="4">
        <f>F16+F17</f>
        <v>8386.184144695751</v>
      </c>
      <c r="G18" s="4">
        <f>G16+G17</f>
        <v>9890.803359409709</v>
      </c>
      <c r="H18" s="4">
        <f>H16+H17</f>
        <v>11386.45377700578</v>
      </c>
      <c r="I18" s="4">
        <f>I16+I17</f>
        <v>12986.763645051313</v>
      </c>
      <c r="J18" s="4">
        <f>J16+J17</f>
        <v>14671.230493024026</v>
      </c>
    </row>
    <row r="19">
      <c r="B19" t="s">
        <v>256</v>
      </c>
      <c r="D19" s="22">
        <f>'Fund Waterfall'!$D$6*((1+Assumptions!$D$21)^((D$7-'Fund Waterfall'!$D$11)/Assumptions!$D$24)-1)+SUMPRODUCT('Fund Waterfall'!$D$17:$J$17*((1+Assumptions!$D$21)^((D$7-'Fund Waterfall'!$D$11:$J$11)/Assumptions!$D$24)-1)*('Fund Waterfall'!$D$11:$J$11&lt;D$7))</f>
        <v>0</v>
      </c>
      <c r="E19" s="22">
        <f>'Fund Waterfall'!$D$6*((1+Assumptions!$D$21)^((E$7-'Fund Waterfall'!$D$11)/Assumptions!$D$24)-1)+SUMPRODUCT('Fund Waterfall'!$D$17:$J$17*((1+Assumptions!$D$21)^((E$7-'Fund Waterfall'!$D$11:$J$11)/Assumptions!$D$24)-1)*('Fund Waterfall'!$D$11:$J$11&lt;E$7))</f>
        <v>235.92733288258754</v>
      </c>
      <c r="F19" s="22">
        <f>'Fund Waterfall'!$D$6*((1+Assumptions!$D$21)^((F$7-'Fund Waterfall'!$D$11)/Assumptions!$D$24)-1)+SUMPRODUCT('Fund Waterfall'!$D$17:$J$17*((1+Assumptions!$D$21)^((F$7-'Fund Waterfall'!$D$11:$J$11)/Assumptions!$D$24)-1)*('Fund Waterfall'!$D$11:$J$11&lt;F$7))</f>
        <v>729.2444593572301</v>
      </c>
      <c r="G19" s="22">
        <f>'Fund Waterfall'!$D$6*((1+Assumptions!$D$21)^((G$7-'Fund Waterfall'!$D$11)/Assumptions!$D$24)-1)+SUMPRODUCT('Fund Waterfall'!$D$17:$J$17*((1+Assumptions!$D$21)^((G$7-'Fund Waterfall'!$D$11:$J$11)/Assumptions!$D$24)-1)*('Fund Waterfall'!$D$11:$J$11&lt;G$7))</f>
        <v>1273.7999089784976</v>
      </c>
      <c r="H19" s="22">
        <f>'Fund Waterfall'!$D$6*((1+Assumptions!$D$21)^((H$7-'Fund Waterfall'!$D$11)/Assumptions!$D$24)-1)+SUMPRODUCT('Fund Waterfall'!$D$17:$J$17*((1+Assumptions!$D$21)^((H$7-'Fund Waterfall'!$D$11:$J$11)/Assumptions!$D$24)-1)*('Fund Waterfall'!$D$11:$J$11&lt;H$7))</f>
        <v>1870.5731204162462</v>
      </c>
      <c r="I19" s="22">
        <f>'Fund Waterfall'!$D$6*((1+Assumptions!$D$21)^((I$7-'Fund Waterfall'!$D$11)/Assumptions!$D$24)-1)+SUMPRODUCT('Fund Waterfall'!$D$17:$J$17*((1+Assumptions!$D$21)^((I$7-'Fund Waterfall'!$D$11:$J$11)/Assumptions!$D$24)-1)*('Fund Waterfall'!$D$11:$J$11&lt;I$7))</f>
        <v>2525.287356743754</v>
      </c>
      <c r="J19" s="22">
        <f>'Fund Waterfall'!$D$6*((1+Assumptions!$D$21)^((J$7-'Fund Waterfall'!$D$11)/Assumptions!$D$24)-1)+SUMPRODUCT('Fund Waterfall'!$D$17:$J$17*((1+Assumptions!$D$21)^((J$7-'Fund Waterfall'!$D$11:$J$11)/Assumptions!$D$24)-1)*('Fund Waterfall'!$D$11:$J$11&lt;J$7))</f>
        <v>3242.049778651589</v>
      </c>
    </row>
    <row r="20">
      <c r="B20" t="s" s="9">
        <v>257</v>
      </c>
      <c r="D20" s="22">
        <f>-(Assumptions!$D$22*MIN(MAX(0,D18-D14-D19),Assumptions!$D$23*D19/(Assumptions!$D$22-Assumptions!$D$23))+Assumptions!$D$23*MAX(0,MAX(0,D18-D14-D19)-Assumptions!$D$23*D19/(Assumptions!$D$22-Assumptions!$D$23)))</f>
        <v>0</v>
      </c>
      <c r="E20" s="22">
        <f>-(Assumptions!$D$22*MIN(MAX(0,E18-E14-E19),Assumptions!$D$23*E19/(Assumptions!$D$22-Assumptions!$D$23))+Assumptions!$D$23*MAX(0,MAX(0,E18-E14-E19)-Assumptions!$D$23*E19/(Assumptions!$D$22-Assumptions!$D$23)))</f>
        <v>-239.82458669184217</v>
      </c>
      <c r="F20" s="22">
        <f>-(Assumptions!$D$22*MIN(MAX(0,F18-F14-F19),Assumptions!$D$23*F19/(Assumptions!$D$22-Assumptions!$D$23))+Assumptions!$D$23*MAX(0,MAX(0,F18-F14-F19)-Assumptions!$D$23*F19/(Assumptions!$D$22-Assumptions!$D$23)))</f>
        <v>-465.5617020773225</v>
      </c>
      <c r="G20" s="22">
        <f>-(Assumptions!$D$22*MIN(MAX(0,G18-G14-G19),Assumptions!$D$23*G19/(Assumptions!$D$22-Assumptions!$D$23))+Assumptions!$D$23*MAX(0,MAX(0,G18-G14-G19)-Assumptions!$D$23*G19/(Assumptions!$D$22-Assumptions!$D$23)))</f>
        <v>-740.9876250832694</v>
      </c>
      <c r="H20" s="22">
        <f>-(Assumptions!$D$22*MIN(MAX(0,H18-H14-H19),Assumptions!$D$23*H19/(Assumptions!$D$22-Assumptions!$D$23))+Assumptions!$D$23*MAX(0,MAX(0,H18-H14-H19)-Assumptions!$D$23*H19/(Assumptions!$D$22-Assumptions!$D$23)))</f>
        <v>-1014.6197886656391</v>
      </c>
      <c r="I20" s="22">
        <f>-(Assumptions!$D$22*MIN(MAX(0,I18-I14-I19),Assumptions!$D$23*I19/(Assumptions!$D$22-Assumptions!$D$23))+Assumptions!$D$23*MAX(0,MAX(0,I18-I14-I19)-Assumptions!$D$23*I19/(Assumptions!$D$22-Assumptions!$D$23)))</f>
        <v>-1334.6817622747458</v>
      </c>
      <c r="J20" s="22">
        <f>-(Assumptions!$D$22*MIN(MAX(0,J18-J14-J19),Assumptions!$D$23*J19/(Assumptions!$D$22-Assumptions!$D$23))+Assumptions!$D$23*MAX(0,MAX(0,J18-J14-J19)-Assumptions!$D$23*J19/(Assumptions!$D$22-Assumptions!$D$23)))</f>
        <v>-1671.5751318692885</v>
      </c>
    </row>
    <row r="21">
      <c r="B21" t="s" s="12">
        <v>258</v>
      </c>
      <c r="C21" s="10"/>
      <c r="D21" s="27">
        <f>IF(D$7&lt;Assumptions!$D$6,D18+D20,0)</f>
        <v>5737.031985790003</v>
      </c>
      <c r="E21" s="27">
        <f>IF(E$7&lt;Assumptions!$D$6,E18+E20,0)</f>
        <v>6889.835094817808</v>
      </c>
      <c r="F21" s="27">
        <f>IF(F$7&lt;Assumptions!$D$6,F18+F20,0)</f>
        <v>7920.622442618429</v>
      </c>
      <c r="G21" s="27">
        <f>IF(G$7&lt;Assumptions!$D$6,G18+G20,0)</f>
        <v>9149.81573432644</v>
      </c>
      <c r="H21" s="27">
        <f>IF(H$7&lt;Assumptions!$D$6,H18+H20,0)</f>
        <v>10371.83398834014</v>
      </c>
      <c r="I21" s="27">
        <f>IF(I$7&lt;Assumptions!$D$6,I18+I20,0)</f>
        <v>0</v>
      </c>
      <c r="J21" s="27">
        <f>IF(J$7&lt;Assumptions!$D$6,J18+J20,0)</f>
        <v>0</v>
      </c>
    </row>
    <row r="23">
      <c r="B23" t="s">
        <v>259</v>
      </c>
      <c r="D23" s="5">
        <f>D15/D14</f>
        <v>0</v>
      </c>
      <c r="E23" s="5">
        <f>E15/E14</f>
        <v>0</v>
      </c>
      <c r="F23" s="5">
        <f>F15/F14</f>
        <v>0</v>
      </c>
      <c r="G23" s="5">
        <f>G15/G14</f>
        <v>0</v>
      </c>
      <c r="H23" s="5">
        <f>H15/H14</f>
        <v>0</v>
      </c>
      <c r="I23" s="5">
        <f>I15/I14</f>
        <v>1.8456244246910367</v>
      </c>
      <c r="J23" s="5">
        <f>J15/J14</f>
        <v>1.8456244246910367</v>
      </c>
    </row>
    <row r="24">
      <c r="B24" t="s">
        <v>260</v>
      </c>
      <c r="D24" s="5">
        <f>D21/D14</f>
        <v>0.9886240520043337</v>
      </c>
      <c r="E24" s="5">
        <f>E21/E14</f>
        <v>1.161755737721838</v>
      </c>
      <c r="F24" s="5">
        <f>F21/F14</f>
        <v>1.3073838468785617</v>
      </c>
      <c r="G24" s="5">
        <f>G21/G14</f>
        <v>1.4791488964300736</v>
      </c>
      <c r="H24" s="5">
        <f>H21/H14</f>
        <v>1.6428403379156273</v>
      </c>
      <c r="I24" s="5">
        <f>I21/I14</f>
        <v>0</v>
      </c>
      <c r="J24" s="5">
        <f>J21/J14</f>
        <v>0</v>
      </c>
    </row>
    <row r="25">
      <c r="B25" t="s" s="1">
        <v>261</v>
      </c>
      <c r="C25" s="1"/>
      <c r="D25" s="13">
        <f>D23+D24</f>
        <v>0.9886240520043337</v>
      </c>
      <c r="E25" s="13">
        <f>E23+E24</f>
        <v>1.161755737721838</v>
      </c>
      <c r="F25" s="13">
        <f>F23+F24</f>
        <v>1.3073838468785617</v>
      </c>
      <c r="G25" s="13">
        <f>G23+G24</f>
        <v>1.4791488964300736</v>
      </c>
      <c r="H25" s="13">
        <f>H23+H24</f>
        <v>1.6428403379156273</v>
      </c>
      <c r="I25" s="13">
        <f>I23+I24</f>
        <v>1.8456244246910367</v>
      </c>
      <c r="J25" s="13">
        <f>J23+J24</f>
        <v>1.8456244246910367</v>
      </c>
    </row>
    <row r="26">
      <c r="B26" t="s" s="1">
        <v>262</v>
      </c>
      <c r="C26" s="1"/>
      <c r="D26" s="14">
        <f>XIRR(D11:J11,D7:J7)</f>
        <v>0.15008512139320376</v>
      </c>
      <c r="E26" s="1"/>
      <c r="F26" s="1"/>
      <c r="G26" s="1"/>
      <c r="H26" s="1"/>
      <c r="I26" s="1"/>
      <c r="J26" s="1"/>
    </row>
    <row r="30">
      <c r="B30" t="s" s="16">
        <v>263</v>
      </c>
      <c r="C30" s="16"/>
      <c r="D30" s="16"/>
      <c r="E30" s="16"/>
      <c r="F30" s="16"/>
      <c r="G30" s="16"/>
      <c r="H30" s="16"/>
      <c r="I30" s="16"/>
      <c r="J30" s="16"/>
    </row>
    <row r="31">
      <c r="B31" t="s">
        <v>71</v>
      </c>
      <c r="D31" s="36">
        <f>'Fund Waterfall'!D11</f>
        <v>46198</v>
      </c>
      <c r="E31" s="36">
        <f>'Fund Waterfall'!E11</f>
        <v>46387</v>
      </c>
      <c r="F31" s="36">
        <f>'Fund Waterfall'!F11</f>
        <v>46752</v>
      </c>
      <c r="G31" s="36">
        <f>'Fund Waterfall'!G11</f>
        <v>47118</v>
      </c>
      <c r="H31" s="36">
        <f>'Fund Waterfall'!H11</f>
        <v>47483</v>
      </c>
      <c r="I31" s="36">
        <f>'Fund Waterfall'!I11</f>
        <v>47848</v>
      </c>
      <c r="J31" s="36">
        <f>'Fund Waterfall'!J11</f>
        <v>48213</v>
      </c>
    </row>
    <row r="32">
      <c r="B32" t="s" s="9">
        <v>246</v>
      </c>
      <c r="D32" s="22">
        <f>IF(D$31='Fund Waterfall'!$D$11,-'Fund Waterfall'!$D$6,0)</f>
        <v>-5737.031985790003</v>
      </c>
      <c r="E32" s="22">
        <f>IF(E$31='Fund Waterfall'!$D$11,-'Fund Waterfall'!$D$6,0)</f>
        <v>0</v>
      </c>
      <c r="F32" s="22">
        <f>IF(F$31='Fund Waterfall'!$D$11,-'Fund Waterfall'!$D$6,0)</f>
        <v>0</v>
      </c>
      <c r="G32" s="22">
        <f>IF(G$31='Fund Waterfall'!$D$11,-'Fund Waterfall'!$D$6,0)</f>
        <v>0</v>
      </c>
      <c r="H32" s="22">
        <f>IF(H$31='Fund Waterfall'!$D$11,-'Fund Waterfall'!$D$6,0)</f>
        <v>0</v>
      </c>
      <c r="I32" s="22">
        <f>IF(I$31='Fund Waterfall'!$D$11,-'Fund Waterfall'!$D$6,0)</f>
        <v>0</v>
      </c>
      <c r="J32" s="22">
        <f>IF(J$31='Fund Waterfall'!$D$11,-'Fund Waterfall'!$D$6,0)</f>
        <v>0</v>
      </c>
    </row>
    <row r="33">
      <c r="B33" t="s" s="9">
        <v>247</v>
      </c>
      <c r="D33" s="22">
        <f>-IF(D$31&lt;Assumptions!$D$6,'Fund Waterfall'!D$17,0)</f>
        <v>-66.01516257621373</v>
      </c>
      <c r="E33" s="22">
        <f>-IF(E$31&lt;Assumptions!$D$6,'Fund Waterfall'!E$17,0)</f>
        <v>-127.48959968422228</v>
      </c>
      <c r="F33" s="22">
        <f>-IF(F$31&lt;Assumptions!$D$6,'Fund Waterfall'!F$17,0)</f>
        <v>-127.8388862586996</v>
      </c>
      <c r="G33" s="22">
        <f>-IF(G$31&lt;Assumptions!$D$6,'Fund Waterfall'!G$17,0)</f>
        <v>-127.48959968422228</v>
      </c>
      <c r="H33" s="22">
        <f>-IF(H$31&lt;Assumptions!$D$6,'Fund Waterfall'!H$17,0)</f>
        <v>-127.48959968422228</v>
      </c>
      <c r="I33" s="22">
        <f>-IF(I$31&lt;Assumptions!$D$6,'Fund Waterfall'!I$17,0)</f>
        <v>0</v>
      </c>
      <c r="J33" s="22">
        <f>-IF(J$31&lt;Assumptions!$D$6,'Fund Waterfall'!J$17,0)</f>
        <v>0</v>
      </c>
    </row>
    <row r="34">
      <c r="B34" t="s" s="9">
        <v>248</v>
      </c>
      <c r="D34" s="22">
        <f>IF(D$31=Assumptions!$D$6,INDEX('Fund Waterfall'!$F$132:$J$132,MATCH(Assumptions!$D$6,'Fund Waterfall'!$F$113:$J$113,0)),0)</f>
        <v>0</v>
      </c>
      <c r="E34" s="22">
        <f>IF(E$31=Assumptions!$D$6,INDEX('Fund Waterfall'!$F$132:$J$132,MATCH(Assumptions!$D$6,'Fund Waterfall'!$F$113:$J$113,0)),0)</f>
        <v>0</v>
      </c>
      <c r="F34" s="22">
        <f>IF(F$31=Assumptions!$D$6,INDEX('Fund Waterfall'!$F$132:$J$132,MATCH(Assumptions!$D$6,'Fund Waterfall'!$F$113:$J$113,0)),0)</f>
        <v>0</v>
      </c>
      <c r="G34" s="22">
        <f>IF(G$31=Assumptions!$D$6,INDEX('Fund Waterfall'!$F$132:$J$132,MATCH(Assumptions!$D$6,'Fund Waterfall'!$F$113:$J$113,0)),0)</f>
        <v>0</v>
      </c>
      <c r="H34" s="22">
        <f>IF(H$31=Assumptions!$D$6,INDEX('Fund Waterfall'!$F$132:$J$132,MATCH(Assumptions!$D$6,'Fund Waterfall'!$F$113:$J$113,0)),0)</f>
        <v>0</v>
      </c>
      <c r="I34" s="22">
        <f>IF(I$31=Assumptions!$D$6,INDEX('Fund Waterfall'!$F$132:$J$132,MATCH(Assumptions!$D$6,'Fund Waterfall'!$F$113:$J$113,0)),0)</f>
        <v>16658.099711842122</v>
      </c>
      <c r="J34" s="22">
        <f>IF(J$31=Assumptions!$D$6,INDEX('Fund Waterfall'!$F$132:$J$132,MATCH(Assumptions!$D$6,'Fund Waterfall'!$F$113:$J$113,0)),0)</f>
        <v>0</v>
      </c>
    </row>
    <row r="35">
      <c r="B35" t="s" s="12">
        <v>249</v>
      </c>
      <c r="C35" s="10"/>
      <c r="D35" s="11">
        <f>SUM(D32:D34)</f>
        <v>-5803.047148366217</v>
      </c>
      <c r="E35" s="11">
        <f>SUM(E32:E34)</f>
        <v>-127.48959968422228</v>
      </c>
      <c r="F35" s="11">
        <f>SUM(F32:F34)</f>
        <v>-127.8388862586996</v>
      </c>
      <c r="G35" s="11">
        <f>SUM(G32:G34)</f>
        <v>-127.48959968422228</v>
      </c>
      <c r="H35" s="11">
        <f>SUM(H32:H34)</f>
        <v>-127.48959968422228</v>
      </c>
      <c r="I35" s="11">
        <f>SUM(I32:I34)</f>
        <v>16658.099711842122</v>
      </c>
      <c r="J35" s="11">
        <f>SUM(J32:J34)</f>
        <v>0</v>
      </c>
    </row>
    <row r="36">
      <c r="B36" t="s">
        <v>250</v>
      </c>
      <c r="D36" s="4">
        <f>SUM($D35:D35)</f>
        <v>-5803.047148366217</v>
      </c>
      <c r="E36" s="4">
        <f>SUM($D35:E35)</f>
        <v>-5930.536748050439</v>
      </c>
      <c r="F36" s="4">
        <f>SUM($D35:F35)</f>
        <v>-6058.375634309139</v>
      </c>
      <c r="G36" s="4">
        <f>SUM($D35:G35)</f>
        <v>-6185.8652339933615</v>
      </c>
      <c r="H36" s="4">
        <f>SUM($D35:H35)</f>
        <v>-6313.354833677584</v>
      </c>
      <c r="I36" s="4">
        <f>SUM($D35:I35)</f>
        <v>10344.744878164538</v>
      </c>
      <c r="J36" s="4">
        <f>SUM($D35:J35)</f>
        <v>10344.744878164538</v>
      </c>
    </row>
    <row r="38">
      <c r="B38" t="s">
        <v>251</v>
      </c>
      <c r="D38" s="4">
        <f>-SUM($D32:D33)</f>
        <v>5803.047148366217</v>
      </c>
      <c r="E38" s="4">
        <f>-SUM($D32:E33)</f>
        <v>5930.536748050439</v>
      </c>
      <c r="F38" s="4">
        <f>-SUM($D32:F33)</f>
        <v>6058.375634309139</v>
      </c>
      <c r="G38" s="4">
        <f>-SUM($D32:G33)</f>
        <v>6185.8652339933615</v>
      </c>
      <c r="H38" s="4">
        <f>-SUM($D32:H33)</f>
        <v>6313.354833677584</v>
      </c>
      <c r="I38" s="4">
        <f>-SUM($D32:I33)</f>
        <v>6313.354833677584</v>
      </c>
      <c r="J38" s="4">
        <f>-SUM($D32:J33)</f>
        <v>6313.354833677584</v>
      </c>
    </row>
    <row r="39">
      <c r="B39" t="s">
        <v>252</v>
      </c>
      <c r="D39" s="4">
        <f>SUM($D34:D34)</f>
        <v>0</v>
      </c>
      <c r="E39" s="4">
        <f>SUM($D34:E34)</f>
        <v>0</v>
      </c>
      <c r="F39" s="4">
        <f>SUM($D34:F34)</f>
        <v>0</v>
      </c>
      <c r="G39" s="4">
        <f>SUM($D34:G34)</f>
        <v>0</v>
      </c>
      <c r="H39" s="4">
        <f>SUM($D34:H34)</f>
        <v>0</v>
      </c>
      <c r="I39" s="4">
        <f>SUM($D34:I34)</f>
        <v>16658.099711842122</v>
      </c>
      <c r="J39" s="4">
        <f>SUM($D34:J34)</f>
        <v>16658.099711842122</v>
      </c>
    </row>
    <row r="40">
      <c r="B40" t="s">
        <v>253</v>
      </c>
      <c r="D40" s="22">
        <f>'LBO Inputs'!$D$10</f>
        <v>5737.031985790003</v>
      </c>
      <c r="E40" s="22">
        <f>('LBO Inputs'!$D$37+Assumptions!$D$7)*'LBO Inputs'!F34-'LBO Inputs'!E36</f>
        <v>7716.978735286786</v>
      </c>
      <c r="F40" s="22">
        <f>'Deal Returns'!F75</f>
        <v>10156.292721850674</v>
      </c>
      <c r="G40" s="22">
        <f>'Deal Returns'!G75</f>
        <v>13225.344037397816</v>
      </c>
      <c r="H40" s="22">
        <f>'Deal Returns'!H75</f>
        <v>16723.02991828694</v>
      </c>
      <c r="I40" s="22">
        <f>'Deal Returns'!I75</f>
        <v>20418.829752739195</v>
      </c>
      <c r="J40" s="22">
        <f>'Deal Returns'!J75</f>
        <v>24552.556081087343</v>
      </c>
    </row>
    <row r="41">
      <c r="B41" t="s" s="9">
        <v>254</v>
      </c>
      <c r="D41" s="22">
        <f>-Assumptions!$D$12*MAX(0,D40-'LBO Inputs'!$D$10*Assumptions!$D$13)*IF(Assumptions!$D$15=1,1,MIN(1,YEARFRAC('Fund Waterfall'!$D$11,D$31,1)/Assumptions!$D$14))</f>
        <v>0</v>
      </c>
      <c r="E41" s="22">
        <f>-Assumptions!$D$12*MAX(0,E40-'LBO Inputs'!$D$10*Assumptions!$D$13)*IF(Assumptions!$D$15=1,1,MIN(1,YEARFRAC('Fund Waterfall'!$D$11,E$31,1)/Assumptions!$D$14))</f>
        <v>-158.39573995974266</v>
      </c>
      <c r="F41" s="22">
        <f>-Assumptions!$D$12*MAX(0,F40-'LBO Inputs'!$D$10*Assumptions!$D$13)*IF(Assumptions!$D$15=1,1,MIN(1,YEARFRAC('Fund Waterfall'!$D$11,F$31,1)/Assumptions!$D$14))</f>
        <v>-353.54085888485366</v>
      </c>
      <c r="G41" s="22">
        <f>-Assumptions!$D$12*MAX(0,G40-'LBO Inputs'!$D$10*Assumptions!$D$13)*IF(Assumptions!$D$15=1,1,MIN(1,YEARFRAC('Fund Waterfall'!$D$11,G$31,1)/Assumptions!$D$14))</f>
        <v>-599.064964128625</v>
      </c>
      <c r="H41" s="22">
        <f>-Assumptions!$D$12*MAX(0,H40-'LBO Inputs'!$D$10*Assumptions!$D$13)*IF(Assumptions!$D$15=1,1,MIN(1,YEARFRAC('Fund Waterfall'!$D$11,H$31,1)/Assumptions!$D$14))</f>
        <v>-878.8798345997549</v>
      </c>
      <c r="I41" s="22">
        <f>-Assumptions!$D$12*MAX(0,I40-'LBO Inputs'!$D$10*Assumptions!$D$13)*IF(Assumptions!$D$15=1,1,MIN(1,YEARFRAC('Fund Waterfall'!$D$11,I$31,1)/Assumptions!$D$14))</f>
        <v>-1174.5438213559353</v>
      </c>
      <c r="J41" s="22">
        <f>-Assumptions!$D$12*MAX(0,J40-'LBO Inputs'!$D$10*Assumptions!$D$13)*IF(Assumptions!$D$15=1,1,MIN(1,YEARFRAC('Fund Waterfall'!$D$11,J$31,1)/Assumptions!$D$14))</f>
        <v>-1505.2419276237872</v>
      </c>
    </row>
    <row r="42">
      <c r="B42" t="s">
        <v>255</v>
      </c>
      <c r="D42" s="4">
        <f>D40+D41</f>
        <v>5737.031985790003</v>
      </c>
      <c r="E42" s="4">
        <f>E40+E41</f>
        <v>7558.582995327043</v>
      </c>
      <c r="F42" s="4">
        <f>F40+F41</f>
        <v>9802.75186296582</v>
      </c>
      <c r="G42" s="4">
        <f>G40+G41</f>
        <v>12626.27907326919</v>
      </c>
      <c r="H42" s="4">
        <f>H40+H41</f>
        <v>15844.150083687184</v>
      </c>
      <c r="I42" s="4">
        <f>I40+I41</f>
        <v>19244.28593138326</v>
      </c>
      <c r="J42" s="4">
        <f>J40+J41</f>
        <v>23047.314153463554</v>
      </c>
    </row>
    <row r="43">
      <c r="B43" t="s">
        <v>256</v>
      </c>
      <c r="D43" s="22">
        <f>'Fund Waterfall'!$D$6*((1+Assumptions!$D$21)^((D$31-'Fund Waterfall'!$D$11)/Assumptions!$D$24)-1)+SUMPRODUCT('Fund Waterfall'!$D$17:$J$17*((1+Assumptions!$D$21)^((D$31-'Fund Waterfall'!$D$11:$J$11)/Assumptions!$D$24)-1)*('Fund Waterfall'!$D$11:$J$11&lt;D$31))</f>
        <v>0</v>
      </c>
      <c r="E43" s="22">
        <f>'Fund Waterfall'!$D$6*((1+Assumptions!$D$21)^((E$31-'Fund Waterfall'!$D$11)/Assumptions!$D$24)-1)+SUMPRODUCT('Fund Waterfall'!$D$17:$J$17*((1+Assumptions!$D$21)^((E$31-'Fund Waterfall'!$D$11:$J$11)/Assumptions!$D$24)-1)*('Fund Waterfall'!$D$11:$J$11&lt;E$31))</f>
        <v>235.92733288258754</v>
      </c>
      <c r="F43" s="22">
        <f>'Fund Waterfall'!$D$6*((1+Assumptions!$D$21)^((F$31-'Fund Waterfall'!$D$11)/Assumptions!$D$24)-1)+SUMPRODUCT('Fund Waterfall'!$D$17:$J$17*((1+Assumptions!$D$21)^((F$31-'Fund Waterfall'!$D$11:$J$11)/Assumptions!$D$24)-1)*('Fund Waterfall'!$D$11:$J$11&lt;F$31))</f>
        <v>729.2444593572301</v>
      </c>
      <c r="G43" s="22">
        <f>'Fund Waterfall'!$D$6*((1+Assumptions!$D$21)^((G$31-'Fund Waterfall'!$D$11)/Assumptions!$D$24)-1)+SUMPRODUCT('Fund Waterfall'!$D$17:$J$17*((1+Assumptions!$D$21)^((G$31-'Fund Waterfall'!$D$11:$J$11)/Assumptions!$D$24)-1)*('Fund Waterfall'!$D$11:$J$11&lt;G$31))</f>
        <v>1273.7999089784976</v>
      </c>
      <c r="H43" s="22">
        <f>'Fund Waterfall'!$D$6*((1+Assumptions!$D$21)^((H$31-'Fund Waterfall'!$D$11)/Assumptions!$D$24)-1)+SUMPRODUCT('Fund Waterfall'!$D$17:$J$17*((1+Assumptions!$D$21)^((H$31-'Fund Waterfall'!$D$11:$J$11)/Assumptions!$D$24)-1)*('Fund Waterfall'!$D$11:$J$11&lt;H$31))</f>
        <v>1870.5731204162462</v>
      </c>
      <c r="I43" s="22">
        <f>'Fund Waterfall'!$D$6*((1+Assumptions!$D$21)^((I$31-'Fund Waterfall'!$D$11)/Assumptions!$D$24)-1)+SUMPRODUCT('Fund Waterfall'!$D$17:$J$17*((1+Assumptions!$D$21)^((I$31-'Fund Waterfall'!$D$11:$J$11)/Assumptions!$D$24)-1)*('Fund Waterfall'!$D$11:$J$11&lt;I$31))</f>
        <v>2525.287356743754</v>
      </c>
      <c r="J43" s="22">
        <f>'Fund Waterfall'!$D$6*((1+Assumptions!$D$21)^((J$31-'Fund Waterfall'!$D$11)/Assumptions!$D$24)-1)+SUMPRODUCT('Fund Waterfall'!$D$17:$J$17*((1+Assumptions!$D$21)^((J$31-'Fund Waterfall'!$D$11:$J$11)/Assumptions!$D$24)-1)*('Fund Waterfall'!$D$11:$J$11&lt;J$31))</f>
        <v>3242.049778651589</v>
      </c>
    </row>
    <row r="44">
      <c r="B44" t="s" s="9">
        <v>257</v>
      </c>
      <c r="D44" s="22">
        <f>-(Assumptions!$D$22*MIN(MAX(0,D42-D38-D43),Assumptions!$D$23*D43/(Assumptions!$D$22-Assumptions!$D$23))+Assumptions!$D$23*MAX(0,MAX(0,D42-D38-D43)-Assumptions!$D$23*D43/(Assumptions!$D$22-Assumptions!$D$23)))</f>
        <v>0</v>
      </c>
      <c r="E44" s="22">
        <f>-(Assumptions!$D$22*MIN(MAX(0,E42-E38-E43),Assumptions!$D$23*E43/(Assumptions!$D$22-Assumptions!$D$23))+Assumptions!$D$23*MAX(0,MAX(0,E42-E38-E43)-Assumptions!$D$23*E43/(Assumptions!$D$22-Assumptions!$D$23)))</f>
        <v>-325.6092494553208</v>
      </c>
      <c r="F44" s="22">
        <f>-(Assumptions!$D$22*MIN(MAX(0,F42-F38-F43),Assumptions!$D$23*F43/(Assumptions!$D$22-Assumptions!$D$23))+Assumptions!$D$23*MAX(0,MAX(0,F42-F38-F43)-Assumptions!$D$23*F43/(Assumptions!$D$22-Assumptions!$D$23)))</f>
        <v>-748.8752457313363</v>
      </c>
      <c r="G44" s="22">
        <f>-(Assumptions!$D$22*MIN(MAX(0,G42-G38-G43),Assumptions!$D$23*G43/(Assumptions!$D$22-Assumptions!$D$23))+Assumptions!$D$23*MAX(0,MAX(0,G42-G38-G43)-Assumptions!$D$23*G43/(Assumptions!$D$22-Assumptions!$D$23)))</f>
        <v>-1288.082767855166</v>
      </c>
      <c r="H44" s="22">
        <f>-(Assumptions!$D$22*MIN(MAX(0,H42-H38-H43),Assumptions!$D$23*H43/(Assumptions!$D$22-Assumptions!$D$23))+Assumptions!$D$23*MAX(0,MAX(0,H42-H38-H43)-Assumptions!$D$23*H43/(Assumptions!$D$22-Assumptions!$D$23)))</f>
        <v>-1906.1590500019201</v>
      </c>
      <c r="I44" s="22">
        <f>-(Assumptions!$D$22*MIN(MAX(0,I42-I38-I43),Assumptions!$D$23*I43/(Assumptions!$D$22-Assumptions!$D$23))+Assumptions!$D$23*MAX(0,MAX(0,I42-I38-I43)-Assumptions!$D$23*I43/(Assumptions!$D$22-Assumptions!$D$23)))</f>
        <v>-2586.186219541135</v>
      </c>
      <c r="J44" s="22">
        <f>-(Assumptions!$D$22*MIN(MAX(0,J42-J38-J43),Assumptions!$D$23*J43/(Assumptions!$D$22-Assumptions!$D$23))+Assumptions!$D$23*MAX(0,MAX(0,J42-J38-J43)-Assumptions!$D$23*J43/(Assumptions!$D$22-Assumptions!$D$23)))</f>
        <v>-3346.7918639571944</v>
      </c>
    </row>
    <row r="45">
      <c r="B45" t="s" s="12">
        <v>258</v>
      </c>
      <c r="C45" s="10"/>
      <c r="D45" s="27">
        <f>IF(D$31&lt;Assumptions!$D$6,D42+D44,0)</f>
        <v>5737.031985790003</v>
      </c>
      <c r="E45" s="27">
        <f>IF(E$31&lt;Assumptions!$D$6,E42+E44,0)</f>
        <v>7232.973745871723</v>
      </c>
      <c r="F45" s="27">
        <f>IF(F$31&lt;Assumptions!$D$6,F42+F44,0)</f>
        <v>9053.876617234484</v>
      </c>
      <c r="G45" s="27">
        <f>IF(G$31&lt;Assumptions!$D$6,G42+G44,0)</f>
        <v>11338.196305414025</v>
      </c>
      <c r="H45" s="27">
        <f>IF(H$31&lt;Assumptions!$D$6,H42+H44,0)</f>
        <v>13937.991033685263</v>
      </c>
      <c r="I45" s="27">
        <f>IF(I$31&lt;Assumptions!$D$6,I42+I44,0)</f>
        <v>0</v>
      </c>
      <c r="J45" s="27">
        <f>IF(J$31&lt;Assumptions!$D$6,J42+J44,0)</f>
        <v>0</v>
      </c>
    </row>
    <row r="47">
      <c r="B47" t="s">
        <v>259</v>
      </c>
      <c r="D47" s="5">
        <f>D39/D38</f>
        <v>0</v>
      </c>
      <c r="E47" s="5">
        <f>E39/E38</f>
        <v>0</v>
      </c>
      <c r="F47" s="5">
        <f>F39/F38</f>
        <v>0</v>
      </c>
      <c r="G47" s="5">
        <f>G39/G38</f>
        <v>0</v>
      </c>
      <c r="H47" s="5">
        <f>H39/H38</f>
        <v>0</v>
      </c>
      <c r="I47" s="5">
        <f>I39/I38</f>
        <v>2.638549574781089</v>
      </c>
      <c r="J47" s="5">
        <f>J39/J38</f>
        <v>2.638549574781089</v>
      </c>
    </row>
    <row r="48">
      <c r="B48" t="s">
        <v>260</v>
      </c>
      <c r="D48" s="5">
        <f>D45/D38</f>
        <v>0.9886240520043337</v>
      </c>
      <c r="E48" s="5">
        <f>E45/E38</f>
        <v>1.2196153658856321</v>
      </c>
      <c r="F48" s="5">
        <f>F45/F38</f>
        <v>1.4944396260214614</v>
      </c>
      <c r="G48" s="5">
        <f>G45/G38</f>
        <v>1.8329200324486399</v>
      </c>
      <c r="H48" s="5">
        <f>H45/H38</f>
        <v>2.2076996146858834</v>
      </c>
      <c r="I48" s="5">
        <f>I45/I38</f>
        <v>0</v>
      </c>
      <c r="J48" s="5">
        <f>J45/J38</f>
        <v>0</v>
      </c>
    </row>
    <row r="49">
      <c r="B49" t="s" s="1">
        <v>261</v>
      </c>
      <c r="C49" s="1"/>
      <c r="D49" s="13">
        <f>D47+D48</f>
        <v>0.9886240520043337</v>
      </c>
      <c r="E49" s="13">
        <f>E47+E48</f>
        <v>1.2196153658856321</v>
      </c>
      <c r="F49" s="13">
        <f>F47+F48</f>
        <v>1.4944396260214614</v>
      </c>
      <c r="G49" s="13">
        <f>G47+G48</f>
        <v>1.8329200324486399</v>
      </c>
      <c r="H49" s="13">
        <f>H47+H48</f>
        <v>2.2076996146858834</v>
      </c>
      <c r="I49" s="13">
        <f>I47+I48</f>
        <v>2.638549574781089</v>
      </c>
      <c r="J49" s="13">
        <f>J47+J48</f>
        <v>2.638549574781089</v>
      </c>
    </row>
    <row r="50">
      <c r="B50" t="s" s="1">
        <v>262</v>
      </c>
      <c r="C50" s="1"/>
      <c r="D50" s="14">
        <f>XIRR(D35:J35,D31:J31)</f>
        <v>0.24706147313117982</v>
      </c>
      <c r="E50" s="1"/>
      <c r="F50" s="1"/>
      <c r="G50" s="1"/>
      <c r="H50" s="1"/>
      <c r="I50" s="1"/>
      <c r="J50" s="1"/>
    </row>
  </sheetData>
  <pageMargins left="0.7" right="0.7" top="0.75" bottom="0.75" header="0.3" footer="0.3"/>
  <pageSetup orientation="landscape"/>
</worksheet>
</file>

<file path=ccalc/calcState.xml><?xml version="1.0" encoding="utf-8"?>
<calcState xmlns="urn:twentyai:ccalc:calc-state" version="1" digest="b0af5a543dc6bf5545a8d1c51bf72ab804c328e77db2cd02bdb43d72df0be8a9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2026-10-22T03:50:07Z</dcterms:created>
  <dcterms:modified xsi:type="dcterms:W3CDTF">2026-10-22T03:50:07Z</dcterms:modified>
  <cp:category/>
  <cp:contentStatus/>
</cp:coreProperties>
</file>