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4ac="http://schemas.microsoft.com/office/spreadsheetml/2009/9/ac" mc:Ignorable="x14ac">
  <bookViews>
    <workbookView activeTab="0"/>
  </bookViews>
  <sheets>
    <sheet name="Notes" sheetId="1" r:id="rId1"/>
    <sheet name="1 Rings" sheetId="2" r:id="rId2"/>
    <sheet name="2 ZIP vs BG" sheetId="3" r:id="rId3"/>
    <sheet name="3 Comparison" sheetId="4" r:id="rId4"/>
    <sheet name="4 Growth" sheetId="5" r:id="rId5"/>
    <sheet name="5 Labor" sheetId="6" r:id="rId6"/>
    <sheet name="6 Submarket" sheetId="7" r:id="rId7"/>
    <sheet name="7 UW Tie-back" sheetId="8" r:id="rId8"/>
    <sheet name="BG Data" sheetId="9" r:id="rId9"/>
    <sheet name="ACS Data" sheetId="10" r:id="rId10"/>
  </sheets>
  <calcPr/>
  <extLst>
    <ext xmlns:xccaches="urn:twentyai:ccalc:caches" uri="{3C5F2E7A-9B41-4D6E-A8C2-19409CCA1C01}">
      <xccaches:writer/>
    </ext>
  </extLst>
</workbook>
</file>

<file path=xl/sharedStrings.xml><?xml version="1.0" encoding="utf-8"?>
<sst xmlns="http://schemas.openxmlformats.org/spreadsheetml/2006/main" count="648" uniqueCount="648">
  <si>
    <t>Cedar Fork Commerce Park (illustrative) - Block Group Data and Ring Shares</t>
  </si>
  <si>
    <t>ACS 2020-2024 5-year block group estimates for every block group touching the 5 mile ring around I-35E and Corporate Drive, Lewisville TX (33.0090, -96.9814). Areas are our GIS calculation (UTM 14N) from Census TIGER/Line 2026 block groups and Census TIGERweb area hydrography; shares are land area only.</t>
  </si>
  <si>
    <t>Block group GEOID</t>
  </si>
  <si>
    <t>481130137161</t>
  </si>
  <si>
    <t>481130137162</t>
  </si>
  <si>
    <t>481130137191</t>
  </si>
  <si>
    <t>481130137192</t>
  </si>
  <si>
    <t>481130140021</t>
  </si>
  <si>
    <t>481130141191</t>
  </si>
  <si>
    <t>481130141192</t>
  </si>
  <si>
    <t>481130141193</t>
  </si>
  <si>
    <t>481130141201</t>
  </si>
  <si>
    <t>481130141202</t>
  </si>
  <si>
    <t>481130141203</t>
  </si>
  <si>
    <t>481130141211</t>
  </si>
  <si>
    <t>481130141212</t>
  </si>
  <si>
    <t>481130141213</t>
  </si>
  <si>
    <t>481130141214</t>
  </si>
  <si>
    <t>481130141231</t>
  </si>
  <si>
    <t>481130141232</t>
  </si>
  <si>
    <t>481130141233</t>
  </si>
  <si>
    <t>481130141242</t>
  </si>
  <si>
    <t>481130141261</t>
  </si>
  <si>
    <t>481130141262</t>
  </si>
  <si>
    <t>481130141263</t>
  </si>
  <si>
    <t>481130141264</t>
  </si>
  <si>
    <t>481130141282</t>
  </si>
  <si>
    <t>481130141321</t>
  </si>
  <si>
    <t>481130141322</t>
  </si>
  <si>
    <t>481130141341</t>
  </si>
  <si>
    <t>481130141342</t>
  </si>
  <si>
    <t>481130141351</t>
  </si>
  <si>
    <t>481130141352</t>
  </si>
  <si>
    <t>481130141353</t>
  </si>
  <si>
    <t>481130141551</t>
  </si>
  <si>
    <t>481130141552</t>
  </si>
  <si>
    <t>481130141553</t>
  </si>
  <si>
    <t>481130141554</t>
  </si>
  <si>
    <t>481130141555</t>
  </si>
  <si>
    <t>481130141561</t>
  </si>
  <si>
    <t>481130141562</t>
  </si>
  <si>
    <t>481130141571</t>
  </si>
  <si>
    <t>481130141572</t>
  </si>
  <si>
    <t>481130200001</t>
  </si>
  <si>
    <t>481130200002</t>
  </si>
  <si>
    <t>481139800001</t>
  </si>
  <si>
    <t>481210214111</t>
  </si>
  <si>
    <t>481210215021</t>
  </si>
  <si>
    <t>481210215022</t>
  </si>
  <si>
    <t>481210215023</t>
  </si>
  <si>
    <t>481210215051</t>
  </si>
  <si>
    <t>481210215053</t>
  </si>
  <si>
    <t>481210215171</t>
  </si>
  <si>
    <t>481210216111</t>
  </si>
  <si>
    <t>481210216112</t>
  </si>
  <si>
    <t>481210216113</t>
  </si>
  <si>
    <t>481210216121</t>
  </si>
  <si>
    <t>481210216122</t>
  </si>
  <si>
    <t>481210216123</t>
  </si>
  <si>
    <t>481210216132</t>
  </si>
  <si>
    <t>481210216133</t>
  </si>
  <si>
    <t>481210216181</t>
  </si>
  <si>
    <t>481210216182</t>
  </si>
  <si>
    <t>481210216183</t>
  </si>
  <si>
    <t>481210216191</t>
  </si>
  <si>
    <t>481210216192</t>
  </si>
  <si>
    <t>481210216201</t>
  </si>
  <si>
    <t>481210216211</t>
  </si>
  <si>
    <t>481210216212</t>
  </si>
  <si>
    <t>481210216221</t>
  </si>
  <si>
    <t>481210216222</t>
  </si>
  <si>
    <t>481210216223</t>
  </si>
  <si>
    <t>481210216301</t>
  </si>
  <si>
    <t>481210216302</t>
  </si>
  <si>
    <t>481210216303</t>
  </si>
  <si>
    <t>481210216311</t>
  </si>
  <si>
    <t>481210216312</t>
  </si>
  <si>
    <t>481210216313</t>
  </si>
  <si>
    <t>481210216431</t>
  </si>
  <si>
    <t>481210216432</t>
  </si>
  <si>
    <t>481210216442</t>
  </si>
  <si>
    <t>481210216451</t>
  </si>
  <si>
    <t>481210216461</t>
  </si>
  <si>
    <t>481210216462</t>
  </si>
  <si>
    <t>481210216463</t>
  </si>
  <si>
    <t>481210216491</t>
  </si>
  <si>
    <t>481210216492</t>
  </si>
  <si>
    <t>481210216501</t>
  </si>
  <si>
    <t>481210216502</t>
  </si>
  <si>
    <t>481210216521</t>
  </si>
  <si>
    <t>481210216522</t>
  </si>
  <si>
    <t>481210216541</t>
  </si>
  <si>
    <t>481210217151</t>
  </si>
  <si>
    <t>481210217152</t>
  </si>
  <si>
    <t>481210217161</t>
  </si>
  <si>
    <t>481210217162</t>
  </si>
  <si>
    <t>481210217163</t>
  </si>
  <si>
    <t>481210217164</t>
  </si>
  <si>
    <t>481210217171</t>
  </si>
  <si>
    <t>481210217172</t>
  </si>
  <si>
    <t>481210217173</t>
  </si>
  <si>
    <t>481210217174</t>
  </si>
  <si>
    <t>481210217212</t>
  </si>
  <si>
    <t>481210217221</t>
  </si>
  <si>
    <t>481210217222</t>
  </si>
  <si>
    <t>481210217231</t>
  </si>
  <si>
    <t>481210217241</t>
  </si>
  <si>
    <t>481210217242</t>
  </si>
  <si>
    <t>481210217251</t>
  </si>
  <si>
    <t>481210217252</t>
  </si>
  <si>
    <t>481210217261</t>
  </si>
  <si>
    <t>481210217262</t>
  </si>
  <si>
    <t>481210217271</t>
  </si>
  <si>
    <t>481210217272</t>
  </si>
  <si>
    <t>481210217281</t>
  </si>
  <si>
    <t>481210217291</t>
  </si>
  <si>
    <t>481210217292</t>
  </si>
  <si>
    <t>481210217301</t>
  </si>
  <si>
    <t>481210217302</t>
  </si>
  <si>
    <t>481210217311</t>
  </si>
  <si>
    <t>481210217312</t>
  </si>
  <si>
    <t>481210217321</t>
  </si>
  <si>
    <t>481210217322</t>
  </si>
  <si>
    <t>481210217331</t>
  </si>
  <si>
    <t>481210217332</t>
  </si>
  <si>
    <t>481210217341</t>
  </si>
  <si>
    <t>481210217342</t>
  </si>
  <si>
    <t>481210217351</t>
  </si>
  <si>
    <t>481210217352</t>
  </si>
  <si>
    <t>481210217353</t>
  </si>
  <si>
    <t>481210217361</t>
  </si>
  <si>
    <t>481210217362</t>
  </si>
  <si>
    <t>481210217371</t>
  </si>
  <si>
    <t>481210217372</t>
  </si>
  <si>
    <t>481210217373</t>
  </si>
  <si>
    <t>481210217381</t>
  </si>
  <si>
    <t>481210217382</t>
  </si>
  <si>
    <t>481210217391</t>
  </si>
  <si>
    <t>481210217392</t>
  </si>
  <si>
    <t>481210217401</t>
  </si>
  <si>
    <t>481210217402</t>
  </si>
  <si>
    <t>481210217403</t>
  </si>
  <si>
    <t>481210217411</t>
  </si>
  <si>
    <t>481210217421</t>
  </si>
  <si>
    <t>481210217422</t>
  </si>
  <si>
    <t>481210217423</t>
  </si>
  <si>
    <t>481210217431</t>
  </si>
  <si>
    <t>481210217432</t>
  </si>
  <si>
    <t>481210217441</t>
  </si>
  <si>
    <t>481210217442</t>
  </si>
  <si>
    <t>481210217451</t>
  </si>
  <si>
    <t>481210217452</t>
  </si>
  <si>
    <t>481210217453</t>
  </si>
  <si>
    <t>481210217561</t>
  </si>
  <si>
    <t>481210217562</t>
  </si>
  <si>
    <t>484391137151</t>
  </si>
  <si>
    <t>484391137152</t>
  </si>
  <si>
    <t>484391137153</t>
  </si>
  <si>
    <t>484399800001</t>
  </si>
  <si>
    <t>Tract GEOID</t>
  </si>
  <si>
    <t>48113013716</t>
  </si>
  <si>
    <t>48113013719</t>
  </si>
  <si>
    <t>48113014002</t>
  </si>
  <si>
    <t>48113014119</t>
  </si>
  <si>
    <t>48113014120</t>
  </si>
  <si>
    <t>48113014121</t>
  </si>
  <si>
    <t>48113014123</t>
  </si>
  <si>
    <t>48113014124</t>
  </si>
  <si>
    <t>48113014126</t>
  </si>
  <si>
    <t>48113014128</t>
  </si>
  <si>
    <t>48113014132</t>
  </si>
  <si>
    <t>48113014134</t>
  </si>
  <si>
    <t>48113014135</t>
  </si>
  <si>
    <t>48113014155</t>
  </si>
  <si>
    <t>48113014156</t>
  </si>
  <si>
    <t>48113014157</t>
  </si>
  <si>
    <t>48113020000</t>
  </si>
  <si>
    <t>48113980000</t>
  </si>
  <si>
    <t>48121021411</t>
  </si>
  <si>
    <t>48121021502</t>
  </si>
  <si>
    <t>48121021505</t>
  </si>
  <si>
    <t>48121021517</t>
  </si>
  <si>
    <t>48121021611</t>
  </si>
  <si>
    <t>48121021612</t>
  </si>
  <si>
    <t>48121021613</t>
  </si>
  <si>
    <t>48121021618</t>
  </si>
  <si>
    <t>48121021619</t>
  </si>
  <si>
    <t>48121021620</t>
  </si>
  <si>
    <t>48121021621</t>
  </si>
  <si>
    <t>48121021622</t>
  </si>
  <si>
    <t>48121021630</t>
  </si>
  <si>
    <t>48121021631</t>
  </si>
  <si>
    <t>48121021643</t>
  </si>
  <si>
    <t>48121021644</t>
  </si>
  <si>
    <t>48121021645</t>
  </si>
  <si>
    <t>48121021646</t>
  </si>
  <si>
    <t>48121021649</t>
  </si>
  <si>
    <t>48121021650</t>
  </si>
  <si>
    <t>48121021652</t>
  </si>
  <si>
    <t>48121021654</t>
  </si>
  <si>
    <t>48121021715</t>
  </si>
  <si>
    <t>48121021716</t>
  </si>
  <si>
    <t>48121021717</t>
  </si>
  <si>
    <t>48121021721</t>
  </si>
  <si>
    <t>48121021722</t>
  </si>
  <si>
    <t>48121021723</t>
  </si>
  <si>
    <t>48121021724</t>
  </si>
  <si>
    <t>48121021725</t>
  </si>
  <si>
    <t>48121021726</t>
  </si>
  <si>
    <t>48121021727</t>
  </si>
  <si>
    <t>48121021728</t>
  </si>
  <si>
    <t>48121021729</t>
  </si>
  <si>
    <t>48121021730</t>
  </si>
  <si>
    <t>48121021731</t>
  </si>
  <si>
    <t>48121021732</t>
  </si>
  <si>
    <t>48121021733</t>
  </si>
  <si>
    <t>48121021734</t>
  </si>
  <si>
    <t>48121021735</t>
  </si>
  <si>
    <t>48121021736</t>
  </si>
  <si>
    <t>48121021737</t>
  </si>
  <si>
    <t>48121021738</t>
  </si>
  <si>
    <t>48121021739</t>
  </si>
  <si>
    <t>48121021740</t>
  </si>
  <si>
    <t>48121021741</t>
  </si>
  <si>
    <t>48121021742</t>
  </si>
  <si>
    <t>48121021743</t>
  </si>
  <si>
    <t>48121021744</t>
  </si>
  <si>
    <t>48121021745</t>
  </si>
  <si>
    <t>48121021756</t>
  </si>
  <si>
    <t>48439113715</t>
  </si>
  <si>
    <t>48439980000</t>
  </si>
  <si>
    <t>ZCTA holding the BG internal point</t>
  </si>
  <si>
    <t>75006</t>
  </si>
  <si>
    <t>75007</t>
  </si>
  <si>
    <t>75019</t>
  </si>
  <si>
    <t>75063</t>
  </si>
  <si>
    <t>75065</t>
  </si>
  <si>
    <t>75057</t>
  </si>
  <si>
    <t>75077</t>
  </si>
  <si>
    <t>75056</t>
  </si>
  <si>
    <t>75010</t>
  </si>
  <si>
    <t>75067</t>
  </si>
  <si>
    <t>75028</t>
  </si>
  <si>
    <t>75022</t>
  </si>
  <si>
    <t>76051</t>
  </si>
  <si>
    <t>75261</t>
  </si>
  <si>
    <t>BG area incl. water (m², our GIS calc.)</t>
  </si>
  <si>
    <t>Mapped water in BG (m², our GIS calc.)</t>
  </si>
  <si>
    <t>Land area (m², our calc.)</t>
  </si>
  <si>
    <t>Area in 1 mi ring (m²)</t>
  </si>
  <si>
    <t>Area in 3 mi ring (m²)</t>
  </si>
  <si>
    <t>Area in 5 mi ring (m²)</t>
  </si>
  <si>
    <t>Water in 1 mi ring (m²)</t>
  </si>
  <si>
    <t>Water in 3 mi ring (m²)</t>
  </si>
  <si>
    <t>Water in 5 mi ring (m²)</t>
  </si>
  <si>
    <t>Land share in 1 mi ring (our calc.)</t>
  </si>
  <si>
    <t>Land share in 3 mi ring (our calc.)</t>
  </si>
  <si>
    <t>Land share in 5 mi ring (our calc.)</t>
  </si>
  <si>
    <t>Internal point in 1 mi ring (1 = yes)</t>
  </si>
  <si>
    <t>Internal point in 3 mi ring</t>
  </si>
  <si>
    <t>Internal point in 5 mi ring</t>
  </si>
  <si>
    <t>Population (B01003)</t>
  </si>
  <si>
    <t>Households (B11001)</t>
  </si>
  <si>
    <t>Aggregate household income ($, B19025)</t>
  </si>
  <si>
    <t>Civilian labor force (B23025_003)</t>
  </si>
  <si>
    <t>Unemployed (B23025_005)</t>
  </si>
  <si>
    <t>Tract median household income ($, B19013)</t>
  </si>
  <si>
    <t>Population in 1 mi ring (our calc.)</t>
  </si>
  <si>
    <t>Population in 3 mi ring (our calc.)</t>
  </si>
  <si>
    <t>Population in 5 mi ring (our calc.)</t>
  </si>
  <si>
    <t>Cedar Fork Commerce Park (illustrative) - ACS Data for ZCTAs and Comparison Geographies</t>
  </si>
  <si>
    <t>ACS 2020-2024 5-year estimates (Census). These tables are not loaded at block group or tract level, so ring values are allocated from ZCTAs: each ZCTA counts in the ring in proportion to the share of its population living in ring block groups (block groups assigned to the ZCTA that holds their internal point).</t>
  </si>
  <si>
    <t>Geography</t>
  </si>
  <si>
    <t>ACS table</t>
  </si>
  <si>
    <t>ZCTA 75006</t>
  </si>
  <si>
    <t>ZCTA 75007</t>
  </si>
  <si>
    <t>ZCTA 75010</t>
  </si>
  <si>
    <t>ZCTA 75019</t>
  </si>
  <si>
    <t>ZCTA 75022</t>
  </si>
  <si>
    <t>ZCTA 75028</t>
  </si>
  <si>
    <t>ZCTA 75056</t>
  </si>
  <si>
    <t>ZCTA 75057</t>
  </si>
  <si>
    <t>ZCTA 75063</t>
  </si>
  <si>
    <t>ZCTA 75065</t>
  </si>
  <si>
    <t>ZCTA 75067</t>
  </si>
  <si>
    <t>ZCTA 75077</t>
  </si>
  <si>
    <t>ZCTA 75261</t>
  </si>
  <si>
    <t>ZCTA 76051</t>
  </si>
  <si>
    <t>COMPARISON GEOGRAPHIES</t>
  </si>
  <si>
    <t>Lewisville city, TX</t>
  </si>
  <si>
    <t>Denton County, TX</t>
  </si>
  <si>
    <t>Dallas-Fort Worth-Arlington, TX metro</t>
  </si>
  <si>
    <t>Texas</t>
  </si>
  <si>
    <t>United States</t>
  </si>
  <si>
    <t>Code</t>
  </si>
  <si>
    <t>4842508</t>
  </si>
  <si>
    <t>48121</t>
  </si>
  <si>
    <t>19100</t>
  </si>
  <si>
    <t>48</t>
  </si>
  <si>
    <t>USA</t>
  </si>
  <si>
    <t>Population</t>
  </si>
  <si>
    <t>B01003_001</t>
  </si>
  <si>
    <t>Households</t>
  </si>
  <si>
    <t>B11001_001</t>
  </si>
  <si>
    <t>Median household income ($)</t>
  </si>
  <si>
    <t>B19013_001</t>
  </si>
  <si>
    <t>Aggregate household income ($)</t>
  </si>
  <si>
    <t>B19025_001</t>
  </si>
  <si>
    <t>Civilian labor force</t>
  </si>
  <si>
    <t>B23025_003</t>
  </si>
  <si>
    <t>Unemployed</t>
  </si>
  <si>
    <t>B23025_005</t>
  </si>
  <si>
    <t>Population 25+</t>
  </si>
  <si>
    <t>B15003_001</t>
  </si>
  <si>
    <t>HS diploma</t>
  </si>
  <si>
    <t>B15003_017</t>
  </si>
  <si>
    <t>GED</t>
  </si>
  <si>
    <t>B15003_018</t>
  </si>
  <si>
    <t>Some college &lt;1 yr</t>
  </si>
  <si>
    <t>B15003_019</t>
  </si>
  <si>
    <t>Some college 1+ yrs</t>
  </si>
  <si>
    <t>B15003_020</t>
  </si>
  <si>
    <t>Associate's</t>
  </si>
  <si>
    <t>B15003_021</t>
  </si>
  <si>
    <t>Bachelor's</t>
  </si>
  <si>
    <t>B15003_022</t>
  </si>
  <si>
    <t>Master's</t>
  </si>
  <si>
    <t>B15003_023</t>
  </si>
  <si>
    <t>Professional</t>
  </si>
  <si>
    <t>B15003_024</t>
  </si>
  <si>
    <t>Doctorate</t>
  </si>
  <si>
    <t>B15003_025</t>
  </si>
  <si>
    <t>Workers 16+</t>
  </si>
  <si>
    <t>B08301_001</t>
  </si>
  <si>
    <t>Drove alone</t>
  </si>
  <si>
    <t>B08301_003</t>
  </si>
  <si>
    <t>Carpooled</t>
  </si>
  <si>
    <t>B08301_004</t>
  </si>
  <si>
    <t>Public transportation</t>
  </si>
  <si>
    <t>B08301_010</t>
  </si>
  <si>
    <t>Worked from home</t>
  </si>
  <si>
    <t>B08301_021</t>
  </si>
  <si>
    <t>Bracket midpoint (minutes, assumption) &gt;</t>
  </si>
  <si>
    <t>Commuters (travel time universe)</t>
  </si>
  <si>
    <t>B08303_001</t>
  </si>
  <si>
    <t>&lt;5 min</t>
  </si>
  <si>
    <t>B08303_002</t>
  </si>
  <si>
    <t>5-9</t>
  </si>
  <si>
    <t>B08303_003</t>
  </si>
  <si>
    <t>10-14</t>
  </si>
  <si>
    <t>B08303_004</t>
  </si>
  <si>
    <t>15-19</t>
  </si>
  <si>
    <t>B08303_005</t>
  </si>
  <si>
    <t>20-24</t>
  </si>
  <si>
    <t>B08303_006</t>
  </si>
  <si>
    <t>25-29</t>
  </si>
  <si>
    <t>B08303_007</t>
  </si>
  <si>
    <t>30-34</t>
  </si>
  <si>
    <t>B08303_008</t>
  </si>
  <si>
    <t>35-39</t>
  </si>
  <si>
    <t>B08303_009</t>
  </si>
  <si>
    <t>40-44</t>
  </si>
  <si>
    <t>B08303_010</t>
  </si>
  <si>
    <t>45-59</t>
  </si>
  <si>
    <t>B08303_011</t>
  </si>
  <si>
    <t>60-89</t>
  </si>
  <si>
    <t>B08303_012</t>
  </si>
  <si>
    <t>90+</t>
  </si>
  <si>
    <t>B08303_013</t>
  </si>
  <si>
    <t>Median home value ($)</t>
  </si>
  <si>
    <t>B25077_001</t>
  </si>
  <si>
    <t>Median gross rent ($)</t>
  </si>
  <si>
    <t>B25064_001</t>
  </si>
  <si>
    <t>Owner-occupied units</t>
  </si>
  <si>
    <t>B25003_002</t>
  </si>
  <si>
    <t>Renter-occupied units</t>
  </si>
  <si>
    <t>B25003_003</t>
  </si>
  <si>
    <t>HS graduate or higher (our calc.)</t>
  </si>
  <si>
    <t>Bachelor's or higher (our calc.)</t>
  </si>
  <si>
    <t>Aggregate travel minutes at bracket midpoints (our calc.)</t>
  </si>
  <si>
    <t>Ring BG population in ZCTA, 1 mi (our calc.)</t>
  </si>
  <si>
    <t>Ring BG population in ZCTA, 3 mi</t>
  </si>
  <si>
    <t>Ring BG population in ZCTA, 5 mi</t>
  </si>
  <si>
    <t>ZCTA weight, 1 mi (our calc.)</t>
  </si>
  <si>
    <t>ZCTA weight, 3 mi</t>
  </si>
  <si>
    <t>ZCTA weight, 5 mi</t>
  </si>
  <si>
    <t>Cedar Fork Commerce Park (illustrative) - 1. Trade Area Rings, ACS 2020-2024 5-Year</t>
  </si>
  <si>
    <t>Rings are centered on I-35E and Corporate Drive, Lewisville TX (33.0090, -96.9814), the real point used in the earlier ring check; the property address (2400 Cedar Fork Parkway) is invented, so it is not geocoded. All ring figures are our calculation.</t>
  </si>
  <si>
    <t>Method: a block group counts by the share of its land area inside the ring (area share, not centroid). Water is removed using Census TIGERweb area hydrography (Lewisville Lake, Grapevine Lake and smaller water bodies) before shares are taken.</t>
  </si>
  <si>
    <t>Metric</t>
  </si>
  <si>
    <t>POPULATION AND HOUSEHOLDS</t>
  </si>
  <si>
    <t>Persons per household</t>
  </si>
  <si>
    <t>INCOME</t>
  </si>
  <si>
    <t>Mean household income ($)</t>
  </si>
  <si>
    <t>LABOR FORCE</t>
  </si>
  <si>
    <t>Unemployment rate</t>
  </si>
  <si>
    <t>EDUCATIONAL ATTAINMENT (population 25+)</t>
  </si>
  <si>
    <t>High school graduate or higher</t>
  </si>
  <si>
    <t>Bachelor's degree or higher</t>
  </si>
  <si>
    <t>COMMUTE MODE (workers 16+)</t>
  </si>
  <si>
    <t>Other means (taxi, walk, bike, other)</t>
  </si>
  <si>
    <t>COMMUTE TIME (workers not working from home)</t>
  </si>
  <si>
    <t>Commuters</t>
  </si>
  <si>
    <t>Under 15 minutes</t>
  </si>
  <si>
    <t>15 to 29 minutes</t>
  </si>
  <si>
    <t>30 to 44 minutes</t>
  </si>
  <si>
    <t>45 to 59 minutes</t>
  </si>
  <si>
    <t>60 minutes or more</t>
  </si>
  <si>
    <t>Mean travel time (minutes)</t>
  </si>
  <si>
    <t>HOUSING</t>
  </si>
  <si>
    <t>Median gross rent ($/month)</t>
  </si>
  <si>
    <t>CHECKS</t>
  </si>
  <si>
    <t>Block groups counted (land share &gt; 0)</t>
  </si>
  <si>
    <t>Population, centroid method (internal point inside ring)</t>
  </si>
  <si>
    <t>Area share less centroid population</t>
  </si>
  <si>
    <t/>
  </si>
  <si>
    <t>Difference</t>
  </si>
  <si>
    <t>Geography and method</t>
  </si>
  <si>
    <t>Block groups, land-area share (B01003)</t>
  </si>
  <si>
    <t>Block groups, land-area share (B11001)</t>
  </si>
  <si>
    <t>Our calculation</t>
  </si>
  <si>
    <t>Approximation: tract medians (B19013) weighted by ring households; no block group median or income brackets are loaded</t>
  </si>
  <si>
    <t>Block group aggregate income (B19025) / households</t>
  </si>
  <si>
    <t>Block groups, land-area share (B23025)</t>
  </si>
  <si>
    <t>ZCTAs allocated by ring block group population (B15003)</t>
  </si>
  <si>
    <t>ZCTA allocation</t>
  </si>
  <si>
    <t>ZCTA allocation (B08301)</t>
  </si>
  <si>
    <t>ZCTA allocation (B08303)</t>
  </si>
  <si>
    <t>Our calculation at bracket midpoints (ACS Data row 4)</t>
  </si>
  <si>
    <t>ZCTA allocation (B25003)</t>
  </si>
  <si>
    <t>Approximation: ZCTA medians (B25077) weighted by ring owner units</t>
  </si>
  <si>
    <t>Approximation: ZCTA medians (B25064) weighted by ring renter units</t>
  </si>
  <si>
    <t>Our calculation, for comparison only</t>
  </si>
  <si>
    <t>ZCTA-allocated population (lower where a ZCTA weight is capped at 100%)</t>
  </si>
  <si>
    <t>Cedar Fork Commerce Park (illustrative) - 2. ZIP Area-Split Shortcut vs Block Group Method</t>
  </si>
  <si>
    <t>Prior figures: the earlier ring check (28 Oct 2026) split ZCTA totals by the share of each ZCTA's area inside the ring, water included, with median income read off B19001 brackets. Block group figures: this workbook (sheet 1). Both are our calculations on ACS 2020-2024 5-year data.</t>
  </si>
  <si>
    <t>Ring (miles)</t>
  </si>
  <si>
    <t/>
  </si>
  <si>
    <t>Block group method</t>
  </si>
  <si>
    <t>Difference (%)</t>
  </si>
  <si>
    <t>Note</t>
  </si>
  <si>
    <t/>
  </si>
  <si>
    <t>Same driver as population</t>
  </si>
  <si>
    <t>Not like for like: prior used B19001 brackets by ZCTA; block group method uses tract medians (no block group median is loaded)</t>
  </si>
  <si>
    <t>Prior ZIP area split (rounded)</t>
  </si>
  <si>
    <t>1 mile: the ZIP split spread 75067's 66,913 people evenly over its area; the ring's block groups are denser than the ZIP average</t>
  </si>
  <si>
    <t>Cedar Fork Commerce Park (illustrative) - 3. Three Mile Ring vs Lewisville, Denton County, DFW Metro, Texas and US</t>
  </si>
  <si>
    <t>ACS 2020-2024 5-year. The ring column links to sheet 1 (our calculation); the other columns compute from published ACS values on the ACS Data sheet. Mean travel time uses the same bracket midpoints for every column.</t>
  </si>
  <si>
    <t>High school graduate or higher (25+)</t>
  </si>
  <si>
    <t>Bachelor's degree or higher (25+)</t>
  </si>
  <si>
    <t>Commute 30 to 44 minutes</t>
  </si>
  <si>
    <t>Commute 60 minutes or more</t>
  </si>
  <si>
    <t>Mean travel time (minutes, our calc.)</t>
  </si>
  <si>
    <t>Ring vs metro: % difference for dollar figures, difference in level (percentage points or units) for rates and ratios. Ring median income, home value and rent are approximations (see sheet 1).</t>
  </si>
  <si>
    <t>3 mile ring</t>
  </si>
  <si>
    <t>Lewisville city</t>
  </si>
  <si>
    <t>Denton County</t>
  </si>
  <si>
    <t>DFW-Arlington metro</t>
  </si>
  <si>
    <t>Ring vs metro</t>
  </si>
  <si>
    <t>Cedar Fork Commerce Park (illustrative) - 4. Growth (series with published history only)</t>
  </si>
  <si>
    <t>Only series with history in the data are shown; no trend is projected. Growth rates are our calculation. QCEW employment uses March of each year and wages the first quarter of each year so seasonality does not distort the comparison.</t>
  </si>
  <si>
    <t>A. RESIDENT POPULATION, JULY 1 (Census Population Estimates, Vintage 2025)</t>
  </si>
  <si>
    <t>Year</t>
  </si>
  <si>
    <t>CAGR 2020-2025 (our calc.)</t>
  </si>
  <si>
    <t>B. DENTON COUNTY POPULATION AND PER CAPITA PERSONAL INCOME (BEA CAINC1)</t>
  </si>
  <si>
    <t>CAGR 2010-2024 (our calc.)</t>
  </si>
  <si>
    <t>C. EMPLOYMENT AND WAGES (BLS QCEW, all industries, total covered)</t>
  </si>
  <si>
    <t>CAGR 2014-2026 (our calc.)</t>
  </si>
  <si>
    <t>Population (BEA)</t>
  </si>
  <si>
    <t>Denton County employment (March)</t>
  </si>
  <si>
    <t>Per capita personal income ($)</t>
  </si>
  <si>
    <t>Metro employment (March)</t>
  </si>
  <si>
    <t>Population YoY</t>
  </si>
  <si>
    <t>Denton YoY</t>
  </si>
  <si>
    <t>Per capita income YoY</t>
  </si>
  <si>
    <t>Metro YoY</t>
  </si>
  <si>
    <t>Denton avg weekly wage, Q1 ($)</t>
  </si>
  <si>
    <t>US YoY</t>
  </si>
  <si>
    <t>Metro avg weekly wage, Q1 ($)</t>
  </si>
  <si>
    <t>Denton wage YoY</t>
  </si>
  <si>
    <t>Metro wage YoY</t>
  </si>
  <si>
    <t>Cedar Fork Commerce Park (illustrative) - 5. Industrial Labor Market for a Flex Tenant</t>
  </si>
  <si>
    <t>BLS LAUS (unemployment, not seasonally adjusted), QCEW (private employment and average weekly wage by sector) and CES (metro employment, not seasonally adjusted). Each block shows its latest period beside the same period a year earlier; changes and shares are our calculation.</t>
  </si>
  <si>
    <t>A. UNEMPLOYMENT (BLS LAUS, not seasonally adjusted)</t>
  </si>
  <si>
    <t>Measure</t>
  </si>
  <si>
    <t>Period</t>
  </si>
  <si>
    <t>Unemployment rate (%)</t>
  </si>
  <si>
    <t>Labor force</t>
  </si>
  <si>
    <t>Employment (residents)</t>
  </si>
  <si>
    <t>B. DENTON COUNTY BY SECTOR (BLS QCEW, private)</t>
  </si>
  <si>
    <t>Sector</t>
  </si>
  <si>
    <t>Total, all industries (total covered)</t>
  </si>
  <si>
    <t>Construction</t>
  </si>
  <si>
    <t>Manufacturing</t>
  </si>
  <si>
    <t>Transportation and warehousing</t>
  </si>
  <si>
    <t>Three industrial sectors combined</t>
  </si>
  <si>
    <t>C. DFW-ARLINGTON METRO BY SECTOR (BLS QCEW, private; latest quarter BLS discloses for the sectors)</t>
  </si>
  <si>
    <t>Later quarters of the metro sector series are published as 0 (not disclosed), so June 2025 / Q2 2025 is the latest usable QCEW metro sector data; the CES block below gives September 2026.</t>
  </si>
  <si>
    <t>D. DFW-ARLINGTON METRO, CURRENT EMPLOYMENT STATISTICS (thousands, not seasonally adjusted)</t>
  </si>
  <si>
    <t>Total nonfarm</t>
  </si>
  <si>
    <t>Mining, logging and construction</t>
  </si>
  <si>
    <t>Transportation, warehousing and utilities</t>
  </si>
  <si>
    <t>September 2026 CES values are preliminary. CES groups construction with mining and logging, and transportation with utilities, for this metro.</t>
  </si>
  <si>
    <t>Employment</t>
  </si>
  <si>
    <t>Employment (000s)</t>
  </si>
  <si>
    <t>Denton County, year earlier</t>
  </si>
  <si>
    <t>Employment, year earlier</t>
  </si>
  <si>
    <t>Year earlier (000s)</t>
  </si>
  <si>
    <t>Change</t>
  </si>
  <si>
    <t>YoY</t>
  </si>
  <si>
    <t>Share of county total</t>
  </si>
  <si>
    <t>Share of metro total</t>
  </si>
  <si>
    <t>Share of total nonfarm</t>
  </si>
  <si>
    <t>Metro, year earlier</t>
  </si>
  <si>
    <t>Avg weekly wage ($)</t>
  </si>
  <si>
    <t>Q1 2026</t>
  </si>
  <si>
    <t>Q2 2025</t>
  </si>
  <si>
    <t>Wage, year earlier ($)</t>
  </si>
  <si>
    <t>Q1 2025</t>
  </si>
  <si>
    <t>Q2 2024</t>
  </si>
  <si>
    <t>Wage YoY</t>
  </si>
  <si>
    <t>Wage vs all industries</t>
  </si>
  <si>
    <t>Cedar Fork Commerce Park (illustrative) - 6. Industrial Submarket, Q3 2026 Broker Reports</t>
  </si>
  <si>
    <t>The site (I-35E and Corporate Drive, south Lewisville, Denton County) sits in CBRE's Lewisville submarket (Northwest Dallas district) and in Cushman &amp; Wakefield's Far North/I-35 submarket, read off each report's submarket map. Newmark's 3Q26 report gates its submarket table, so it is not used.</t>
  </si>
  <si>
    <t>Broker</t>
  </si>
  <si>
    <t>CBRE</t>
  </si>
  <si>
    <t>Cushman &amp; Wakefield</t>
  </si>
  <si>
    <t>RANGES USED IN THE TIE-BACK (our calc.)</t>
  </si>
  <si>
    <t>Range</t>
  </si>
  <si>
    <t>Submarket containing the site (CBRE Lewisville, C&amp;W Far North/I-35)</t>
  </si>
  <si>
    <t>Flex segment, metro (CBRE R&amp;D/Flex, C&amp;W Office Service Center)</t>
  </si>
  <si>
    <t>Broker figures are not on one basis: CBRE quotes average direct asking rent NNN for buildings of 10,000 SF and over; Cushman quotes overall weighted average net rent. Inventories and absorption differ because the submarket boundaries differ.</t>
  </si>
  <si>
    <t>Broker's name for the area</t>
  </si>
  <si>
    <t>Lewisville</t>
  </si>
  <si>
    <t>Northwest Dallas Total</t>
  </si>
  <si>
    <t>R&amp;D/Flex</t>
  </si>
  <si>
    <t>Below 50K SF</t>
  </si>
  <si>
    <t>DFW Total</t>
  </si>
  <si>
    <t>Far North/I-35</t>
  </si>
  <si>
    <t>Office Service Center (Flex)</t>
  </si>
  <si>
    <t>Dallas/Fort Worth Totals</t>
  </si>
  <si>
    <t>Level</t>
  </si>
  <si>
    <t>Submarket containing the site</t>
  </si>
  <si>
    <t>District</t>
  </si>
  <si>
    <t>Metro product type (flex)</t>
  </si>
  <si>
    <t>Metro size band</t>
  </si>
  <si>
    <t>Metro</t>
  </si>
  <si>
    <t>Inventory (SF)</t>
  </si>
  <si>
    <t>Vacancy</t>
  </si>
  <si>
    <t>Vacancy low</t>
  </si>
  <si>
    <t>Asking rent ($/SF/yr)</t>
  </si>
  <si>
    <t>Vacancy high</t>
  </si>
  <si>
    <t>Rent basis</t>
  </si>
  <si>
    <t>Avg. direct asking, NNN</t>
  </si>
  <si>
    <t>Overall weighted avg. net</t>
  </si>
  <si>
    <t>Rent low ($)</t>
  </si>
  <si>
    <t>Q3 2026 net absorption (SF)</t>
  </si>
  <si>
    <t>Rent high ($)</t>
  </si>
  <si>
    <t>YTD net absorption (SF)</t>
  </si>
  <si>
    <t>Under construction (SF)</t>
  </si>
  <si>
    <t>Map placement / notes</t>
  </si>
  <si>
    <t>Northwest Dallas district; 369,000 SF delivered in Q3</t>
  </si>
  <si>
    <t>Denton, Lewisville, Metropolitan/Addison, N Stemmons/Valwood, NW Dallas Outlying</t>
  </si>
  <si>
    <t>Closest product match to a small-bay flex park</t>
  </si>
  <si>
    <t/>
  </si>
  <si>
    <t>North of Valwood/N Stemmons along I-35E; YTD completions 744,998 SF</t>
  </si>
  <si>
    <t>Buildings under 50,000 SF (CBRE size band by building)</t>
  </si>
  <si>
    <t>Cedar Fork Commerce Park (illustrative) - 7. Tie-Back to the Acquisition Underwriting Model</t>
  </si>
  <si>
    <t>Model inputs are read from the acquisition underwriting model (Assumptions, Annual CF and Lease Comps tabs) and are not changed here. Submarket and flex ranges link to sheet 6. Tests and gaps are our calculation.</t>
  </si>
  <si>
    <t>A. UNDERWRITING INPUTS</t>
  </si>
  <si>
    <t>Market rent, small bay (&lt;20,000 SF), 2027 ($/SF/yr NNN)</t>
  </si>
  <si>
    <t>Market rent, large bay, 2027 ($/SF/yr NNN)</t>
  </si>
  <si>
    <t>Market rent growth (per year)</t>
  </si>
  <si>
    <t>General vacancy and credit loss (% of base rent and recoveries)</t>
  </si>
  <si>
    <t>Renewal probability</t>
  </si>
  <si>
    <t>Downtime before a new tenant (months)</t>
  </si>
  <si>
    <t>Lease comps average rent, small bay ($/SF/yr NNN)</t>
  </si>
  <si>
    <t>Lease comps average rent, large bay ($/SF/yr NNN)</t>
  </si>
  <si>
    <t>Hold total: base rent, in-place leases ($)</t>
  </si>
  <si>
    <t>Hold total: base rent, rollover and lease-up leases, potential ($)</t>
  </si>
  <si>
    <t>Hold total: downtime vacancy ($)</t>
  </si>
  <si>
    <t>Hold total: free rent ($)</t>
  </si>
  <si>
    <t>Hold total: expense recoveries ($)</t>
  </si>
  <si>
    <t>Hold total: general vacancy and credit loss ($)</t>
  </si>
  <si>
    <t/>
  </si>
  <si>
    <t>Same, including free rent (our calc.)</t>
  </si>
  <si>
    <t>B. TESTS AGAINST THE Q3 2026 BROKER FIGURES (our calc.)</t>
  </si>
  <si>
    <t>Small-bay market rent ($/SF/yr)</t>
  </si>
  <si>
    <t>Large-bay market rent ($/SF/yr)</t>
  </si>
  <si>
    <t>General vacancy and credit loss</t>
  </si>
  <si>
    <t>Average economic vacancy over the hold</t>
  </si>
  <si>
    <t>Small-bay rent premium to CBRE Lewisville average asking</t>
  </si>
  <si>
    <t>Small-bay rent premium to the top of the flex segment</t>
  </si>
  <si>
    <t>C. ANSWER AND RECOMMENDED CHANGES</t>
  </si>
  <si>
    <t/>
  </si>
  <si>
    <t>Vacancy: the model does not sit inside either range. General vacancy of 1.0% (about 3.3% average economic vacancy with rollover downtime) is below the 10.2% to 11.0% submarket vacancy and the 6.4% to 6.6% flex vacancy.</t>
  </si>
  <si>
    <t/>
  </si>
  <si>
    <t/>
  </si>
  <si>
    <t>Change 3: watch new supply: 1.89 million SF under construction in CBRE's Lewisville submarket and 375,831 SF in Cushman's Far North/I-35 could hold vacancy up through the first rollover years.</t>
  </si>
  <si>
    <t>Model</t>
  </si>
  <si>
    <t>Source in model</t>
  </si>
  <si>
    <t>Assumptions: appraisal market rent conclusion</t>
  </si>
  <si>
    <t>Assumptions: buyer assumption</t>
  </si>
  <si>
    <t>Assumptions: buyer assumption, on top of rollover downtime</t>
  </si>
  <si>
    <t>Assumptions</t>
  </si>
  <si>
    <t>Lease Comps (appraisal Table 1)</t>
  </si>
  <si>
    <t>Annual CF, hold total 2027-2036</t>
  </si>
  <si>
    <t>Annual CF</t>
  </si>
  <si>
    <t>Submarket low</t>
  </si>
  <si>
    <t>Submarket high</t>
  </si>
  <si>
    <t>Inside submarket range?</t>
  </si>
  <si>
    <t>Model less submarket high</t>
  </si>
  <si>
    <t>Flex segment low</t>
  </si>
  <si>
    <t>Flex segment high</t>
  </si>
  <si>
    <t>Inside flex range?</t>
  </si>
  <si>
    <t>Model less flex high</t>
  </si>
  <si>
    <t>Average economic vacancy with general vacancy at the proposed rate in D30 (our calc.)</t>
  </si>
  <si>
    <t>Rent: neither model market rent sits inside the submarket range. Small bay ($14.50) is $3.21 above the top of the $9.97 to $11.29 submarket asking range and $1.52 above the $12.83 to $12.98 metro flex range; large bay ($12.75) is $1.46 above the submarket range and just under the flex range. The rents rest on the appraisal and park-level lease comps ($14.70 small, $12.75 large), which the broker averages, blending all building types and ages, do not confirm.</t>
  </si>
  <si>
    <t/>
  </si>
  <si>
    <t>Change 2: keep $14.50 / $12.75 as the base only after the seller's 2025-2026 park leasing confirms them; run a downside with small bay at about $12.90 (flex segment) and large bay at $11.29 (CBRE Lewisville) and report the IRR and bid at those rents.</t>
  </si>
  <si>
    <t>Change 1: raise general vacancy and credit loss from 1.0% to 3.0% (D30), which lifts average economic vacancy to about 5.2% (C30), closer to the flex segment; keep the 6-month downtime and 70% renewal.</t>
  </si>
  <si>
    <t>Cedar Fork Commerce Park (illustrative) - Market and Trade Area Analysis</t>
  </si>
  <si>
    <t>Cedar Fork Commerce Park is an illustrative property. Prepared 3 November 2026.</t>
  </si>
  <si>
    <t>ANCHOR POINT</t>
  </si>
  <si>
    <t>The property address, 2400 Cedar Fork Parkway, is invented, so every ring is anchored on a real point: I-35E and Corporate Drive, Lewisville TX (33.0090, -96.9814), the point used in the earlier ring check.</t>
  </si>
  <si>
    <t>RING METHOD</t>
  </si>
  <si>
    <t>1. Block groups (Census TIGER/Line 2026) touching the 5 mile ring are intersected with 1, 3 and 5 mile circles in UTM zone 14N (our GIS calculation).</t>
  </si>
  <si>
    <t/>
  </si>
  <si>
    <t>3. A block group counts by the share of its land area inside the ring (area share). The centroid method (Census internal point inside the ring) is shown as a check only.</t>
  </si>
  <si>
    <t>4. Population, households, aggregate income, labor force and unemployment use block group values. Median household income uses tract medians weighted by ring households, because no block group median or income brackets are loaded.</t>
  </si>
  <si>
    <t>5. Education, commute and housing tables are loaded only for ZCTAs and larger areas, so they are allocated from ZCTAs by the share of each ZCTA's population that lives in ring block groups.</t>
  </si>
  <si>
    <t>SOURCES</t>
  </si>
  <si>
    <t>Census Bureau: ACS 2020-2024 5-year estimates (block group, tract, ZCTA, place, county, metro, state, US); Population Estimates Vintage 2025; TIGER/Line 2026 boundaries; TIGERweb area hydrography.</t>
  </si>
  <si>
    <t>BLS: LAUS, QCEW and CES. BEA: CAINC1 county personal income and population.</t>
  </si>
  <si>
    <t>CBRE, Dallas/Fort Worth Industrial Figures Q3 2026; Cushman &amp; Wakefield, MarketBeat Dallas/Fort Worth Industrial Q3 2026 (copies saved under Buyer Diligence/Market Sources).</t>
  </si>
  <si>
    <t>Acquisition underwriting model for Cedar Fork Commerce Park (inputs read, not changed).</t>
  </si>
  <si>
    <t>CONVENTIONS</t>
  </si>
  <si>
    <t/>
  </si>
  <si>
    <t>SHEETS</t>
  </si>
  <si>
    <t>1 Rings: 1, 3 and 5 mile ring demographics.  2 ZIP vs BG: prior ZIP area-split figures beside the block group figures.  3 Comparison: 3 mile ring vs Lewisville, Denton County, DFW metro, Texas and US.</t>
  </si>
  <si>
    <t>4 Growth: county and metro population, employment and wages.  5 Labor: industrial labor market.  6 Submarket: Q3 2026 broker submarket figures.  7 UW Tie-back: model rent and vacancy against the submarket.</t>
  </si>
  <si>
    <t>BG Data and ACS Data: the source values and ring shares behind sheets 1 to 3.</t>
  </si>
  <si>
    <t>2. Water is removed with Census TIGERweb area hydrography (Lewisville Lake, Grapevine Lake and smaller water bodies) before shares are taken; mapped water ties to the Census water area within 3% for the Lewisville Lake and Grapevine Lake block groups.</t>
  </si>
  <si>
    <t>Blue values are read from a cited source, or are our GIS outputs or the prior ring estimates where so labeled; blue on yellow are our assumptions; black values are formulas; green values link to another sheet. Every computed figure is our calculation.</t>
  </si>
  <si>
    <t>1 mile</t>
  </si>
  <si>
    <t>3 miles</t>
  </si>
  <si>
    <t>5 miles</t>
  </si>
  <si>
    <t>Average economic vacancy over the hold (downtime + general vacancy; our calc.)</t>
  </si>
</sst>
</file>

<file path=xl/styles.xml><?xml version="1.0" encoding="utf-8"?>
<styleSheet xmlns="http://schemas.openxmlformats.org/spreadsheetml/2006/main" xmlns:mc="http://schemas.openxmlformats.org/markup-compatibility/2006" xmlns:x14ac="http://schemas.microsoft.com/office/spreadsheetml/2009/9/ac" mc:Ignorable="x14ac">
  <numFmts count="17">
    <numFmt numFmtId="164" formatCode="yyyy"/>
    <numFmt numFmtId="165" formatCode="0&quot; mile&quot;"/>
    <numFmt numFmtId="166" formatCode="$#,##0"/>
    <numFmt numFmtId="167" formatCode="0.0%"/>
    <numFmt numFmtId="168" formatCode="0.0"/>
    <numFmt numFmtId="169" formatCode="#,##0;(#,##0)"/>
    <numFmt numFmtId="170" formatCode="0&quot; mi&quot;"/>
    <numFmt numFmtId="171" formatCode="$#,##0;($#,##0)"/>
    <numFmt numFmtId="172" formatCode="0.0%;(0.0%)"/>
    <numFmt numFmtId="173" formatCode="0.00;(0.00)"/>
    <numFmt numFmtId="174" formatCode="0.0;(0.0)"/>
    <numFmt numFmtId="175" formatCode="mmm yyyy"/>
    <numFmt numFmtId="176" formatCode="0.0&quot;%&quot;"/>
    <numFmt numFmtId="177" formatCode="0.0&quot; pp&quot;;(0.0&quot; pp&quot;)"/>
    <numFmt numFmtId="178" formatCode="#,##0.0"/>
    <numFmt numFmtId="179" formatCode="$#,##0.00"/>
    <numFmt numFmtId="180" formatCode="$#,##0.00;($#,##0.00)"/>
  </numFmts>
  <fonts count="13">
    <font>
      <sz val="10"/>
      <color rgb="FF000000"/>
      <name val="Arial"/>
      <family val="2"/>
    </font>
    <font>
      <b/>
      <sz val="10"/>
      <color rgb="FF000000"/>
      <name val="Arial"/>
      <family val="2"/>
    </font>
    <font>
      <b/>
      <sz val="12"/>
      <color rgb="FF000000"/>
      <name val="Arial"/>
      <family val="2"/>
    </font>
    <font>
      <sz val="10"/>
      <color rgb="FF646464"/>
      <name val="Arial"/>
      <family val="2"/>
    </font>
    <font>
      <sz val="10"/>
      <color rgb="FF008000"/>
      <name val="Arial"/>
      <family val="2"/>
    </font>
    <font>
      <sz val="10"/>
      <color rgb="FF0000FF"/>
      <name val="Arial"/>
      <family val="2"/>
    </font>
    <font>
      <sz val="10"/>
      <color rgb="FFFFFFFF"/>
      <name val="Arial"/>
      <family val="2"/>
    </font>
    <font>
      <b/>
      <sz val="10"/>
      <color rgb="FFFFFFFF"/>
      <name val="Arial"/>
      <family val="2"/>
    </font>
    <font>
      <b/>
      <sz val="10"/>
      <color rgb="FF008000"/>
      <name val="Arial"/>
      <family val="2"/>
    </font>
    <font>
      <i/>
      <sz val="10"/>
      <color rgb="FF000000"/>
      <name val="Arial"/>
      <family val="2"/>
    </font>
    <font>
      <b/>
      <sz val="10"/>
      <color rgb="FF0000FF"/>
      <name val="Arial"/>
      <family val="2"/>
    </font>
    <font>
      <b/>
      <sz val="10"/>
      <color rgb="FFC00000"/>
      <name val="Arial"/>
      <family val="2"/>
    </font>
    <font>
      <i/>
      <sz val="10"/>
      <color rgb="FF646464"/>
      <name val="Arial"/>
      <family val="2"/>
    </font>
  </fonts>
  <fills count="5">
    <fill>
      <patternFill patternType="none"/>
    </fill>
    <fill>
      <patternFill patternType="gray125"/>
    </fill>
    <fill>
      <patternFill patternType="solid">
        <fgColor rgb="FFFFFFE0"/>
        <bgColor indexed="64"/>
      </patternFill>
    </fill>
    <fill>
      <patternFill patternType="solid">
        <fgColor rgb="FF002060"/>
        <bgColor indexed="64"/>
      </patternFill>
    </fill>
    <fill>
      <patternFill patternType="solid">
        <fgColor rgb="FFF2F2F2"/>
        <bgColor indexed="64"/>
      </patternFill>
    </fill>
  </fills>
  <borders count="4">
    <border>
      <left/>
      <right/>
      <top/>
      <bottom/>
      <diagonal/>
    </border>
    <border>
      <left/>
      <right/>
      <top/>
      <bottom style="thin"/>
      <diagonal/>
    </border>
    <border>
      <left/>
      <right/>
      <top/>
      <bottom style="thin">
        <color rgb="FF002060"/>
      </bottom>
      <diagonal/>
    </border>
    <border>
      <left/>
      <right/>
      <top style="thin"/>
      <bottom/>
      <diagonal/>
    </border>
  </borders>
  <cellStyleXfs count="1">
    <xf borderId="0" fillId="0" fontId="0" numFmtId="0" applyAlignment="1" applyFont="1" applyFill="1"/>
  </cellStyleXfs>
  <cellXfs count="80">
    <xf xfId="0" borderId="0" fillId="0" fontId="0" numFmtId="0"/>
    <xf xfId="0" borderId="0" fillId="0" fontId="0" numFmtId="0" quotePrefix="1"/>
    <xf xfId="0" borderId="0" fillId="0" fontId="0" numFmtId="164" applyAlignment="1">
      <alignment horizontal="left"/>
    </xf>
    <xf xfId="0" borderId="0" fillId="0" fontId="1" numFmtId="0" applyFont="1"/>
    <xf xfId="0" borderId="0" fillId="0" fontId="2" numFmtId="0" applyFont="1"/>
    <xf xfId="0" borderId="0" fillId="0" fontId="3" numFmtId="0" applyFont="1"/>
    <xf xfId="0" borderId="0" fillId="0" fontId="3" numFmtId="0" applyAlignment="1" applyFont="1">
      <alignment/>
    </xf>
    <xf xfId="0" borderId="0" fillId="3" fontId="7" numFmtId="0" applyAlignment="1" applyFont="1" applyFill="1">
      <alignment wrapText="1" vertical="center"/>
    </xf>
    <xf xfId="0" borderId="0" fillId="3" fontId="7" numFmtId="165" applyAlignment="1" applyFont="1" applyFill="1">
      <alignment wrapText="1" horizontal="right" vertical="center"/>
    </xf>
    <xf xfId="0" borderId="1" fillId="0" fontId="1" numFmtId="0" applyFont="1"/>
    <xf xfId="0" borderId="2" fillId="0" fontId="1" numFmtId="0" applyFont="1"/>
    <xf xfId="0" borderId="0" fillId="0" fontId="4" numFmtId="3" applyFont="1"/>
    <xf xfId="0" borderId="0" fillId="0" fontId="0" numFmtId="2"/>
    <xf xfId="0" borderId="0" fillId="0" fontId="4" numFmtId="166" applyFont="1"/>
    <xf xfId="0" borderId="0" fillId="0" fontId="0" numFmtId="167"/>
    <xf xfId="0" borderId="0" fillId="0" fontId="4" numFmtId="167" applyFont="1"/>
    <xf xfId="0" borderId="0" fillId="0" fontId="4" numFmtId="168" applyFont="1"/>
    <xf xfId="0" borderId="0" fillId="0" fontId="4" numFmtId="1" applyFont="1"/>
    <xf xfId="0" borderId="0" fillId="0" fontId="0" numFmtId="169"/>
    <xf xfId="0" borderId="0" fillId="0" fontId="8" numFmtId="3" applyFont="1"/>
    <xf xfId="0" borderId="0" fillId="0" fontId="8" numFmtId="166" applyFont="1"/>
    <xf xfId="0" borderId="0" fillId="0" fontId="5" numFmtId="170" applyFont="1"/>
    <xf xfId="0" borderId="0" fillId="0" fontId="5" numFmtId="169" applyFont="1"/>
    <xf xfId="0" borderId="0" fillId="0" fontId="4" numFmtId="169" applyFont="1"/>
    <xf xfId="0" borderId="0" fillId="0" fontId="5" numFmtId="171" applyFont="1"/>
    <xf xfId="0" borderId="0" fillId="0" fontId="4" numFmtId="171" applyFont="1"/>
    <xf xfId="0" borderId="0" fillId="0" fontId="0" numFmtId="171"/>
    <xf xfId="0" borderId="0" fillId="0" fontId="0" numFmtId="172"/>
    <xf xfId="0" borderId="1" fillId="0" fontId="0" numFmtId="0"/>
    <xf xfId="0" borderId="1" fillId="0" fontId="5" numFmtId="170" applyFont="1"/>
    <xf xfId="0" borderId="1" fillId="0" fontId="5" numFmtId="169" applyFont="1"/>
    <xf xfId="0" borderId="1" fillId="0" fontId="4" numFmtId="169" applyFont="1"/>
    <xf xfId="0" borderId="1" fillId="0" fontId="0" numFmtId="169"/>
    <xf xfId="0" borderId="1" fillId="0" fontId="0" numFmtId="172"/>
    <xf xfId="0" borderId="0" fillId="0" fontId="4" numFmtId="2" applyFont="1"/>
    <xf xfId="0" borderId="0" fillId="0" fontId="0" numFmtId="173"/>
    <xf xfId="0" borderId="0" fillId="0" fontId="0" numFmtId="174"/>
    <xf xfId="0" borderId="0" fillId="4" fontId="4" numFmtId="3" applyFont="1" applyFill="1"/>
    <xf xfId="0" borderId="0" fillId="4" fontId="4" numFmtId="2" applyFont="1" applyFill="1"/>
    <xf xfId="0" borderId="0" fillId="4" fontId="4" numFmtId="166" applyFont="1" applyFill="1"/>
    <xf xfId="0" borderId="0" fillId="4" fontId="4" numFmtId="167" applyFont="1" applyFill="1"/>
    <xf xfId="0" borderId="0" fillId="4" fontId="4" numFmtId="168" applyFont="1" applyFill="1"/>
    <xf xfId="0" borderId="1" fillId="0" fontId="1" numFmtId="0" applyAlignment="1" applyFont="1">
      <alignment wrapText="1"/>
    </xf>
    <xf xfId="0" borderId="0" fillId="0" fontId="5" numFmtId="3" applyFont="1"/>
    <xf xfId="0" borderId="0" fillId="0" fontId="5" numFmtId="166" applyFont="1"/>
    <xf xfId="0" borderId="0" fillId="0" fontId="1" numFmtId="167" applyFont="1"/>
    <xf xfId="0" borderId="3" fillId="0" fontId="1" numFmtId="0" applyFont="1"/>
    <xf xfId="0" borderId="3" fillId="0" fontId="1" numFmtId="167" applyFont="1"/>
    <xf xfId="0" borderId="0" fillId="0" fontId="9" numFmtId="175" applyAlignment="1" applyFont="1">
      <alignment horizontal="right"/>
    </xf>
    <xf xfId="0" borderId="0" fillId="0" fontId="9" numFmtId="0" applyAlignment="1" applyFont="1">
      <alignment horizontal="right"/>
    </xf>
    <xf xfId="0" borderId="0" fillId="0" fontId="5" numFmtId="176" applyFont="1"/>
    <xf xfId="0" borderId="0" fillId="0" fontId="0" numFmtId="177"/>
    <xf xfId="0" borderId="0" fillId="0" fontId="0" numFmtId="3"/>
    <xf xfId="0" borderId="0" fillId="0" fontId="0" numFmtId="166"/>
    <xf xfId="0" borderId="3" fillId="0" fontId="1" numFmtId="3" applyFont="1"/>
    <xf xfId="0" borderId="3" fillId="0" fontId="1" numFmtId="172" applyFont="1"/>
    <xf xfId="0" borderId="3" fillId="0" fontId="1" numFmtId="166" applyFont="1"/>
    <xf xfId="0" borderId="0" fillId="0" fontId="5" numFmtId="178" applyFont="1"/>
    <xf xfId="0" borderId="0" fillId="0" fontId="5" numFmtId="167" applyFont="1"/>
    <xf xfId="0" borderId="0" fillId="0" fontId="5" numFmtId="179" applyFont="1"/>
    <xf xfId="0" borderId="0" fillId="0" fontId="10" numFmtId="3" applyFont="1"/>
    <xf xfId="0" borderId="0" fillId="0" fontId="10" numFmtId="167" applyFont="1"/>
    <xf xfId="0" borderId="0" fillId="0" fontId="10" numFmtId="179" applyFont="1"/>
    <xf xfId="0" borderId="0" fillId="0" fontId="10" numFmtId="169" applyFont="1"/>
    <xf xfId="0" borderId="1" fillId="0" fontId="5" numFmtId="3" applyFont="1"/>
    <xf xfId="0" borderId="1" fillId="0" fontId="5" numFmtId="167" applyFont="1"/>
    <xf xfId="0" borderId="1" fillId="0" fontId="5" numFmtId="179" applyFont="1"/>
    <xf xfId="0" borderId="0" fillId="0" fontId="0" numFmtId="179"/>
    <xf xfId="0" borderId="0" fillId="0" fontId="5" numFmtId="1" applyFont="1"/>
    <xf xfId="0" borderId="0" fillId="2" fontId="5" numFmtId="167" applyFont="1" applyFill="1"/>
    <xf xfId="0" borderId="0" fillId="0" fontId="4" numFmtId="179" applyFont="1"/>
    <xf xfId="0" borderId="0" fillId="0" fontId="0" numFmtId="180"/>
    <xf xfId="0" borderId="0" fillId="0" fontId="11" numFmtId="0" applyAlignment="1" applyFont="1">
      <alignment horizontal="center"/>
    </xf>
    <xf xfId="0" borderId="0" fillId="0" fontId="0" numFmtId="49" quotePrefix="1" applyAlignment="1">
      <alignment horizontal="left"/>
    </xf>
    <xf xfId="0" borderId="0" fillId="0" fontId="12" numFmtId="0" applyFont="1"/>
    <xf xfId="0" borderId="0" fillId="0" fontId="3" numFmtId="0" applyAlignment="1" applyFont="1">
      <alignment horizontal="right"/>
    </xf>
    <xf xfId="0" borderId="0" fillId="3" fontId="7" numFmtId="3" applyAlignment="1" applyFont="1" applyFill="1">
      <alignment wrapText="1" vertical="center"/>
    </xf>
    <xf xfId="0" borderId="0" fillId="3" fontId="7" numFmtId="166" applyAlignment="1" applyFont="1" applyFill="1">
      <alignment wrapText="1" vertical="center"/>
    </xf>
    <xf xfId="0" borderId="0" fillId="2" fontId="5" numFmtId="168" applyFont="1" applyFill="1"/>
    <xf xfId="0" borderId="0" fillId="3" fontId="7" numFmtId="0" applyAlignment="1" applyFont="1" applyFill="1">
      <alignment vertic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styles" Target="styles.xml"/><Relationship Id="rId12" Type="http://schemas.openxmlformats.org/officeDocument/2006/relationships/sharedStrings" Target="sharedStrings.xml"/><Relationship Id="rId13"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B27"/>
  <sheetViews>
    <sheetView showGridLines="0" tabSelected="1" workbookViewId="0">
      <selection activeCell="A1" sqref="A1"/>
    </sheetView>
  </sheetViews>
  <cols>
    <col min="1" max="1" width="2.21875" customWidth="1"/>
    <col min="2" max="2" width="171.359375" customWidth="1"/>
  </cols>
  <sheetData>
    <row r="2">
      <c r="B2" t="s" s="4">
        <v>621</v>
      </c>
    </row>
    <row r="3">
      <c r="B3" t="s" s="6">
        <v>622</v>
      </c>
    </row>
    <row r="4">
      <c r="B4" s="6"/>
    </row>
    <row r="5">
      <c r="B5" t="s" s="7">
        <v>623</v>
      </c>
    </row>
    <row r="6">
      <c r="B6" t="s">
        <v>624</v>
      </c>
    </row>
    <row r="8">
      <c r="B8" t="s" s="7">
        <v>625</v>
      </c>
    </row>
    <row r="9">
      <c r="B9" t="s">
        <v>626</v>
      </c>
    </row>
    <row r="10">
      <c r="B10" t="s">
        <v>642</v>
      </c>
    </row>
    <row r="11">
      <c r="B11" t="s">
        <v>628</v>
      </c>
    </row>
    <row r="12">
      <c r="B12" t="s">
        <v>629</v>
      </c>
    </row>
    <row r="13">
      <c r="B13" t="s">
        <v>630</v>
      </c>
    </row>
    <row r="15">
      <c r="B15" t="s" s="7">
        <v>631</v>
      </c>
    </row>
    <row r="16">
      <c r="B16" t="s">
        <v>632</v>
      </c>
    </row>
    <row r="17">
      <c r="B17" t="s">
        <v>633</v>
      </c>
    </row>
    <row r="18">
      <c r="B18" t="s">
        <v>634</v>
      </c>
    </row>
    <row r="19">
      <c r="B19" t="s">
        <v>635</v>
      </c>
    </row>
    <row r="21">
      <c r="B21" t="s" s="7">
        <v>636</v>
      </c>
    </row>
    <row r="22">
      <c r="B22" t="s">
        <v>643</v>
      </c>
    </row>
    <row r="24">
      <c r="B24" t="s" s="7">
        <v>638</v>
      </c>
    </row>
    <row r="25">
      <c r="B25" t="s">
        <v>639</v>
      </c>
    </row>
    <row r="26">
      <c r="B26" t="s">
        <v>640</v>
      </c>
    </row>
    <row r="27">
      <c r="B27" t="s">
        <v>641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F47"/>
  <sheetViews>
    <sheetView showGridLines="0" workbookViewId="0">
      <pane ySplit="6" topLeftCell="A7" activePane="bottomLeft" state="frozen"/>
      <selection pane="bottomLeft" activeCell="A1" sqref="A1"/>
    </sheetView>
  </sheetViews>
  <cols>
    <col min="1" max="1" width="2.21875" customWidth="1"/>
    <col min="2" max="2" width="62.7890625" customWidth="1"/>
    <col min="3" max="5" width="15.21875" customWidth="1"/>
    <col min="6" max="6" width="98.9296875" customWidth="1"/>
  </cols>
  <sheetData>
    <row r="2">
      <c r="B2" t="s" s="4">
        <v>386</v>
      </c>
    </row>
    <row r="3">
      <c r="B3" t="s" s="6">
        <v>387</v>
      </c>
    </row>
    <row r="4">
      <c r="B4" t="s" s="6">
        <v>388</v>
      </c>
    </row>
    <row r="6">
      <c r="B6" t="s" s="7">
        <v>389</v>
      </c>
      <c r="C6" t="s" s="8">
        <v>644</v>
      </c>
      <c r="D6" t="s" s="8">
        <v>645</v>
      </c>
      <c r="E6" t="s" s="8">
        <v>646</v>
      </c>
      <c r="F6" t="s" s="7">
        <v>417</v>
      </c>
    </row>
    <row r="7">
      <c r="B7" t="s" s="10">
        <v>390</v>
      </c>
      <c r="C7" s="10"/>
      <c r="D7" s="10"/>
      <c r="E7" s="10"/>
      <c r="F7" s="10"/>
    </row>
    <row r="8">
      <c r="B8" t="s">
        <v>300</v>
      </c>
      <c r="C8" s="19">
        <f>SUMPRODUCT('BG Data'!N$6:N$161,'BG Data'!$T$6:$T$161)</f>
        <v>18661.90742099851</v>
      </c>
      <c r="D8" s="19">
        <f>SUMPRODUCT('BG Data'!O$6:O$161,'BG Data'!$T$6:$T$161)</f>
        <v>96721.77268234595</v>
      </c>
      <c r="E8" s="19">
        <f>SUMPRODUCT('BG Data'!P$6:P$161,'BG Data'!$T$6:$T$161)</f>
        <v>230985.8336846064</v>
      </c>
      <c r="F8" t="s">
        <v>418</v>
      </c>
    </row>
    <row r="9">
      <c r="B9" t="s">
        <v>302</v>
      </c>
      <c r="C9" s="19">
        <f>SUMPRODUCT('BG Data'!N$6:N$161,'BG Data'!$U$6:$U$161)</f>
        <v>8971.370407698885</v>
      </c>
      <c r="D9" s="19">
        <f>SUMPRODUCT('BG Data'!O$6:O$161,'BG Data'!$U$6:$U$161)</f>
        <v>38545.66080183949</v>
      </c>
      <c r="E9" s="19">
        <f>SUMPRODUCT('BG Data'!P$6:P$161,'BG Data'!$U$6:$U$161)</f>
        <v>91138.38953247525</v>
      </c>
      <c r="F9" t="s">
        <v>419</v>
      </c>
    </row>
    <row r="10">
      <c r="B10" t="s">
        <v>391</v>
      </c>
      <c r="C10" s="12">
        <f>C8/C9</f>
        <v>2.0801624025002443</v>
      </c>
      <c r="D10" s="12">
        <f>D8/D9</f>
        <v>2.5092778452958875</v>
      </c>
      <c r="E10" s="12">
        <f>E8/E9</f>
        <v>2.5344515617351284</v>
      </c>
      <c r="F10" t="s">
        <v>420</v>
      </c>
    </row>
    <row r="11">
      <c r="B11" t="s" s="10">
        <v>392</v>
      </c>
      <c r="C11" s="10"/>
      <c r="D11" s="10"/>
      <c r="E11" s="10"/>
      <c r="F11" s="10"/>
    </row>
    <row r="12">
      <c r="B12" t="s">
        <v>304</v>
      </c>
      <c r="C12" s="20">
        <f>SUMPRODUCT('BG Data'!N$6:N$161,'BG Data'!$U$6:$U$161,'BG Data'!$Y$6:$Y$161)/SUMPRODUCT('BG Data'!N$6:N$161,'BG Data'!$U$6:$U$161,--('BG Data'!$Y$6:$Y$161&gt;0))</f>
        <v>69462.3406503402</v>
      </c>
      <c r="D12" s="20">
        <f>SUMPRODUCT('BG Data'!O$6:O$161,'BG Data'!$U$6:$U$161,'BG Data'!$Y$6:$Y$161)/SUMPRODUCT('BG Data'!O$6:O$161,'BG Data'!$U$6:$U$161,--('BG Data'!$Y$6:$Y$161&gt;0))</f>
        <v>101091.23487507801</v>
      </c>
      <c r="E12" s="20">
        <f>SUMPRODUCT('BG Data'!P$6:P$161,'BG Data'!$U$6:$U$161,'BG Data'!$Y$6:$Y$161)/SUMPRODUCT('BG Data'!P$6:P$161,'BG Data'!$U$6:$U$161,--('BG Data'!$Y$6:$Y$161&gt;0))</f>
        <v>113598.64428075253</v>
      </c>
      <c r="F12" t="s">
        <v>421</v>
      </c>
    </row>
    <row r="13">
      <c r="B13" t="s">
        <v>393</v>
      </c>
      <c r="C13" s="20">
        <f>SUMPRODUCT('BG Data'!N$6:N$161,'BG Data'!$V$6:$V$161)/SUMPRODUCT('BG Data'!N$6:N$161,'BG Data'!$U$6:$U$161)</f>
        <v>85489.83576895781</v>
      </c>
      <c r="D13" s="20">
        <f>SUMPRODUCT('BG Data'!O$6:O$161,'BG Data'!$V$6:$V$161)/SUMPRODUCT('BG Data'!O$6:O$161,'BG Data'!$U$6:$U$161)</f>
        <v>123027.9167146342</v>
      </c>
      <c r="E13" s="20">
        <f>SUMPRODUCT('BG Data'!P$6:P$161,'BG Data'!$V$6:$V$161)/SUMPRODUCT('BG Data'!P$6:P$161,'BG Data'!$U$6:$U$161)</f>
        <v>136205.9669518979</v>
      </c>
      <c r="F13" t="s">
        <v>422</v>
      </c>
    </row>
    <row r="14">
      <c r="B14" t="s" s="10">
        <v>394</v>
      </c>
      <c r="C14" s="10"/>
      <c r="D14" s="10"/>
      <c r="E14" s="10"/>
      <c r="F14" s="10"/>
    </row>
    <row r="15">
      <c r="B15" t="s">
        <v>308</v>
      </c>
      <c r="C15" s="11">
        <f>SUMPRODUCT('BG Data'!N$6:N$161,'BG Data'!$W$6:$W$161)</f>
        <v>12642.01204648335</v>
      </c>
      <c r="D15" s="11">
        <f>SUMPRODUCT('BG Data'!O$6:O$161,'BG Data'!$W$6:$W$161)</f>
        <v>59117.34634960922</v>
      </c>
      <c r="E15" s="11">
        <f>SUMPRODUCT('BG Data'!P$6:P$161,'BG Data'!$W$6:$W$161)</f>
        <v>137459.86992076752</v>
      </c>
      <c r="F15" t="s">
        <v>423</v>
      </c>
    </row>
    <row r="16">
      <c r="B16" t="s">
        <v>310</v>
      </c>
      <c r="C16" s="11">
        <f>SUMPRODUCT('BG Data'!N$6:N$161,'BG Data'!$X$6:$X$161)</f>
        <v>568.6484044205371</v>
      </c>
      <c r="D16" s="11">
        <f>SUMPRODUCT('BG Data'!O$6:O$161,'BG Data'!$X$6:$X$161)</f>
        <v>2431.64633153309</v>
      </c>
      <c r="E16" s="11">
        <f>SUMPRODUCT('BG Data'!P$6:P$161,'BG Data'!$X$6:$X$161)</f>
        <v>5288.39360555248</v>
      </c>
      <c r="F16" t="s">
        <v>423</v>
      </c>
    </row>
    <row r="17">
      <c r="B17" t="s">
        <v>395</v>
      </c>
      <c r="C17" s="14">
        <f>C16/C15</f>
        <v>0.044980846587527094</v>
      </c>
      <c r="D17" s="14">
        <f>D16/D15</f>
        <v>0.04113253523175374</v>
      </c>
      <c r="E17" s="14">
        <f>E16/E15</f>
        <v>0.0384722727338585</v>
      </c>
      <c r="F17" t="s">
        <v>420</v>
      </c>
    </row>
    <row r="18">
      <c r="B18" t="s" s="10">
        <v>396</v>
      </c>
      <c r="C18" s="10"/>
      <c r="D18" s="10"/>
      <c r="E18" s="10"/>
      <c r="F18" s="10"/>
    </row>
    <row r="19">
      <c r="B19" t="s">
        <v>312</v>
      </c>
      <c r="C19" s="11">
        <f>SUMPRODUCT('ACS Data'!AV$7:AV$20,'ACS Data'!$J$7:$J$20)</f>
        <v>12930.086163116854</v>
      </c>
      <c r="D19" s="11">
        <f>SUMPRODUCT('ACS Data'!AW$7:AW$20,'ACS Data'!$J$7:$J$20)</f>
        <v>66778.2793209016</v>
      </c>
      <c r="E19" s="11">
        <f>SUMPRODUCT('ACS Data'!AX$7:AX$20,'ACS Data'!$J$7:$J$20)</f>
        <v>159948.2221580407</v>
      </c>
      <c r="F19" t="s">
        <v>424</v>
      </c>
    </row>
    <row r="20">
      <c r="B20" t="s">
        <v>397</v>
      </c>
      <c r="C20" s="15">
        <f>SUMPRODUCT('ACS Data'!AV$7:AV$20,'ACS Data'!$AP$7:$AP$20)/C19</f>
        <v>0.8754645255089188</v>
      </c>
      <c r="D20" s="15">
        <f>SUMPRODUCT('ACS Data'!AW$7:AW$20,'ACS Data'!$AP$7:$AP$20)/D19</f>
        <v>0.9012646846034076</v>
      </c>
      <c r="E20" s="15">
        <f>SUMPRODUCT('ACS Data'!AX$7:AX$20,'ACS Data'!$AP$7:$AP$20)/E19</f>
        <v>0.9242331148981158</v>
      </c>
      <c r="F20" t="s">
        <v>425</v>
      </c>
    </row>
    <row r="21">
      <c r="B21" t="s">
        <v>398</v>
      </c>
      <c r="C21" s="15">
        <f>SUMPRODUCT('ACS Data'!AV$7:AV$20,'ACS Data'!$AQ$7:$AQ$20)/C19</f>
        <v>0.335194470332108</v>
      </c>
      <c r="D21" s="15">
        <f>SUMPRODUCT('ACS Data'!AW$7:AW$20,'ACS Data'!$AQ$7:$AQ$20)/D19</f>
        <v>0.43015279363679715</v>
      </c>
      <c r="E21" s="15">
        <f>SUMPRODUCT('ACS Data'!AX$7:AX$20,'ACS Data'!$AQ$7:$AQ$20)/E19</f>
        <v>0.5010503162253205</v>
      </c>
      <c r="F21" t="s">
        <v>425</v>
      </c>
    </row>
    <row r="22">
      <c r="B22" t="s" s="10">
        <v>399</v>
      </c>
      <c r="C22" s="10"/>
      <c r="D22" s="10"/>
      <c r="E22" s="10"/>
      <c r="F22" s="10"/>
    </row>
    <row r="23">
      <c r="B23" t="s">
        <v>332</v>
      </c>
      <c r="C23" s="11">
        <f>SUMPRODUCT('ACS Data'!AV$7:AV$20,'ACS Data'!$T$7:$T$20)</f>
        <v>10809.883065331533</v>
      </c>
      <c r="D23" s="11">
        <f>SUMPRODUCT('ACS Data'!AW$7:AW$20,'ACS Data'!$T$7:$T$20)</f>
        <v>55162.67040357144</v>
      </c>
      <c r="E23" s="11">
        <f>SUMPRODUCT('ACS Data'!AX$7:AX$20,'ACS Data'!$T$7:$T$20)</f>
        <v>128788.05020154917</v>
      </c>
      <c r="F23" t="s">
        <v>426</v>
      </c>
    </row>
    <row r="24">
      <c r="B24" t="s">
        <v>334</v>
      </c>
      <c r="C24" s="15">
        <f>SUMPRODUCT('ACS Data'!AV$7:AV$20,'ACS Data'!$U$7:$U$20)/C23</f>
        <v>0.7002890850089806</v>
      </c>
      <c r="D24" s="15">
        <f>SUMPRODUCT('ACS Data'!AW$7:AW$20,'ACS Data'!$U$7:$U$20)/D23</f>
        <v>0.6799224278963507</v>
      </c>
      <c r="E24" s="15">
        <f>SUMPRODUCT('ACS Data'!AX$7:AX$20,'ACS Data'!$U$7:$U$20)/E23</f>
        <v>0.6615038479414789</v>
      </c>
      <c r="F24" t="s">
        <v>425</v>
      </c>
    </row>
    <row r="25">
      <c r="B25" t="s">
        <v>336</v>
      </c>
      <c r="C25" s="15">
        <f>SUMPRODUCT('ACS Data'!AV$7:AV$20,'ACS Data'!$V$7:$V$20)/C23</f>
        <v>0.08776280754260979</v>
      </c>
      <c r="D25" s="15">
        <f>SUMPRODUCT('ACS Data'!AW$7:AW$20,'ACS Data'!$V$7:$V$20)/D23</f>
        <v>0.0808307853396282</v>
      </c>
      <c r="E25" s="15">
        <f>SUMPRODUCT('ACS Data'!AX$7:AX$20,'ACS Data'!$V$7:$V$20)/E23</f>
        <v>0.07418899462326078</v>
      </c>
      <c r="F25" t="s">
        <v>425</v>
      </c>
    </row>
    <row r="26">
      <c r="B26" t="s">
        <v>338</v>
      </c>
      <c r="C26" s="15">
        <f>SUMPRODUCT('ACS Data'!AV$7:AV$20,'ACS Data'!$W$7:$W$20)/C23</f>
        <v>0.001713440042461263</v>
      </c>
      <c r="D26" s="15">
        <f>SUMPRODUCT('ACS Data'!AW$7:AW$20,'ACS Data'!$W$7:$W$20)/D23</f>
        <v>0.002478167855264564</v>
      </c>
      <c r="E26" s="15">
        <f>SUMPRODUCT('ACS Data'!AX$7:AX$20,'ACS Data'!$W$7:$W$20)/E23</f>
        <v>0.003357255607560088</v>
      </c>
      <c r="F26" t="s">
        <v>425</v>
      </c>
    </row>
    <row r="27">
      <c r="B27" t="s">
        <v>340</v>
      </c>
      <c r="C27" s="15">
        <f>SUMPRODUCT('ACS Data'!AV$7:AV$20,'ACS Data'!$X$7:$X$20)/C23</f>
        <v>0.17796416508032348</v>
      </c>
      <c r="D27" s="15">
        <f>SUMPRODUCT('ACS Data'!AW$7:AW$20,'ACS Data'!$X$7:$X$20)/D23</f>
        <v>0.2054813319065293</v>
      </c>
      <c r="E27" s="15">
        <f>SUMPRODUCT('ACS Data'!AX$7:AX$20,'ACS Data'!$X$7:$X$20)/E23</f>
        <v>0.23334856863388734</v>
      </c>
      <c r="F27" t="s">
        <v>425</v>
      </c>
    </row>
    <row r="28">
      <c r="B28" t="s">
        <v>400</v>
      </c>
      <c r="C28" s="14">
        <f>1-C24-C25-C26-C27</f>
        <v>0.032270502325624895</v>
      </c>
      <c r="D28" s="14">
        <f>1-D24-D25-D26-D27</f>
        <v>0.031287287002227215</v>
      </c>
      <c r="E28" s="14">
        <f>1-E24-E25-E26-E27</f>
        <v>0.027601333193812944</v>
      </c>
      <c r="F28" t="s">
        <v>420</v>
      </c>
    </row>
    <row r="29">
      <c r="B29" t="s" s="10">
        <v>401</v>
      </c>
      <c r="C29" s="10"/>
      <c r="D29" s="10"/>
      <c r="E29" s="10"/>
      <c r="F29" s="10"/>
    </row>
    <row r="30">
      <c r="B30" t="s">
        <v>402</v>
      </c>
      <c r="C30" s="11">
        <f>SUMPRODUCT('ACS Data'!AV$7:AV$20,'ACS Data'!$Y$7:$Y$20)</f>
        <v>8886.111250993881</v>
      </c>
      <c r="D30" s="11">
        <f>SUMPRODUCT('ACS Data'!AW$7:AW$20,'ACS Data'!$Y$7:$Y$20)</f>
        <v>43827.771417524695</v>
      </c>
      <c r="E30" s="11">
        <f>SUMPRODUCT('ACS Data'!AX$7:AX$20,'ACS Data'!$Y$7:$Y$20)</f>
        <v>98735.54302986847</v>
      </c>
      <c r="F30" t="s">
        <v>427</v>
      </c>
    </row>
    <row r="31">
      <c r="B31" t="s">
        <v>403</v>
      </c>
      <c r="C31" s="15">
        <f>SUMPRODUCT('ACS Data'!AV$7:AV$20,'ACS Data'!$Z$7:$Z$20+'ACS Data'!$AA$7:$AA$20+'ACS Data'!$AB$7:$AB$20)/C30</f>
        <v>0.2388310887839737</v>
      </c>
      <c r="D31" s="15">
        <f>SUMPRODUCT('ACS Data'!AW$7:AW$20,'ACS Data'!$Z$7:$Z$20+'ACS Data'!$AA$7:$AA$20+'ACS Data'!$AB$7:$AB$20)/D30</f>
        <v>0.23726199103268125</v>
      </c>
      <c r="E31" s="15">
        <f>SUMPRODUCT('ACS Data'!AX$7:AX$20,'ACS Data'!$Z$7:$Z$20+'ACS Data'!$AA$7:$AA$20+'ACS Data'!$AB$7:$AB$20)/E30</f>
        <v>0.2241435260723903</v>
      </c>
      <c r="F31" t="s">
        <v>425</v>
      </c>
    </row>
    <row r="32">
      <c r="B32" t="s">
        <v>404</v>
      </c>
      <c r="C32" s="15">
        <f>SUMPRODUCT('ACS Data'!AV$7:AV$20,'ACS Data'!$AC$7:$AC$20+'ACS Data'!$AD$7:$AD$20+'ACS Data'!$AE$7:$AE$20)/C30</f>
        <v>0.4183998852874017</v>
      </c>
      <c r="D32" s="15">
        <f>SUMPRODUCT('ACS Data'!AW$7:AW$20,'ACS Data'!$AC$7:$AC$20+'ACS Data'!$AD$7:$AD$20+'ACS Data'!$AE$7:$AE$20)/D30</f>
        <v>0.41917174020445097</v>
      </c>
      <c r="E32" s="15">
        <f>SUMPRODUCT('ACS Data'!AX$7:AX$20,'ACS Data'!$AC$7:$AC$20+'ACS Data'!$AD$7:$AD$20+'ACS Data'!$AE$7:$AE$20)/E30</f>
        <v>0.4163256244277775</v>
      </c>
      <c r="F32" t="s">
        <v>425</v>
      </c>
    </row>
    <row r="33">
      <c r="B33" t="s">
        <v>405</v>
      </c>
      <c r="C33" s="15">
        <f>SUMPRODUCT('ACS Data'!AV$7:AV$20,'ACS Data'!$AF$7:$AF$20+'ACS Data'!$AG$7:$AG$20+'ACS Data'!$AH$7:$AH$20)/C30</f>
        <v>0.2525758037555369</v>
      </c>
      <c r="D33" s="15">
        <f>SUMPRODUCT('ACS Data'!AW$7:AW$20,'ACS Data'!$AF$7:$AF$20+'ACS Data'!$AG$7:$AG$20+'ACS Data'!$AH$7:$AH$20)/D30</f>
        <v>0.24742910181970013</v>
      </c>
      <c r="E33" s="15">
        <f>SUMPRODUCT('ACS Data'!AX$7:AX$20,'ACS Data'!$AF$7:$AF$20+'ACS Data'!$AG$7:$AG$20+'ACS Data'!$AH$7:$AH$20)/E30</f>
        <v>0.25660235034494727</v>
      </c>
      <c r="F33" t="s">
        <v>425</v>
      </c>
    </row>
    <row r="34">
      <c r="B34" t="s">
        <v>406</v>
      </c>
      <c r="C34" s="15">
        <f>SUMPRODUCT('ACS Data'!AV$7:AV$20,'ACS Data'!$AI$7:$AI$20)/C30</f>
        <v>0.05019000858657775</v>
      </c>
      <c r="D34" s="15">
        <f>SUMPRODUCT('ACS Data'!AW$7:AW$20,'ACS Data'!$AI$7:$AI$20)/D30</f>
        <v>0.05516641693039181</v>
      </c>
      <c r="E34" s="15">
        <f>SUMPRODUCT('ACS Data'!AX$7:AX$20,'ACS Data'!$AI$7:$AI$20)/E30</f>
        <v>0.06412608297533998</v>
      </c>
      <c r="F34" t="s">
        <v>425</v>
      </c>
    </row>
    <row r="35">
      <c r="B35" t="s">
        <v>407</v>
      </c>
      <c r="C35" s="15">
        <f>SUMPRODUCT('ACS Data'!AV$7:AV$20,'ACS Data'!$AJ$7:$AJ$20+'ACS Data'!$AK$7:$AK$20)/C30</f>
        <v>0.04000321358650983</v>
      </c>
      <c r="D35" s="15">
        <f>SUMPRODUCT('ACS Data'!AW$7:AW$20,'ACS Data'!$AJ$7:$AJ$20+'ACS Data'!$AK$7:$AK$20)/D30</f>
        <v>0.04097075001277594</v>
      </c>
      <c r="E35" s="15">
        <f>SUMPRODUCT('ACS Data'!AX$7:AX$20,'ACS Data'!$AJ$7:$AJ$20+'ACS Data'!$AK$7:$AK$20)/E30</f>
        <v>0.038802416179544864</v>
      </c>
      <c r="F35" t="s">
        <v>425</v>
      </c>
    </row>
    <row r="36">
      <c r="B36" t="s">
        <v>408</v>
      </c>
      <c r="C36" s="16">
        <f>SUMPRODUCT('ACS Data'!AV$7:AV$20,'ACS Data'!$AR$7:$AR$20)/C30</f>
        <v>25.46694448024785</v>
      </c>
      <c r="D36" s="16">
        <f>SUMPRODUCT('ACS Data'!AW$7:AW$20,'ACS Data'!$AR$7:$AR$20)/D30</f>
        <v>25.696652914283394</v>
      </c>
      <c r="E36" s="16">
        <f>SUMPRODUCT('ACS Data'!AX$7:AX$20,'ACS Data'!$AR$7:$AR$20)/E30</f>
        <v>26.22647086046012</v>
      </c>
      <c r="F36" t="s">
        <v>428</v>
      </c>
    </row>
    <row r="37">
      <c r="B37" t="s" s="10">
        <v>409</v>
      </c>
      <c r="C37" s="10"/>
      <c r="D37" s="10"/>
      <c r="E37" s="10"/>
      <c r="F37" s="10"/>
    </row>
    <row r="38">
      <c r="B38" t="s">
        <v>373</v>
      </c>
      <c r="C38" s="11">
        <f>SUMPRODUCT('ACS Data'!AV$7:AV$20,'ACS Data'!$AN$7:$AN$20)</f>
        <v>3023.2822655896075</v>
      </c>
      <c r="D38" s="11">
        <f>SUMPRODUCT('ACS Data'!AW$7:AW$20,'ACS Data'!$AN$7:$AN$20)</f>
        <v>17643.69482230816</v>
      </c>
      <c r="E38" s="11">
        <f>SUMPRODUCT('ACS Data'!AX$7:AX$20,'ACS Data'!$AN$7:$AN$20)</f>
        <v>49022.626006009494</v>
      </c>
      <c r="F38" t="s">
        <v>429</v>
      </c>
    </row>
    <row r="39">
      <c r="B39" t="s">
        <v>375</v>
      </c>
      <c r="C39" s="11">
        <f>SUMPRODUCT('ACS Data'!AV$7:AV$20,'ACS Data'!$AO$7:$AO$20)</f>
        <v>4621.615673426891</v>
      </c>
      <c r="D39" s="11">
        <f>SUMPRODUCT('ACS Data'!AW$7:AW$20,'ACS Data'!$AO$7:$AO$20)</f>
        <v>21076.074244052867</v>
      </c>
      <c r="E39" s="11">
        <f>SUMPRODUCT('ACS Data'!AX$7:AX$20,'ACS Data'!$AO$7:$AO$20)</f>
        <v>40466.70229952084</v>
      </c>
      <c r="F39" t="s">
        <v>429</v>
      </c>
    </row>
    <row r="40">
      <c r="B40" t="s">
        <v>369</v>
      </c>
      <c r="C40" s="13">
        <f>SUMPRODUCT('ACS Data'!AV$7:AV$20,'ACS Data'!$AN$7:$AN$20,'ACS Data'!$AL$7:$AL$20)/SUMPRODUCT('ACS Data'!AV$7:AV$20,'ACS Data'!$AN$7:$AN$20,--('ACS Data'!$AL$7:$AL$20&gt;0))</f>
        <v>339056.4619207361</v>
      </c>
      <c r="D40" s="13">
        <f>SUMPRODUCT('ACS Data'!AW$7:AW$20,'ACS Data'!$AN$7:$AN$20,'ACS Data'!$AL$7:$AL$20)/SUMPRODUCT('ACS Data'!AW$7:AW$20,'ACS Data'!$AN$7:$AN$20,--('ACS Data'!$AL$7:$AL$20&gt;0))</f>
        <v>406892.69018223183</v>
      </c>
      <c r="E40" s="13">
        <f>SUMPRODUCT('ACS Data'!AX$7:AX$20,'ACS Data'!$AN$7:$AN$20,'ACS Data'!$AL$7:$AL$20)/SUMPRODUCT('ACS Data'!AX$7:AX$20,'ACS Data'!$AN$7:$AN$20,--('ACS Data'!$AL$7:$AL$20&gt;0))</f>
        <v>444844.0479702532</v>
      </c>
      <c r="F40" t="s">
        <v>430</v>
      </c>
    </row>
    <row r="41">
      <c r="B41" t="s">
        <v>410</v>
      </c>
      <c r="C41" s="13">
        <f>SUMPRODUCT('ACS Data'!AV$7:AV$20,'ACS Data'!$AO$7:$AO$20,'ACS Data'!$AM$7:$AM$20)/SUMPRODUCT('ACS Data'!AV$7:AV$20,'ACS Data'!$AO$7:$AO$20,--('ACS Data'!$AM$7:$AM$20&gt;0))</f>
        <v>1581.7815193731967</v>
      </c>
      <c r="D41" s="13">
        <f>SUMPRODUCT('ACS Data'!AW$7:AW$20,'ACS Data'!$AO$7:$AO$20,'ACS Data'!$AM$7:$AM$20)/SUMPRODUCT('ACS Data'!AW$7:AW$20,'ACS Data'!$AO$7:$AO$20,--('ACS Data'!$AM$7:$AM$20&gt;0))</f>
        <v>1669.7156741381623</v>
      </c>
      <c r="E41" s="13">
        <f>SUMPRODUCT('ACS Data'!AX$7:AX$20,'ACS Data'!$AO$7:$AO$20,'ACS Data'!$AM$7:$AM$20)/SUMPRODUCT('ACS Data'!AX$7:AX$20,'ACS Data'!$AO$7:$AO$20,--('ACS Data'!$AM$7:$AM$20&gt;0))</f>
        <v>1748.8194926297224</v>
      </c>
      <c r="F41" t="s">
        <v>431</v>
      </c>
    </row>
    <row r="42">
      <c r="B42" t="s" s="10">
        <v>411</v>
      </c>
      <c r="C42" s="10"/>
      <c r="D42" s="10"/>
      <c r="E42" s="10"/>
      <c r="F42" s="10"/>
    </row>
    <row r="43">
      <c r="B43" t="s">
        <v>412</v>
      </c>
      <c r="C43" s="17">
        <f>COUNTIF('BG Data'!N$6:N$161,"&gt;0")</f>
        <v>23</v>
      </c>
      <c r="D43" s="17">
        <f>COUNTIF('BG Data'!O$6:O$161,"&gt;0")</f>
        <v>71</v>
      </c>
      <c r="E43" s="17">
        <f>COUNTIF('BG Data'!P$6:P$161,"&gt;0")</f>
        <v>155</v>
      </c>
      <c r="F43" t="s">
        <v>420</v>
      </c>
    </row>
    <row r="44">
      <c r="B44" t="s">
        <v>413</v>
      </c>
      <c r="C44" s="11">
        <f>SUMPRODUCT('BG Data'!Q$6:Q$161,'BG Data'!$T$6:$T$161)</f>
        <v>16380</v>
      </c>
      <c r="D44" s="11">
        <f>SUMPRODUCT('BG Data'!R$6:R$161,'BG Data'!$T$6:$T$161)</f>
        <v>97112</v>
      </c>
      <c r="E44" s="11">
        <f>SUMPRODUCT('BG Data'!S$6:S$161,'BG Data'!$T$6:$T$161)</f>
        <v>230854</v>
      </c>
      <c r="F44" t="s">
        <v>432</v>
      </c>
    </row>
    <row r="45">
      <c r="B45" t="s">
        <v>414</v>
      </c>
      <c r="C45" s="18">
        <f>C8-C44</f>
        <v>2281.9074209985083</v>
      </c>
      <c r="D45" s="18">
        <f>D8-D44</f>
        <v>-390.2273176540475</v>
      </c>
      <c r="E45" s="18">
        <f>E8-E44</f>
        <v>131.8336846063903</v>
      </c>
      <c r="F45" t="s">
        <v>420</v>
      </c>
    </row>
    <row r="46">
      <c r="B46" t="s">
        <v>433</v>
      </c>
      <c r="C46" s="11">
        <f>SUMPRODUCT('ACS Data'!AV$7:AV$20,'ACS Data'!$D$7:$D$20)</f>
        <v>18661.90742099851</v>
      </c>
      <c r="D46" s="11">
        <f>SUMPRODUCT('ACS Data'!AW$7:AW$20,'ACS Data'!$D$7:$D$20)</f>
        <v>96721.77268234594</v>
      </c>
      <c r="E46" s="11">
        <f>SUMPRODUCT('ACS Data'!AX$7:AX$20,'ACS Data'!$D$7:$D$20)</f>
        <v>229623.83368460633</v>
      </c>
      <c r="F46" t="s">
        <v>420</v>
      </c>
    </row>
    <row r="47">
      <c r="B47" t="s">
        <v>416</v>
      </c>
      <c r="C47" s="18">
        <f>C46-C8</f>
        <v>0</v>
      </c>
      <c r="D47" s="18">
        <f>D46-D8</f>
        <v>0</v>
      </c>
      <c r="E47" s="18">
        <f>E46-E8</f>
        <v>-1362.0000000000582</v>
      </c>
      <c r="F47" t="s">
        <v>420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H14"/>
  <sheetViews>
    <sheetView showGridLines="0" workbookViewId="0">
      <selection activeCell="A1" sqref="A1"/>
    </sheetView>
  </sheetViews>
  <cols>
    <col min="1" max="1" width="2.21875" customWidth="1"/>
    <col min="2" max="2" width="36.07421875" customWidth="1"/>
    <col min="3" max="7" width="17.07421875" customWidth="1"/>
    <col min="8" max="8" width="106.64453125" customWidth="1"/>
  </cols>
  <sheetData>
    <row r="2">
      <c r="B2" t="s" s="4">
        <v>434</v>
      </c>
    </row>
    <row r="3">
      <c r="B3" t="s" s="6">
        <v>435</v>
      </c>
    </row>
    <row r="4">
      <c r="B4" s="6"/>
    </row>
    <row r="5">
      <c r="B5" t="s" s="7">
        <v>389</v>
      </c>
      <c r="C5" t="s" s="7">
        <v>436</v>
      </c>
      <c r="D5" t="s" s="7">
        <v>444</v>
      </c>
      <c r="E5" t="s" s="7">
        <v>438</v>
      </c>
      <c r="F5" t="s" s="7">
        <v>416</v>
      </c>
      <c r="G5" t="s" s="7">
        <v>439</v>
      </c>
      <c r="H5" t="s" s="7">
        <v>440</v>
      </c>
    </row>
    <row r="6">
      <c r="B6" t="s">
        <v>300</v>
      </c>
      <c r="C6" s="21">
        <v>1</v>
      </c>
      <c r="D6" s="22">
        <v>12980</v>
      </c>
      <c r="E6" s="23">
        <f>'1 Rings'!C8</f>
        <v>18661.90742099851</v>
      </c>
      <c r="F6" s="18">
        <f>E6-D6</f>
        <v>5681.907420998508</v>
      </c>
      <c r="G6" s="27">
        <f>F6/D6</f>
        <v>0.4377432527733828</v>
      </c>
      <c r="H6" t="s">
        <v>445</v>
      </c>
    </row>
    <row r="7">
      <c r="C7" s="21">
        <v>3</v>
      </c>
      <c r="D7" s="22">
        <v>93900</v>
      </c>
      <c r="E7" s="23">
        <f>'1 Rings'!D8</f>
        <v>96721.77268234595</v>
      </c>
      <c r="F7" s="18">
        <f>E7-D7</f>
        <v>2821.7726823459525</v>
      </c>
      <c r="G7" s="27">
        <f>F7/D7</f>
        <v>0.030050827288029314</v>
      </c>
    </row>
    <row r="8">
      <c r="B8" s="28"/>
      <c r="C8" s="29">
        <v>5</v>
      </c>
      <c r="D8" s="30">
        <v>230350</v>
      </c>
      <c r="E8" s="31">
        <f>'1 Rings'!E8</f>
        <v>230985.8336846064</v>
      </c>
      <c r="F8" s="32">
        <f>E8-D8</f>
        <v>635.8336846063903</v>
      </c>
      <c r="G8" s="33">
        <f>F8/D8</f>
        <v>0.00276029383375902</v>
      </c>
      <c r="H8" s="28"/>
    </row>
    <row r="9">
      <c r="B9" t="s">
        <v>302</v>
      </c>
      <c r="C9" s="21">
        <v>1</v>
      </c>
      <c r="D9" s="22">
        <v>5320</v>
      </c>
      <c r="E9" s="23">
        <f>'1 Rings'!C9</f>
        <v>8971.370407698885</v>
      </c>
      <c r="F9" s="18">
        <f>E9-D9</f>
        <v>3651.370407698885</v>
      </c>
      <c r="G9" s="27">
        <f>F9/D9</f>
        <v>0.6863478209960311</v>
      </c>
      <c r="H9" t="s">
        <v>442</v>
      </c>
    </row>
    <row r="10">
      <c r="C10" s="21">
        <v>3</v>
      </c>
      <c r="D10" s="22">
        <v>37700</v>
      </c>
      <c r="E10" s="23">
        <f>'1 Rings'!D9</f>
        <v>38545.66080183949</v>
      </c>
      <c r="F10" s="18">
        <f>E10-D10</f>
        <v>845.6608018394909</v>
      </c>
      <c r="G10" s="27">
        <f>F10/D10</f>
        <v>0.022431321003700024</v>
      </c>
    </row>
    <row r="11">
      <c r="B11" s="28"/>
      <c r="C11" s="29">
        <v>5</v>
      </c>
      <c r="D11" s="30">
        <v>90320</v>
      </c>
      <c r="E11" s="31">
        <f>'1 Rings'!E9</f>
        <v>91138.38953247525</v>
      </c>
      <c r="F11" s="32">
        <f>E11-D11</f>
        <v>818.389532475252</v>
      </c>
      <c r="G11" s="33">
        <f>F11/D11</f>
        <v>0.009061000138122808</v>
      </c>
      <c r="H11" s="28"/>
    </row>
    <row r="12">
      <c r="B12" t="s">
        <v>304</v>
      </c>
      <c r="C12" s="21">
        <v>1</v>
      </c>
      <c r="D12" s="24">
        <v>78550</v>
      </c>
      <c r="E12" s="25">
        <f>'1 Rings'!C12</f>
        <v>69462.3406503402</v>
      </c>
      <c r="F12" s="26">
        <f>E12-D12</f>
        <v>-9087.659349659807</v>
      </c>
      <c r="G12" s="27">
        <f>F12/D12</f>
        <v>-0.11569267154245458</v>
      </c>
      <c r="H12" t="s">
        <v>443</v>
      </c>
    </row>
    <row r="13">
      <c r="C13" s="21">
        <v>3</v>
      </c>
      <c r="D13" s="24">
        <v>91240</v>
      </c>
      <c r="E13" s="25">
        <f>'1 Rings'!D12</f>
        <v>101091.23487507801</v>
      </c>
      <c r="F13" s="26">
        <f>E13-D13</f>
        <v>9851.234875078007</v>
      </c>
      <c r="G13" s="27">
        <f>F13/D13</f>
        <v>0.10797057074833415</v>
      </c>
    </row>
    <row r="14">
      <c r="C14" s="21">
        <v>5</v>
      </c>
      <c r="D14" s="24">
        <v>104070</v>
      </c>
      <c r="E14" s="25">
        <f>'1 Rings'!E12</f>
        <v>113598.64428075253</v>
      </c>
      <c r="F14" s="26">
        <f>E14-D14</f>
        <v>9528.64428075253</v>
      </c>
      <c r="G14" s="27">
        <f>F14/D14</f>
        <v>0.091559952731359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I25"/>
  <sheetViews>
    <sheetView showGridLines="0" workbookViewId="0">
      <selection activeCell="A1" sqref="A1"/>
    </sheetView>
  </sheetViews>
  <cols>
    <col min="1" max="1" width="2.21875" customWidth="1"/>
    <col min="2" max="2" width="47.50390625" customWidth="1"/>
    <col min="3" max="9" width="18.07421875" customWidth="1"/>
  </cols>
  <sheetData>
    <row r="2">
      <c r="B2" t="s" s="4">
        <v>446</v>
      </c>
    </row>
    <row r="3">
      <c r="B3" t="s" s="6">
        <v>447</v>
      </c>
    </row>
    <row r="4">
      <c r="B4" s="6"/>
    </row>
    <row r="5">
      <c r="B5" t="s" s="7">
        <v>389</v>
      </c>
      <c r="C5" t="s" s="7">
        <v>454</v>
      </c>
      <c r="D5" t="s" s="7">
        <v>455</v>
      </c>
      <c r="E5" t="s" s="7">
        <v>456</v>
      </c>
      <c r="F5" t="s" s="7">
        <v>457</v>
      </c>
      <c r="G5" t="s" s="7">
        <v>292</v>
      </c>
      <c r="H5" t="s" s="7">
        <v>293</v>
      </c>
      <c r="I5" t="s" s="7">
        <v>458</v>
      </c>
    </row>
    <row r="6">
      <c r="B6" t="s">
        <v>300</v>
      </c>
      <c r="C6" s="37">
        <f>'1 Rings'!D8</f>
        <v>96721.77268234595</v>
      </c>
      <c r="D6" s="11">
        <f>'ACS Data'!$D$23</f>
        <v>131080</v>
      </c>
      <c r="E6" s="11">
        <f>'ACS Data'!$D$24</f>
        <v>979561</v>
      </c>
      <c r="F6" s="11">
        <f>'ACS Data'!$D$25</f>
        <v>7985590</v>
      </c>
      <c r="G6" s="11">
        <f>'ACS Data'!$D$26</f>
        <v>30188424</v>
      </c>
      <c r="H6" s="11">
        <f>'ACS Data'!$D$27</f>
        <v>334922499</v>
      </c>
    </row>
    <row r="7">
      <c r="B7" t="s">
        <v>302</v>
      </c>
      <c r="C7" s="37">
        <f>'1 Rings'!D9</f>
        <v>38545.66080183949</v>
      </c>
      <c r="D7" s="11">
        <f>'ACS Data'!$E$23</f>
        <v>51915</v>
      </c>
      <c r="E7" s="11">
        <f>'ACS Data'!$E$24</f>
        <v>360392</v>
      </c>
      <c r="F7" s="11">
        <f>'ACS Data'!$E$25</f>
        <v>2891725</v>
      </c>
      <c r="G7" s="11">
        <f>'ACS Data'!$E$26</f>
        <v>10992816</v>
      </c>
      <c r="H7" s="11">
        <f>'ACS Data'!$E$27</f>
        <v>129227496</v>
      </c>
    </row>
    <row r="8">
      <c r="B8" t="s">
        <v>391</v>
      </c>
      <c r="C8" s="38">
        <f>'1 Rings'!D10</f>
        <v>2.5092778452958875</v>
      </c>
      <c r="D8" s="34">
        <f>'ACS Data'!$D$23/'ACS Data'!$E$23</f>
        <v>2.5248964653760955</v>
      </c>
      <c r="E8" s="34">
        <f>'ACS Data'!$D$24/'ACS Data'!$E$24</f>
        <v>2.7180431308131148</v>
      </c>
      <c r="F8" s="34">
        <f>'ACS Data'!$D$25/'ACS Data'!$E$25</f>
        <v>2.7615316117542297</v>
      </c>
      <c r="G8" s="34">
        <f>'ACS Data'!$D$26/'ACS Data'!$E$26</f>
        <v>2.7461956972626487</v>
      </c>
      <c r="H8" s="34">
        <f>'ACS Data'!$D$27/'ACS Data'!$E$27</f>
        <v>2.591727839406561</v>
      </c>
      <c r="I8" s="35">
        <f>C8-F8</f>
        <v>-0.2522537664583422</v>
      </c>
    </row>
    <row r="9">
      <c r="B9" t="s">
        <v>304</v>
      </c>
      <c r="C9" s="39">
        <f>'1 Rings'!D12</f>
        <v>101091.23487507801</v>
      </c>
      <c r="D9" s="13">
        <f>'ACS Data'!$F$23</f>
        <v>89233</v>
      </c>
      <c r="E9" s="13">
        <f>'ACS Data'!$F$24</f>
        <v>111498</v>
      </c>
      <c r="F9" s="13">
        <f>'ACS Data'!$F$25</f>
        <v>90275</v>
      </c>
      <c r="G9" s="13">
        <f>'ACS Data'!$F$26</f>
        <v>78476</v>
      </c>
      <c r="H9" s="13">
        <f>'ACS Data'!$F$27</f>
        <v>80734</v>
      </c>
      <c r="I9" s="27">
        <f>C9/F9-1</f>
        <v>0.11981428828665752</v>
      </c>
    </row>
    <row r="10">
      <c r="B10" t="s">
        <v>393</v>
      </c>
      <c r="C10" s="39">
        <f>'1 Rings'!D13</f>
        <v>123027.9167146342</v>
      </c>
      <c r="D10" s="13">
        <f>'ACS Data'!$G$23/'ACS Data'!$E$23</f>
        <v>114749.66772609073</v>
      </c>
      <c r="E10" s="13">
        <f>'ACS Data'!$G$24/'ACS Data'!$E$24</f>
        <v>145846.520455504</v>
      </c>
      <c r="F10" s="13">
        <f>'ACS Data'!$G$25/'ACS Data'!$E$25</f>
        <v>124387.02179494938</v>
      </c>
      <c r="G10" s="13">
        <f>'ACS Data'!$G$26/'ACS Data'!$E$26</f>
        <v>109932.6505146634</v>
      </c>
      <c r="H10" s="13">
        <f>'ACS Data'!$G$27/'ACS Data'!$E$27</f>
        <v>113530.01594180854</v>
      </c>
      <c r="I10" s="27">
        <f>C10/F10-1</f>
        <v>-0.010926421910443795</v>
      </c>
    </row>
    <row r="11">
      <c r="B11" t="s">
        <v>308</v>
      </c>
      <c r="C11" s="37">
        <f>'1 Rings'!D15</f>
        <v>59117.34634960922</v>
      </c>
      <c r="D11" s="11">
        <f>'ACS Data'!$H$23</f>
        <v>79227</v>
      </c>
      <c r="E11" s="11">
        <f>'ACS Data'!$H$24</f>
        <v>558826</v>
      </c>
      <c r="F11" s="11">
        <f>'ACS Data'!$H$25</f>
        <v>4296289</v>
      </c>
      <c r="G11" s="11">
        <f>'ACS Data'!$H$26</f>
        <v>15233563</v>
      </c>
      <c r="H11" s="11">
        <f>'ACS Data'!$H$27</f>
        <v>170199520</v>
      </c>
    </row>
    <row r="12">
      <c r="B12" t="s">
        <v>395</v>
      </c>
      <c r="C12" s="40">
        <f>'1 Rings'!D17</f>
        <v>0.04113253523175374</v>
      </c>
      <c r="D12" s="15">
        <f>'ACS Data'!$I$23/'ACS Data'!$H$23</f>
        <v>0.04324283388238858</v>
      </c>
      <c r="E12" s="15">
        <f>'ACS Data'!$I$24/'ACS Data'!$H$24</f>
        <v>0.04016276980670191</v>
      </c>
      <c r="F12" s="15">
        <f>'ACS Data'!$I$25/'ACS Data'!$H$25</f>
        <v>0.04610513864407166</v>
      </c>
      <c r="G12" s="15">
        <f>'ACS Data'!$I$26/'ACS Data'!$H$26</f>
        <v>0.052675660973076355</v>
      </c>
      <c r="H12" s="15">
        <f>'ACS Data'!$I$27/'ACS Data'!$H$27</f>
        <v>0.05230546478626967</v>
      </c>
      <c r="I12" s="27">
        <f>C12-F12</f>
        <v>-0.004972603412317922</v>
      </c>
    </row>
    <row r="13">
      <c r="B13" t="s">
        <v>448</v>
      </c>
      <c r="C13" s="40">
        <f>'1 Rings'!D20</f>
        <v>0.9012646846034076</v>
      </c>
      <c r="D13" s="15">
        <f>'ACS Data'!$AP$23/'ACS Data'!$J$23</f>
        <v>0.9042916062869245</v>
      </c>
      <c r="E13" s="15">
        <f>'ACS Data'!$AP$24/'ACS Data'!$J$24</f>
        <v>0.9355465892379049</v>
      </c>
      <c r="F13" s="15">
        <f>'ACS Data'!$AP$25/'ACS Data'!$J$25</f>
        <v>0.8760932397647008</v>
      </c>
      <c r="G13" s="15">
        <f>'ACS Data'!$AP$26/'ACS Data'!$J$26</f>
        <v>0.8597083480368732</v>
      </c>
      <c r="H13" s="15">
        <f>'ACS Data'!$AP$27/'ACS Data'!$J$27</f>
        <v>0.8960500396298119</v>
      </c>
      <c r="I13" s="27">
        <f>C13-F13</f>
        <v>0.025171444838706813</v>
      </c>
    </row>
    <row r="14">
      <c r="B14" t="s">
        <v>449</v>
      </c>
      <c r="C14" s="40">
        <f>'1 Rings'!D21</f>
        <v>0.43015279363679715</v>
      </c>
      <c r="D14" s="15">
        <f>'ACS Data'!$AQ$23/'ACS Data'!$J$23</f>
        <v>0.4069780403522461</v>
      </c>
      <c r="E14" s="15">
        <f>'ACS Data'!$AQ$24/'ACS Data'!$J$24</f>
        <v>0.49443493344394585</v>
      </c>
      <c r="F14" s="15">
        <f>'ACS Data'!$AQ$25/'ACS Data'!$J$25</f>
        <v>0.3938697245032936</v>
      </c>
      <c r="G14" s="15">
        <f>'ACS Data'!$AQ$26/'ACS Data'!$J$26</f>
        <v>0.3382333355682376</v>
      </c>
      <c r="H14" s="15">
        <f>'ACS Data'!$AQ$27/'ACS Data'!$J$27</f>
        <v>0.3568483966038111</v>
      </c>
      <c r="I14" s="27">
        <f>C14-F14</f>
        <v>0.03628306913350354</v>
      </c>
    </row>
    <row r="15">
      <c r="B15" t="s">
        <v>334</v>
      </c>
      <c r="C15" s="40">
        <f>'1 Rings'!D24</f>
        <v>0.6799224278963507</v>
      </c>
      <c r="D15" s="15">
        <f>'ACS Data'!$U$23/'ACS Data'!$T$23</f>
        <v>0.6952838333693071</v>
      </c>
      <c r="E15" s="15">
        <f>'ACS Data'!$U$24/'ACS Data'!$T$24</f>
        <v>0.6551596012906112</v>
      </c>
      <c r="F15" s="15">
        <f>'ACS Data'!$U$25/'ACS Data'!$T$25</f>
        <v>0.6916345030639661</v>
      </c>
      <c r="G15" s="15">
        <f>'ACS Data'!$U$26/'ACS Data'!$T$26</f>
        <v>0.7142983185430543</v>
      </c>
      <c r="H15" s="15">
        <f>'ACS Data'!$U$27/'ACS Data'!$T$27</f>
        <v>0.687856966335113</v>
      </c>
      <c r="I15" s="27">
        <f>C15-F15</f>
        <v>-0.01171207516761541</v>
      </c>
    </row>
    <row r="16">
      <c r="B16" t="s">
        <v>336</v>
      </c>
      <c r="C16" s="40">
        <f>'1 Rings'!D25</f>
        <v>0.0808307853396282</v>
      </c>
      <c r="D16" s="15">
        <f>'ACS Data'!$V$23/'ACS Data'!$T$23</f>
        <v>0.08191236779624433</v>
      </c>
      <c r="E16" s="15">
        <f>'ACS Data'!$V$24/'ACS Data'!$T$24</f>
        <v>0.0778196101626155</v>
      </c>
      <c r="F16" s="15">
        <f>'ACS Data'!$V$25/'ACS Data'!$T$25</f>
        <v>0.0954432325952511</v>
      </c>
      <c r="G16" s="15">
        <f>'ACS Data'!$V$26/'ACS Data'!$T$26</f>
        <v>0.100175346226695</v>
      </c>
      <c r="H16" s="15">
        <f>'ACS Data'!$V$27/'ACS Data'!$T$27</f>
        <v>0.0852822880668258</v>
      </c>
      <c r="I16" s="27">
        <f>C16-F16</f>
        <v>-0.014612447255622898</v>
      </c>
    </row>
    <row r="17">
      <c r="B17" t="s">
        <v>338</v>
      </c>
      <c r="C17" s="40">
        <f>'1 Rings'!D26</f>
        <v>0.002478167855264564</v>
      </c>
      <c r="D17" s="15">
        <f>'ACS Data'!$W$23/'ACS Data'!$T$23</f>
        <v>0.0034804662205914095</v>
      </c>
      <c r="E17" s="15">
        <f>'ACS Data'!$W$24/'ACS Data'!$T$24</f>
        <v>0.0030521211293985614</v>
      </c>
      <c r="F17" s="15">
        <f>'ACS Data'!$W$25/'ACS Data'!$T$25</f>
        <v>0.006676650427551211</v>
      </c>
      <c r="G17" s="15">
        <f>'ACS Data'!$W$26/'ACS Data'!$T$26</f>
        <v>0.008811776353698989</v>
      </c>
      <c r="H17" s="15">
        <f>'ACS Data'!$W$27/'ACS Data'!$T$27</f>
        <v>0.032413225443121335</v>
      </c>
      <c r="I17" s="27">
        <f>C17-F17</f>
        <v>-0.004198482572286647</v>
      </c>
    </row>
    <row r="18">
      <c r="B18" t="s">
        <v>340</v>
      </c>
      <c r="C18" s="40">
        <f>'1 Rings'!D27</f>
        <v>0.2054813319065293</v>
      </c>
      <c r="D18" s="15">
        <f>'ACS Data'!$X$23/'ACS Data'!$T$23</f>
        <v>0.19295003237642996</v>
      </c>
      <c r="E18" s="15">
        <f>'ACS Data'!$X$24/'ACS Data'!$T$24</f>
        <v>0.23452802074684076</v>
      </c>
      <c r="F18" s="15">
        <f>'ACS Data'!$X$25/'ACS Data'!$T$25</f>
        <v>0.17794817589643613</v>
      </c>
      <c r="G18" s="15">
        <f>'ACS Data'!$X$26/'ACS Data'!$T$26</f>
        <v>0.14363601593710307</v>
      </c>
      <c r="H18" s="15">
        <f>'ACS Data'!$X$27/'ACS Data'!$T$27</f>
        <v>0.1511021958871852</v>
      </c>
      <c r="I18" s="27">
        <f>C18-F18</f>
        <v>0.02753315601009318</v>
      </c>
    </row>
    <row r="19">
      <c r="B19" t="s">
        <v>450</v>
      </c>
      <c r="C19" s="40">
        <f>'1 Rings'!D33</f>
        <v>0.24742910181970013</v>
      </c>
      <c r="D19" s="15">
        <f>('ACS Data'!$AF$23+'ACS Data'!$AG$23+'ACS Data'!$AH$23)/'ACS Data'!$Y$23</f>
        <v>0.2535562055996657</v>
      </c>
      <c r="E19" s="15">
        <f>('ACS Data'!$AF$24+'ACS Data'!$AG$24+'ACS Data'!$AH$24)/'ACS Data'!$Y$24</f>
        <v>0.25523294402012936</v>
      </c>
      <c r="F19" s="15">
        <f>('ACS Data'!$AF$25+'ACS Data'!$AG$25+'ACS Data'!$AH$25)/'ACS Data'!$Y$25</f>
        <v>0.2548229167986877</v>
      </c>
      <c r="G19" s="15">
        <f>('ACS Data'!$AF$26+'ACS Data'!$AG$26+'ACS Data'!$AH$26)/'ACS Data'!$Y$26</f>
        <v>0.22258449329534585</v>
      </c>
      <c r="H19" s="15">
        <f>('ACS Data'!$AF$27+'ACS Data'!$AG$27+'ACS Data'!$AH$27)/'ACS Data'!$Y$27</f>
        <v>0.20824347944928914</v>
      </c>
      <c r="I19" s="27">
        <f>C19-F19</f>
        <v>-0.007393814978987556</v>
      </c>
    </row>
    <row r="20">
      <c r="B20" t="s">
        <v>451</v>
      </c>
      <c r="C20" s="40">
        <f>'1 Rings'!D35</f>
        <v>0.04097075001277594</v>
      </c>
      <c r="D20" s="15">
        <f>('ACS Data'!$AJ$23+'ACS Data'!$AK$23)/'ACS Data'!$Y$23</f>
        <v>0.04909318846636022</v>
      </c>
      <c r="E20" s="15">
        <f>('ACS Data'!$AJ$24+'ACS Data'!$AK$24)/'ACS Data'!$Y$24</f>
        <v>0.0762528851773703</v>
      </c>
      <c r="F20" s="15">
        <f>('ACS Data'!$AJ$25+'ACS Data'!$AK$25)/'ACS Data'!$Y$25</f>
        <v>0.08337995561679319</v>
      </c>
      <c r="G20" s="15">
        <f>('ACS Data'!$AJ$26+'ACS Data'!$AK$26)/'ACS Data'!$Y$26</f>
        <v>0.08213079715599128</v>
      </c>
      <c r="H20" s="15">
        <f>('ACS Data'!$AJ$27+'ACS Data'!$AK$27)/'ACS Data'!$Y$27</f>
        <v>0.08570299434881225</v>
      </c>
      <c r="I20" s="27">
        <f>C20-F20</f>
        <v>-0.04240920560401725</v>
      </c>
    </row>
    <row r="21">
      <c r="B21" t="s">
        <v>452</v>
      </c>
      <c r="C21" s="41">
        <f>'1 Rings'!D36</f>
        <v>25.696652914283394</v>
      </c>
      <c r="D21" s="16">
        <f>'ACS Data'!$AR$23/'ACS Data'!$Y$23</f>
        <v>26.514834935227746</v>
      </c>
      <c r="E21" s="16">
        <f>'ACS Data'!$AR$24/'ACS Data'!$Y$24</f>
        <v>30.337186840619335</v>
      </c>
      <c r="F21" s="16">
        <f>'ACS Data'!$AR$25/'ACS Data'!$Y$25</f>
        <v>30.304629547483213</v>
      </c>
      <c r="G21" s="16">
        <f>'ACS Data'!$AR$26/'ACS Data'!$Y$26</f>
        <v>28.804516429307522</v>
      </c>
      <c r="H21" s="16">
        <f>'ACS Data'!$AR$27/'ACS Data'!$Y$27</f>
        <v>28.55737506413728</v>
      </c>
      <c r="I21" s="36">
        <f>C21-F21</f>
        <v>-4.607976633199819</v>
      </c>
    </row>
    <row r="22">
      <c r="B22" t="s">
        <v>369</v>
      </c>
      <c r="C22" s="39">
        <f>'1 Rings'!D40</f>
        <v>406892.69018223183</v>
      </c>
      <c r="D22" s="13">
        <f>'ACS Data'!$AL$23</f>
        <v>378500</v>
      </c>
      <c r="E22" s="13">
        <f>'ACS Data'!$AL$24</f>
        <v>437200</v>
      </c>
      <c r="F22" s="13">
        <f>'ACS Data'!$AL$25</f>
        <v>359500</v>
      </c>
      <c r="G22" s="13">
        <f>'ACS Data'!$AL$26</f>
        <v>283800</v>
      </c>
      <c r="H22" s="13">
        <f>'ACS Data'!$AL$27</f>
        <v>332700</v>
      </c>
      <c r="I22" s="27">
        <f>C22/F22-1</f>
        <v>0.13182945808687574</v>
      </c>
    </row>
    <row r="23">
      <c r="B23" t="s">
        <v>410</v>
      </c>
      <c r="C23" s="39">
        <f>'1 Rings'!D41</f>
        <v>1669.7156741381623</v>
      </c>
      <c r="D23" s="13">
        <f>'ACS Data'!$AM$23</f>
        <v>1670</v>
      </c>
      <c r="E23" s="13">
        <f>'ACS Data'!$AM$24</f>
        <v>1728</v>
      </c>
      <c r="F23" s="13">
        <f>'ACS Data'!$AM$25</f>
        <v>1614</v>
      </c>
      <c r="G23" s="13">
        <f>'ACS Data'!$AM$26</f>
        <v>1403</v>
      </c>
      <c r="H23" s="13">
        <f>'ACS Data'!$AM$27</f>
        <v>1413</v>
      </c>
      <c r="I23" s="27">
        <f>C23/F23-1</f>
        <v>0.034520244199604866</v>
      </c>
    </row>
    <row r="25">
      <c r="B25" t="s">
        <v>453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J49"/>
  <sheetViews>
    <sheetView showGridLines="0" workbookViewId="0">
      <selection activeCell="A1" sqref="A1"/>
    </sheetView>
  </sheetViews>
  <cols>
    <col min="1" max="1" width="2.21875" customWidth="1"/>
    <col min="2" max="2" width="32.359375" customWidth="1"/>
    <col min="3" max="10" width="18.07421875" customWidth="1"/>
  </cols>
  <sheetData>
    <row r="2">
      <c r="B2" t="s" s="4">
        <v>459</v>
      </c>
    </row>
    <row r="3">
      <c r="B3" t="s" s="6">
        <v>460</v>
      </c>
    </row>
    <row r="4">
      <c r="B4" s="6"/>
    </row>
    <row r="5">
      <c r="B5" t="s" s="79">
        <v>461</v>
      </c>
      <c r="C5" s="7"/>
      <c r="D5" s="7"/>
      <c r="E5" s="7"/>
      <c r="F5" s="7"/>
      <c r="G5" s="7"/>
      <c r="H5" s="7"/>
    </row>
    <row r="6" ht="30" customHeight="1">
      <c r="B6" t="s" s="42">
        <v>462</v>
      </c>
      <c r="C6" t="s" s="42">
        <v>456</v>
      </c>
      <c r="D6" t="s" s="42">
        <v>457</v>
      </c>
      <c r="E6" t="s" s="42">
        <v>293</v>
      </c>
      <c r="F6" t="s" s="42">
        <v>473</v>
      </c>
      <c r="G6" t="s" s="42">
        <v>475</v>
      </c>
      <c r="H6" t="s" s="42">
        <v>477</v>
      </c>
    </row>
    <row r="7">
      <c r="B7" s="2">
        <v>44013</v>
      </c>
      <c r="C7" s="43">
        <v>914517</v>
      </c>
      <c r="D7" s="43">
        <v>7667416</v>
      </c>
      <c r="E7" s="43">
        <v>331578104</v>
      </c>
    </row>
    <row r="8">
      <c r="B8" s="2">
        <v>44378</v>
      </c>
      <c r="C8" s="43">
        <v>944283</v>
      </c>
      <c r="D8" s="43">
        <v>7777844</v>
      </c>
      <c r="E8" s="43">
        <v>332100166</v>
      </c>
      <c r="F8" s="27">
        <f>C8/C7-1</f>
        <v>0.03254832878995151</v>
      </c>
      <c r="G8" s="27">
        <f>D8/D7-1</f>
        <v>0.014402244511058315</v>
      </c>
      <c r="H8" s="27">
        <f>E8/E7-1</f>
        <v>0.0015744767030816398</v>
      </c>
    </row>
    <row r="9">
      <c r="B9" s="2">
        <v>44743</v>
      </c>
      <c r="C9" s="43">
        <v>980835</v>
      </c>
      <c r="D9" s="43">
        <v>7972652</v>
      </c>
      <c r="E9" s="43">
        <v>333996304</v>
      </c>
      <c r="F9" s="27">
        <f>C9/C8-1</f>
        <v>0.03870873456368473</v>
      </c>
      <c r="G9" s="27">
        <f>D9/D8-1</f>
        <v>0.02504652960383358</v>
      </c>
      <c r="H9" s="27">
        <f>E9/E8-1</f>
        <v>0.005709536441484309</v>
      </c>
    </row>
    <row r="10">
      <c r="B10" s="2">
        <v>45108</v>
      </c>
      <c r="C10" s="43">
        <v>1013965</v>
      </c>
      <c r="D10" s="43">
        <v>8164140</v>
      </c>
      <c r="E10" s="43">
        <v>336755052</v>
      </c>
      <c r="F10" s="27">
        <f>C10/C9-1</f>
        <v>0.033777342774268915</v>
      </c>
      <c r="G10" s="27">
        <f>D10/D9-1</f>
        <v>0.024018105895001973</v>
      </c>
      <c r="H10" s="27">
        <f>E10/E9-1</f>
        <v>0.008259815952933458</v>
      </c>
    </row>
    <row r="11">
      <c r="B11" s="2">
        <v>45474</v>
      </c>
      <c r="C11" s="43">
        <v>1046226</v>
      </c>
      <c r="D11" s="43">
        <v>8353600</v>
      </c>
      <c r="E11" s="43">
        <v>340003797</v>
      </c>
      <c r="F11" s="27">
        <f>C11/C10-1</f>
        <v>0.031816680062921376</v>
      </c>
      <c r="G11" s="27">
        <f>D11/D10-1</f>
        <v>0.02320636343815763</v>
      </c>
      <c r="H11" s="27">
        <f>E11/E10-1</f>
        <v>0.009647204936364284</v>
      </c>
    </row>
    <row r="12">
      <c r="B12" s="2">
        <v>45839</v>
      </c>
      <c r="C12" s="43">
        <v>1069346</v>
      </c>
      <c r="D12" s="43">
        <v>8477157</v>
      </c>
      <c r="E12" s="43">
        <v>341784857</v>
      </c>
      <c r="F12" s="27">
        <f>C12/C11-1</f>
        <v>0.022098475855121258</v>
      </c>
      <c r="G12" s="27">
        <f>D12/D11-1</f>
        <v>0.014790868607546415</v>
      </c>
      <c r="H12" s="27">
        <f>E12/E11-1</f>
        <v>0.005238353264625406</v>
      </c>
    </row>
    <row r="13">
      <c r="B13" t="s" s="46">
        <v>463</v>
      </c>
      <c r="C13" s="47">
        <f>(C12/C7)^(1/(YEAR($B$12)-YEAR($B$7)))-1</f>
        <v>0.03177569509018463</v>
      </c>
      <c r="D13" s="47">
        <f>(D12/D7)^(1/(YEAR($B$12)-YEAR($B$7)))-1</f>
        <v>0.020282035541565158</v>
      </c>
      <c r="E13" s="47">
        <f>(E12/E7)^(1/(YEAR($B$12)-YEAR($B$7)))-1</f>
        <v>0.0060820361878193285</v>
      </c>
      <c r="F13" s="46"/>
      <c r="G13" s="46"/>
      <c r="H13" s="46"/>
      <c r="I13" s="46"/>
      <c r="J13" s="46"/>
    </row>
    <row r="15">
      <c r="B15" t="s" s="79">
        <v>464</v>
      </c>
      <c r="C15" s="7"/>
      <c r="D15" s="7"/>
      <c r="E15" s="7"/>
      <c r="F15" s="7"/>
    </row>
    <row r="16" ht="30" customHeight="1">
      <c r="B16" t="s" s="42">
        <v>462</v>
      </c>
      <c r="C16" t="s" s="42">
        <v>468</v>
      </c>
      <c r="D16" t="s" s="42">
        <v>470</v>
      </c>
      <c r="E16" t="s" s="42">
        <v>472</v>
      </c>
      <c r="F16" t="s" s="42">
        <v>474</v>
      </c>
    </row>
    <row r="17">
      <c r="B17" s="2">
        <v>40179</v>
      </c>
      <c r="C17" s="43">
        <v>665690</v>
      </c>
      <c r="D17" s="44">
        <v>42269</v>
      </c>
    </row>
    <row r="18">
      <c r="B18" s="2">
        <v>40544</v>
      </c>
      <c r="C18" s="43">
        <v>684125</v>
      </c>
      <c r="D18" s="44">
        <v>44638</v>
      </c>
      <c r="E18" s="27">
        <f>C18/C17-1</f>
        <v>0.02769307034806001</v>
      </c>
      <c r="F18" s="27">
        <f>D18/D17-1</f>
        <v>0.05604580188790842</v>
      </c>
    </row>
    <row r="19">
      <c r="B19" s="2">
        <v>40909</v>
      </c>
      <c r="C19" s="43">
        <v>705736</v>
      </c>
      <c r="D19" s="44">
        <v>46476</v>
      </c>
      <c r="E19" s="27">
        <f>C19/C18-1</f>
        <v>0.03158925634935139</v>
      </c>
      <c r="F19" s="27">
        <f>D19/D18-1</f>
        <v>0.04117567991397464</v>
      </c>
    </row>
    <row r="20">
      <c r="B20" s="2">
        <v>41275</v>
      </c>
      <c r="C20" s="43">
        <v>725910</v>
      </c>
      <c r="D20" s="44">
        <v>47894</v>
      </c>
      <c r="E20" s="27">
        <f>C20/C19-1</f>
        <v>0.028585760114263614</v>
      </c>
      <c r="F20" s="27">
        <f>D20/D19-1</f>
        <v>0.030510370944143217</v>
      </c>
    </row>
    <row r="21">
      <c r="B21" s="2">
        <v>41640</v>
      </c>
      <c r="C21" s="43">
        <v>749915</v>
      </c>
      <c r="D21" s="44">
        <v>49983</v>
      </c>
      <c r="E21" s="27">
        <f>C21/C20-1</f>
        <v>0.03306883773470548</v>
      </c>
      <c r="F21" s="27">
        <f>D21/D20-1</f>
        <v>0.043617154549630444</v>
      </c>
    </row>
    <row r="22">
      <c r="B22" s="2">
        <v>42005</v>
      </c>
      <c r="C22" s="43">
        <v>775786</v>
      </c>
      <c r="D22" s="44">
        <v>51948</v>
      </c>
      <c r="E22" s="27">
        <f>C22/C21-1</f>
        <v>0.034498576505337164</v>
      </c>
      <c r="F22" s="27">
        <f>D22/D21-1</f>
        <v>0.03931336654462525</v>
      </c>
    </row>
    <row r="23">
      <c r="B23" s="2">
        <v>42370</v>
      </c>
      <c r="C23" s="43">
        <v>803978</v>
      </c>
      <c r="D23" s="44">
        <v>53352</v>
      </c>
      <c r="E23" s="27">
        <f>C23/C22-1</f>
        <v>0.03633991848267426</v>
      </c>
      <c r="F23" s="27">
        <f>D23/D22-1</f>
        <v>0.027027027027026973</v>
      </c>
    </row>
    <row r="24">
      <c r="B24" s="2">
        <v>42736</v>
      </c>
      <c r="C24" s="43">
        <v>830488</v>
      </c>
      <c r="D24" s="44">
        <v>55147</v>
      </c>
      <c r="E24" s="27">
        <f>C24/C23-1</f>
        <v>0.032973539076939895</v>
      </c>
      <c r="F24" s="27">
        <f>D24/D23-1</f>
        <v>0.033644474433948135</v>
      </c>
    </row>
    <row r="25">
      <c r="B25" s="2">
        <v>43101</v>
      </c>
      <c r="C25" s="43">
        <v>853413</v>
      </c>
      <c r="D25" s="44">
        <v>58681</v>
      </c>
      <c r="E25" s="27">
        <f>C25/C24-1</f>
        <v>0.027604251957884962</v>
      </c>
      <c r="F25" s="27">
        <f>D25/D24-1</f>
        <v>0.06408326835548617</v>
      </c>
    </row>
    <row r="26">
      <c r="B26" s="2">
        <v>43466</v>
      </c>
      <c r="C26" s="43">
        <v>883456</v>
      </c>
      <c r="D26" s="44">
        <v>61847</v>
      </c>
      <c r="E26" s="27">
        <f>C26/C25-1</f>
        <v>0.03520335406186681</v>
      </c>
      <c r="F26" s="27">
        <f>D26/D25-1</f>
        <v>0.05395272745863222</v>
      </c>
    </row>
    <row r="27">
      <c r="B27" s="2">
        <v>43831</v>
      </c>
      <c r="C27" s="43">
        <v>914510</v>
      </c>
      <c r="D27" s="44">
        <v>64211</v>
      </c>
      <c r="E27" s="27">
        <f>C27/C26-1</f>
        <v>0.035150590408577154</v>
      </c>
      <c r="F27" s="27">
        <f>D27/D26-1</f>
        <v>0.03822335764062923</v>
      </c>
    </row>
    <row r="28">
      <c r="B28" s="2">
        <v>44197</v>
      </c>
      <c r="C28" s="43">
        <v>944086</v>
      </c>
      <c r="D28" s="44">
        <v>70807</v>
      </c>
      <c r="E28" s="27">
        <f>C28/C27-1</f>
        <v>0.03234081639347841</v>
      </c>
      <c r="F28" s="27">
        <f>D28/D27-1</f>
        <v>0.10272383236517113</v>
      </c>
    </row>
    <row r="29">
      <c r="B29" s="2">
        <v>44562</v>
      </c>
      <c r="C29" s="43">
        <v>980355</v>
      </c>
      <c r="D29" s="44">
        <v>74224</v>
      </c>
      <c r="E29" s="27">
        <f>C29/C28-1</f>
        <v>0.038417050988998946</v>
      </c>
      <c r="F29" s="27">
        <f>D29/D28-1</f>
        <v>0.048257940599093274</v>
      </c>
    </row>
    <row r="30">
      <c r="B30" s="2">
        <v>44927</v>
      </c>
      <c r="C30" s="43">
        <v>1013736</v>
      </c>
      <c r="D30" s="44">
        <v>77601</v>
      </c>
      <c r="E30" s="27">
        <f>C30/C29-1</f>
        <v>0.03404991049160766</v>
      </c>
      <c r="F30" s="27">
        <f>D30/D29-1</f>
        <v>0.045497413235611184</v>
      </c>
    </row>
    <row r="31">
      <c r="B31" s="2">
        <v>45292</v>
      </c>
      <c r="C31" s="43">
        <v>1045120</v>
      </c>
      <c r="D31" s="44">
        <v>80108</v>
      </c>
      <c r="E31" s="27">
        <f>C31/C30-1</f>
        <v>0.030958750601734586</v>
      </c>
      <c r="F31" s="27">
        <f>D31/D30-1</f>
        <v>0.03230628471282593</v>
      </c>
    </row>
    <row r="32">
      <c r="B32" t="s" s="46">
        <v>465</v>
      </c>
      <c r="C32" s="47">
        <f>(C31/C17)^(1/(YEAR($B$31)-YEAR($B$17)))-1</f>
        <v>0.03274342225203464</v>
      </c>
      <c r="D32" s="47">
        <f>(D31/D17)^(1/(YEAR($B$31)-YEAR($B$17)))-1</f>
        <v>0.04672457957706255</v>
      </c>
      <c r="E32" s="46"/>
      <c r="F32" s="46"/>
      <c r="G32" s="46"/>
      <c r="H32" s="46"/>
      <c r="I32" s="46"/>
      <c r="J32" s="46"/>
    </row>
    <row r="34">
      <c r="B34" t="s" s="79">
        <v>466</v>
      </c>
      <c r="C34" s="7"/>
      <c r="D34" s="7"/>
      <c r="E34" s="7"/>
      <c r="F34" s="7"/>
      <c r="G34" s="7"/>
      <c r="H34" s="7"/>
      <c r="I34" s="7"/>
      <c r="J34" s="7"/>
    </row>
    <row r="35" ht="42" customHeight="1">
      <c r="B35" t="s" s="42">
        <v>462</v>
      </c>
      <c r="C35" t="s" s="42">
        <v>469</v>
      </c>
      <c r="D35" t="s" s="42">
        <v>471</v>
      </c>
      <c r="E35" t="s" s="42">
        <v>473</v>
      </c>
      <c r="F35" t="s" s="42">
        <v>475</v>
      </c>
      <c r="G35" t="s" s="42">
        <v>476</v>
      </c>
      <c r="H35" t="s" s="42">
        <v>478</v>
      </c>
      <c r="I35" t="s" s="42">
        <v>479</v>
      </c>
      <c r="J35" t="s" s="42">
        <v>480</v>
      </c>
    </row>
    <row r="36">
      <c r="B36" s="2">
        <v>41699</v>
      </c>
      <c r="C36" s="43">
        <v>200402</v>
      </c>
      <c r="D36" s="43">
        <v>3109042</v>
      </c>
      <c r="G36" s="44">
        <v>894</v>
      </c>
      <c r="H36" s="44">
        <v>1139</v>
      </c>
    </row>
    <row r="37">
      <c r="B37" s="2">
        <v>42064</v>
      </c>
      <c r="C37" s="43">
        <v>213510</v>
      </c>
      <c r="D37" s="43">
        <v>3213690</v>
      </c>
      <c r="E37" s="27">
        <f>C37/C36-1</f>
        <v>0.06540852885699744</v>
      </c>
      <c r="F37" s="27">
        <f>D37/D36-1</f>
        <v>0.03365924294364642</v>
      </c>
      <c r="G37" s="44">
        <v>902</v>
      </c>
      <c r="H37" s="44">
        <v>1161</v>
      </c>
      <c r="I37" s="27">
        <f>G37/G36-1</f>
        <v>0.008948545861297452</v>
      </c>
      <c r="J37" s="27">
        <f>H37/H36-1</f>
        <v>0.019315188762071944</v>
      </c>
    </row>
    <row r="38">
      <c r="B38" s="2">
        <v>42430</v>
      </c>
      <c r="C38" s="43">
        <v>223386</v>
      </c>
      <c r="D38" s="43">
        <v>3315748</v>
      </c>
      <c r="E38" s="27">
        <f>C38/C37-1</f>
        <v>0.04625544470984955</v>
      </c>
      <c r="F38" s="27">
        <f>D38/D37-1</f>
        <v>0.03175726345727181</v>
      </c>
      <c r="G38" s="44">
        <v>924</v>
      </c>
      <c r="H38" s="44">
        <v>1151</v>
      </c>
      <c r="I38" s="27">
        <f>G38/G37-1</f>
        <v>0.024390243902439046</v>
      </c>
      <c r="J38" s="27">
        <f>H38/H37-1</f>
        <v>-0.008613264427217882</v>
      </c>
    </row>
    <row r="39">
      <c r="B39" s="2">
        <v>42795</v>
      </c>
      <c r="C39" s="43">
        <v>235697</v>
      </c>
      <c r="D39" s="43">
        <v>3413319</v>
      </c>
      <c r="E39" s="27">
        <f>C39/C38-1</f>
        <v>0.05511088429892652</v>
      </c>
      <c r="F39" s="27">
        <f>D39/D38-1</f>
        <v>0.029426542668501865</v>
      </c>
      <c r="G39" s="44">
        <v>987</v>
      </c>
      <c r="H39" s="44">
        <v>1224</v>
      </c>
      <c r="I39" s="27">
        <f>G39/G38-1</f>
        <v>0.06818181818181812</v>
      </c>
      <c r="J39" s="27">
        <f>H39/H38-1</f>
        <v>0.06342311033883585</v>
      </c>
    </row>
    <row r="40">
      <c r="B40" s="2">
        <v>43160</v>
      </c>
      <c r="C40" s="43">
        <v>242536</v>
      </c>
      <c r="D40" s="43">
        <v>3491919</v>
      </c>
      <c r="E40" s="27">
        <f>C40/C39-1</f>
        <v>0.02901606723887018</v>
      </c>
      <c r="F40" s="27">
        <f>D40/D39-1</f>
        <v>0.023027440447259684</v>
      </c>
      <c r="G40" s="44">
        <v>983</v>
      </c>
      <c r="H40" s="44">
        <v>1268</v>
      </c>
      <c r="I40" s="27">
        <f>G40/G39-1</f>
        <v>-0.004052684903748771</v>
      </c>
      <c r="J40" s="27">
        <f>H40/H39-1</f>
        <v>0.03594771241830075</v>
      </c>
    </row>
    <row r="41">
      <c r="B41" s="2">
        <v>43525</v>
      </c>
      <c r="C41" s="43">
        <v>257048</v>
      </c>
      <c r="D41" s="43">
        <v>3573262</v>
      </c>
      <c r="E41" s="27">
        <f>C41/C40-1</f>
        <v>0.05983441633407005</v>
      </c>
      <c r="F41" s="27">
        <f>D41/D40-1</f>
        <v>0.02329464114144697</v>
      </c>
      <c r="G41" s="44">
        <v>980</v>
      </c>
      <c r="H41" s="44">
        <v>1296</v>
      </c>
      <c r="I41" s="27">
        <f>G41/G40-1</f>
        <v>-0.003051881993896277</v>
      </c>
      <c r="J41" s="27">
        <f>H41/H40-1</f>
        <v>0.02208201892744488</v>
      </c>
    </row>
    <row r="42">
      <c r="B42" s="2">
        <v>43891</v>
      </c>
      <c r="C42" s="43">
        <v>265875</v>
      </c>
      <c r="D42" s="43">
        <v>3641020</v>
      </c>
      <c r="E42" s="27">
        <f>C42/C41-1</f>
        <v>0.03433988982602476</v>
      </c>
      <c r="F42" s="27">
        <f>D42/D41-1</f>
        <v>0.01896250540822364</v>
      </c>
      <c r="G42" s="44">
        <v>1028</v>
      </c>
      <c r="H42" s="44">
        <v>1331</v>
      </c>
      <c r="I42" s="27">
        <f>G42/G41-1</f>
        <v>0.048979591836734615</v>
      </c>
      <c r="J42" s="27">
        <f>H42/H41-1</f>
        <v>0.027006172839506126</v>
      </c>
    </row>
    <row r="43">
      <c r="B43" s="2">
        <v>44256</v>
      </c>
      <c r="C43" s="43">
        <v>270739</v>
      </c>
      <c r="D43" s="43">
        <v>3576610</v>
      </c>
      <c r="E43" s="27">
        <f>C43/C42-1</f>
        <v>0.018294311236483285</v>
      </c>
      <c r="F43" s="27">
        <f>D43/D42-1</f>
        <v>-0.01769009782972908</v>
      </c>
      <c r="G43" s="44">
        <v>1069</v>
      </c>
      <c r="H43" s="44">
        <v>1367</v>
      </c>
      <c r="I43" s="27">
        <f>G43/G42-1</f>
        <v>0.03988326848249035</v>
      </c>
      <c r="J43" s="27">
        <f>H43/H42-1</f>
        <v>0.02704733283245675</v>
      </c>
    </row>
    <row r="44">
      <c r="B44" s="2">
        <v>44621</v>
      </c>
      <c r="C44" s="43">
        <v>289289</v>
      </c>
      <c r="D44" s="43">
        <v>3801924</v>
      </c>
      <c r="E44" s="27">
        <f>C44/C43-1</f>
        <v>0.06851617240220276</v>
      </c>
      <c r="F44" s="27">
        <f>D44/D43-1</f>
        <v>0.06299652464204941</v>
      </c>
      <c r="G44" s="44">
        <v>1146</v>
      </c>
      <c r="H44" s="44">
        <v>1484</v>
      </c>
      <c r="I44" s="27">
        <f>G44/G43-1</f>
        <v>0.07202993451824136</v>
      </c>
      <c r="J44" s="27">
        <f>H44/H43-1</f>
        <v>0.08558888076079008</v>
      </c>
    </row>
    <row r="45">
      <c r="B45" s="2">
        <v>44986</v>
      </c>
      <c r="C45" s="43">
        <v>303562</v>
      </c>
      <c r="D45" s="43">
        <v>3944197</v>
      </c>
      <c r="E45" s="27">
        <f>C45/C44-1</f>
        <v>0.04933820504754771</v>
      </c>
      <c r="F45" s="27">
        <f>D45/D44-1</f>
        <v>0.03742131615466282</v>
      </c>
      <c r="G45" s="44">
        <v>1266</v>
      </c>
      <c r="H45" s="44">
        <v>1589</v>
      </c>
      <c r="I45" s="27">
        <f>G45/G44-1</f>
        <v>0.10471204188481686</v>
      </c>
      <c r="J45" s="27">
        <f>H45/H44-1</f>
        <v>0.070754716981132</v>
      </c>
    </row>
    <row r="46">
      <c r="B46" s="2">
        <v>45352</v>
      </c>
      <c r="C46" s="43">
        <v>312216</v>
      </c>
      <c r="D46" s="43">
        <v>3961425</v>
      </c>
      <c r="E46" s="27">
        <f>C46/C45-1</f>
        <v>0.028508179548164758</v>
      </c>
      <c r="F46" s="27">
        <f>D46/D45-1</f>
        <v>0.004367935982913629</v>
      </c>
      <c r="G46" s="44">
        <v>1313</v>
      </c>
      <c r="H46" s="44">
        <v>1653</v>
      </c>
      <c r="I46" s="27">
        <f>G46/G45-1</f>
        <v>0.03712480252764605</v>
      </c>
      <c r="J46" s="27">
        <f>H46/H45-1</f>
        <v>0.04027690371302706</v>
      </c>
    </row>
    <row r="47">
      <c r="B47" s="2">
        <v>45717</v>
      </c>
      <c r="C47" s="43">
        <v>319147</v>
      </c>
      <c r="D47" s="43">
        <v>4009362</v>
      </c>
      <c r="E47" s="27">
        <f>C47/C46-1</f>
        <v>0.022199374791810778</v>
      </c>
      <c r="F47" s="27">
        <f>D47/D46-1</f>
        <v>0.012100948522312027</v>
      </c>
      <c r="G47" s="44">
        <v>1359</v>
      </c>
      <c r="H47" s="44">
        <v>1720</v>
      </c>
      <c r="I47" s="27">
        <f>G47/G46-1</f>
        <v>0.03503427265803505</v>
      </c>
      <c r="J47" s="27">
        <f>H47/H46-1</f>
        <v>0.04053236539624927</v>
      </c>
    </row>
    <row r="48">
      <c r="B48" s="2">
        <v>46082</v>
      </c>
      <c r="C48" s="43">
        <v>317833</v>
      </c>
      <c r="D48" s="43">
        <v>4034579</v>
      </c>
      <c r="E48" s="27">
        <f>C48/C47-1</f>
        <v>-0.004117224977831513</v>
      </c>
      <c r="F48" s="27">
        <f>D48/D47-1</f>
        <v>0.006289529356541035</v>
      </c>
      <c r="G48" s="44">
        <v>1374</v>
      </c>
      <c r="H48" s="44">
        <v>1785</v>
      </c>
      <c r="I48" s="27">
        <f>G48/G47-1</f>
        <v>0.011037527593819041</v>
      </c>
      <c r="J48" s="27">
        <f>H48/H47-1</f>
        <v>0.03779069767441867</v>
      </c>
    </row>
    <row r="49">
      <c r="B49" t="s" s="46">
        <v>467</v>
      </c>
      <c r="C49" s="47">
        <f>(C48/C36)^(1/(YEAR($B$48)-YEAR($B$36)))-1</f>
        <v>0.039181511230073296</v>
      </c>
      <c r="D49" s="47">
        <f>(D48/D36)^(1/(YEAR($B$48)-YEAR($B$36)))-1</f>
        <v>0.0219531098162542</v>
      </c>
      <c r="E49" s="47"/>
      <c r="F49" s="47"/>
      <c r="G49" s="47">
        <f>(G48/G36)^(1/(YEAR($B$48)-YEAR($B$36)))-1</f>
        <v>0.03646371129190462</v>
      </c>
      <c r="H49" s="47">
        <f>(H48/H36)^(1/(YEAR($B$48)-YEAR($B$36)))-1</f>
        <v>0.038148644789529174</v>
      </c>
      <c r="I49" s="46"/>
      <c r="J49" s="46"/>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J38"/>
  <sheetViews>
    <sheetView showGridLines="0" workbookViewId="0">
      <selection activeCell="A1" sqref="A1"/>
    </sheetView>
  </sheetViews>
  <cols>
    <col min="1" max="1" width="2.21875" customWidth="1"/>
    <col min="2" max="2" width="43.7890625" customWidth="1"/>
    <col min="3" max="10" width="17.50390625" customWidth="1"/>
  </cols>
  <sheetData>
    <row r="2">
      <c r="B2" t="s" s="4">
        <v>481</v>
      </c>
    </row>
    <row r="3">
      <c r="B3" t="s" s="6">
        <v>482</v>
      </c>
    </row>
    <row r="4">
      <c r="B4" s="6"/>
    </row>
    <row r="5">
      <c r="B5" t="s" s="79">
        <v>483</v>
      </c>
      <c r="C5" s="7"/>
      <c r="D5" s="7"/>
      <c r="E5" s="7"/>
      <c r="F5" s="7"/>
      <c r="G5" s="7"/>
      <c r="H5" s="7"/>
    </row>
    <row r="6" ht="30" customHeight="1">
      <c r="B6" t="s" s="42">
        <v>484</v>
      </c>
      <c r="C6" t="s" s="42">
        <v>456</v>
      </c>
      <c r="D6" t="s" s="42">
        <v>505</v>
      </c>
      <c r="E6" t="s" s="42">
        <v>508</v>
      </c>
      <c r="F6" t="s" s="42">
        <v>457</v>
      </c>
      <c r="G6" t="s" s="42">
        <v>513</v>
      </c>
      <c r="H6" t="s" s="42">
        <v>508</v>
      </c>
    </row>
    <row r="7">
      <c r="B7" t="s">
        <v>485</v>
      </c>
      <c r="C7" s="48">
        <v>46266</v>
      </c>
      <c r="D7" s="48">
        <v>45901</v>
      </c>
      <c r="F7" s="48">
        <v>46266</v>
      </c>
      <c r="G7" s="48">
        <v>45901</v>
      </c>
    </row>
    <row r="8">
      <c r="B8" t="s">
        <v>486</v>
      </c>
      <c r="C8" s="50">
        <v>3.9</v>
      </c>
      <c r="D8" s="50">
        <v>4</v>
      </c>
      <c r="E8" s="51">
        <f>C8-D8</f>
        <v>-0.10000000000000009</v>
      </c>
      <c r="F8" s="50">
        <v>4.1</v>
      </c>
      <c r="G8" s="50">
        <v>4.2</v>
      </c>
      <c r="H8" s="51">
        <f>F8-G8</f>
        <v>-0.10000000000000053</v>
      </c>
    </row>
    <row r="9">
      <c r="B9" t="s">
        <v>487</v>
      </c>
      <c r="C9" s="43">
        <v>614643</v>
      </c>
      <c r="D9" s="43">
        <v>612792</v>
      </c>
      <c r="E9" s="27">
        <f>C9/D9-1</f>
        <v>0.003020600791133088</v>
      </c>
      <c r="F9" s="43">
        <v>4611425</v>
      </c>
      <c r="G9" s="43">
        <v>4597764</v>
      </c>
      <c r="H9" s="27">
        <f>F9/G9-1</f>
        <v>0.002971226883328404</v>
      </c>
    </row>
    <row r="10">
      <c r="B10" t="s">
        <v>488</v>
      </c>
      <c r="C10" s="43">
        <v>590412</v>
      </c>
      <c r="D10" s="43">
        <v>588540</v>
      </c>
      <c r="E10" s="27">
        <f>C10/D10-1</f>
        <v>0.003180752370272266</v>
      </c>
      <c r="F10" s="43">
        <v>4421607</v>
      </c>
      <c r="G10" s="43">
        <v>4405416</v>
      </c>
      <c r="H10" s="27">
        <f>F10/G10-1</f>
        <v>0.0036752488300764163</v>
      </c>
    </row>
    <row r="12">
      <c r="B12" t="s" s="79">
        <v>489</v>
      </c>
      <c r="C12" s="7"/>
      <c r="D12" s="7"/>
      <c r="E12" s="7"/>
      <c r="F12" s="7"/>
      <c r="G12" s="7"/>
      <c r="H12" s="7"/>
      <c r="I12" s="7"/>
      <c r="J12" s="7"/>
    </row>
    <row r="13" ht="30" customHeight="1">
      <c r="B13" t="s" s="42">
        <v>490</v>
      </c>
      <c r="C13" t="s" s="42">
        <v>503</v>
      </c>
      <c r="D13" t="s" s="42">
        <v>506</v>
      </c>
      <c r="E13" t="s" s="42">
        <v>509</v>
      </c>
      <c r="F13" t="s" s="42">
        <v>510</v>
      </c>
      <c r="G13" t="s" s="42">
        <v>514</v>
      </c>
      <c r="H13" t="s" s="42">
        <v>517</v>
      </c>
      <c r="I13" t="s" s="42">
        <v>520</v>
      </c>
      <c r="J13" t="s" s="42">
        <v>521</v>
      </c>
    </row>
    <row r="14">
      <c r="B14" t="s">
        <v>485</v>
      </c>
      <c r="C14" s="48">
        <v>46082</v>
      </c>
      <c r="D14" s="48">
        <v>45717</v>
      </c>
      <c r="G14" t="s" s="49">
        <v>515</v>
      </c>
      <c r="H14" t="s" s="49">
        <v>518</v>
      </c>
    </row>
    <row r="15">
      <c r="B15" t="s">
        <v>491</v>
      </c>
      <c r="C15" s="43">
        <v>317833</v>
      </c>
      <c r="D15" s="43">
        <v>319147</v>
      </c>
      <c r="E15" s="27">
        <f>C15/D15-1</f>
        <v>-0.004117224977831513</v>
      </c>
      <c r="F15" s="27">
        <f>C15/C$15</f>
        <v>1</v>
      </c>
      <c r="G15" s="44">
        <v>1374</v>
      </c>
      <c r="H15" s="44">
        <v>1359</v>
      </c>
      <c r="I15" s="27">
        <f>G15/H15-1</f>
        <v>0.011037527593819041</v>
      </c>
      <c r="J15" s="27">
        <f>G15/G$15-1</f>
        <v>0</v>
      </c>
    </row>
    <row r="16">
      <c r="B16" t="s">
        <v>492</v>
      </c>
      <c r="C16" s="43">
        <v>21851</v>
      </c>
      <c r="D16" s="43">
        <v>19618</v>
      </c>
      <c r="E16" s="27">
        <f>C16/D16-1</f>
        <v>0.11382403914772143</v>
      </c>
      <c r="F16" s="27">
        <f>C16/C$15</f>
        <v>0.06874994100675512</v>
      </c>
      <c r="G16" s="44">
        <v>1667</v>
      </c>
      <c r="H16" s="44">
        <v>1714</v>
      </c>
      <c r="I16" s="27">
        <f>G16/H16-1</f>
        <v>-0.02742123687281217</v>
      </c>
      <c r="J16" s="27">
        <f>G16/G$15-1</f>
        <v>0.21324599708879188</v>
      </c>
    </row>
    <row r="17">
      <c r="B17" t="s">
        <v>493</v>
      </c>
      <c r="C17" s="43">
        <v>19433</v>
      </c>
      <c r="D17" s="43">
        <v>19420</v>
      </c>
      <c r="E17" s="27">
        <f>C17/D17-1</f>
        <v>0.0006694129763131773</v>
      </c>
      <c r="F17" s="27">
        <f>C17/C$15</f>
        <v>0.06114217214700802</v>
      </c>
      <c r="G17" s="44">
        <v>1870</v>
      </c>
      <c r="H17" s="44">
        <v>1957</v>
      </c>
      <c r="I17" s="27">
        <f>G17/H17-1</f>
        <v>-0.04445579969340829</v>
      </c>
      <c r="J17" s="27">
        <f>G17/G$15-1</f>
        <v>0.3609898107714702</v>
      </c>
    </row>
    <row r="18">
      <c r="B18" t="s">
        <v>494</v>
      </c>
      <c r="C18" s="43">
        <v>19006</v>
      </c>
      <c r="D18" s="43">
        <v>19078</v>
      </c>
      <c r="E18" s="27">
        <f>C18/D18-1</f>
        <v>-0.003773980501100782</v>
      </c>
      <c r="F18" s="27">
        <f>C18/C$15</f>
        <v>0.05979869931693688</v>
      </c>
      <c r="G18" s="44">
        <v>1171</v>
      </c>
      <c r="H18" s="44">
        <v>1157</v>
      </c>
      <c r="I18" s="27">
        <f>G18/H18-1</f>
        <v>0.012100259291270454</v>
      </c>
      <c r="J18" s="27">
        <f>G18/G$15-1</f>
        <v>-0.1477438136826783</v>
      </c>
    </row>
    <row r="19">
      <c r="B19" t="s" s="46">
        <v>495</v>
      </c>
      <c r="C19" s="54">
        <f>SUM(C16:C18)</f>
        <v>60290</v>
      </c>
      <c r="D19" s="54">
        <f>SUM(D16:D18)</f>
        <v>58116</v>
      </c>
      <c r="E19" s="55">
        <f>C19/D19-1</f>
        <v>0.03740794273521919</v>
      </c>
      <c r="F19" s="55">
        <f>C19/C$15</f>
        <v>0.18969081247070002</v>
      </c>
      <c r="G19" s="56"/>
      <c r="H19" s="56"/>
      <c r="I19" s="55"/>
      <c r="J19" s="55"/>
    </row>
    <row r="21">
      <c r="B21" t="s" s="79">
        <v>496</v>
      </c>
      <c r="C21" s="7"/>
      <c r="D21" s="7"/>
      <c r="E21" s="7"/>
      <c r="F21" s="7"/>
      <c r="G21" s="7"/>
      <c r="H21" s="7"/>
      <c r="I21" s="7"/>
      <c r="J21" s="7"/>
    </row>
    <row r="22" ht="30" customHeight="1">
      <c r="B22" t="s" s="42">
        <v>490</v>
      </c>
      <c r="C22" t="s" s="42">
        <v>503</v>
      </c>
      <c r="D22" t="s" s="42">
        <v>506</v>
      </c>
      <c r="E22" t="s" s="42">
        <v>509</v>
      </c>
      <c r="F22" t="s" s="42">
        <v>511</v>
      </c>
      <c r="G22" t="s" s="42">
        <v>514</v>
      </c>
      <c r="H22" t="s" s="42">
        <v>517</v>
      </c>
      <c r="I22" t="s" s="42">
        <v>520</v>
      </c>
      <c r="J22" t="s" s="42">
        <v>521</v>
      </c>
    </row>
    <row r="23">
      <c r="B23" t="s">
        <v>485</v>
      </c>
      <c r="C23" s="48">
        <v>45809</v>
      </c>
      <c r="D23" s="48">
        <v>45444</v>
      </c>
      <c r="G23" t="s" s="49">
        <v>516</v>
      </c>
      <c r="H23" t="s" s="49">
        <v>519</v>
      </c>
    </row>
    <row r="24">
      <c r="B24" t="s">
        <v>491</v>
      </c>
      <c r="C24" s="43">
        <v>4037769</v>
      </c>
      <c r="D24" s="43">
        <v>4002521</v>
      </c>
      <c r="E24" s="27">
        <f>C24/D24-1</f>
        <v>0.0088064497350544</v>
      </c>
      <c r="F24" s="27">
        <f>C24/C$24</f>
        <v>1</v>
      </c>
      <c r="G24" s="44">
        <v>1521</v>
      </c>
      <c r="H24" s="44">
        <v>1485</v>
      </c>
      <c r="I24" s="27">
        <f>G24/H24-1</f>
        <v>0.024242424242424176</v>
      </c>
      <c r="J24" s="27">
        <f>G24/G$24-1</f>
        <v>0</v>
      </c>
    </row>
    <row r="25">
      <c r="B25" t="s">
        <v>492</v>
      </c>
      <c r="C25" s="43">
        <v>244582</v>
      </c>
      <c r="D25" s="43">
        <v>233044</v>
      </c>
      <c r="E25" s="27">
        <f>C25/D25-1</f>
        <v>0.049509963783663125</v>
      </c>
      <c r="F25" s="27">
        <f>C25/C$24</f>
        <v>0.06057354940314812</v>
      </c>
      <c r="G25" s="44">
        <v>1658</v>
      </c>
      <c r="H25" s="44">
        <v>1600</v>
      </c>
      <c r="I25" s="27">
        <f>G25/H25-1</f>
        <v>0.03624999999999989</v>
      </c>
      <c r="J25" s="27">
        <f>G25/G$24-1</f>
        <v>0.0900723208415517</v>
      </c>
    </row>
    <row r="26">
      <c r="B26" t="s">
        <v>493</v>
      </c>
      <c r="C26" s="43">
        <v>310017</v>
      </c>
      <c r="D26" s="43">
        <v>309087</v>
      </c>
      <c r="E26" s="27">
        <f>C26/D26-1</f>
        <v>0.0030088615826611154</v>
      </c>
      <c r="F26" s="27">
        <f>C26/C$24</f>
        <v>0.0767792808355307</v>
      </c>
      <c r="G26" s="44">
        <v>1812</v>
      </c>
      <c r="H26" s="44">
        <v>1780</v>
      </c>
      <c r="I26" s="27">
        <f>G26/H26-1</f>
        <v>0.01797752808988773</v>
      </c>
      <c r="J26" s="27">
        <f>G26/G$24-1</f>
        <v>0.1913214990138068</v>
      </c>
    </row>
    <row r="27">
      <c r="B27" t="s">
        <v>494</v>
      </c>
      <c r="C27" s="43">
        <v>240778</v>
      </c>
      <c r="D27" s="43">
        <v>239730</v>
      </c>
      <c r="E27" s="27">
        <f>C27/D27-1</f>
        <v>0.004371584699453646</v>
      </c>
      <c r="F27" s="27">
        <f>C27/C$24</f>
        <v>0.0596314449885568</v>
      </c>
      <c r="G27" s="44">
        <v>1450</v>
      </c>
      <c r="H27" s="44">
        <v>1425</v>
      </c>
      <c r="I27" s="27">
        <f>G27/H27-1</f>
        <v>0.01754385964912286</v>
      </c>
      <c r="J27" s="27">
        <f>G27/G$24-1</f>
        <v>-0.04667981591058512</v>
      </c>
    </row>
    <row r="28">
      <c r="B28" t="s" s="46">
        <v>495</v>
      </c>
      <c r="C28" s="54">
        <f>SUM(C25:C27)</f>
        <v>795377</v>
      </c>
      <c r="D28" s="54">
        <f>SUM(D25:D27)</f>
        <v>781861</v>
      </c>
      <c r="E28" s="55">
        <f>C28/D28-1</f>
        <v>0.017286960214155656</v>
      </c>
      <c r="F28" s="55">
        <f>C28/C$24</f>
        <v>0.19698427522723563</v>
      </c>
      <c r="G28" s="56"/>
      <c r="H28" s="56"/>
      <c r="I28" s="55"/>
      <c r="J28" s="55"/>
    </row>
    <row r="29">
      <c r="B29" t="s" s="5">
        <v>497</v>
      </c>
    </row>
    <row r="31">
      <c r="B31" t="s" s="79">
        <v>498</v>
      </c>
      <c r="C31" s="7"/>
      <c r="D31" s="7"/>
      <c r="E31" s="7"/>
      <c r="F31" s="7"/>
    </row>
    <row r="32" ht="30" customHeight="1">
      <c r="B32" t="s" s="42">
        <v>490</v>
      </c>
      <c r="C32" t="s" s="42">
        <v>504</v>
      </c>
      <c r="D32" t="s" s="42">
        <v>507</v>
      </c>
      <c r="E32" t="s" s="42">
        <v>509</v>
      </c>
      <c r="F32" t="s" s="42">
        <v>512</v>
      </c>
    </row>
    <row r="33">
      <c r="B33" t="s">
        <v>485</v>
      </c>
      <c r="C33" s="48">
        <v>46266</v>
      </c>
      <c r="D33" s="48">
        <v>45901</v>
      </c>
    </row>
    <row r="34">
      <c r="B34" t="s">
        <v>499</v>
      </c>
      <c r="C34" s="57">
        <v>4352.1</v>
      </c>
      <c r="D34" s="57">
        <v>4308.2</v>
      </c>
      <c r="E34" s="27">
        <f>C34/D34-1</f>
        <v>0.010189870479550667</v>
      </c>
      <c r="F34" s="27">
        <f>C34/C$34</f>
        <v>1</v>
      </c>
    </row>
    <row r="35">
      <c r="B35" t="s">
        <v>500</v>
      </c>
      <c r="C35" s="57">
        <v>274.6</v>
      </c>
      <c r="D35" s="57">
        <v>267</v>
      </c>
      <c r="E35" s="27">
        <f>C35/D35-1</f>
        <v>0.02846441947565559</v>
      </c>
      <c r="F35" s="27">
        <f>C35/C$34</f>
        <v>0.06309597665494819</v>
      </c>
    </row>
    <row r="36">
      <c r="B36" t="s">
        <v>493</v>
      </c>
      <c r="C36" s="57">
        <v>313.2</v>
      </c>
      <c r="D36" s="57">
        <v>313.1</v>
      </c>
      <c r="E36" s="27">
        <f>C36/D36-1</f>
        <v>0.0003193867773874093</v>
      </c>
      <c r="F36" s="27">
        <f>C36/C$34</f>
        <v>0.07196525815123732</v>
      </c>
    </row>
    <row r="37">
      <c r="B37" t="s">
        <v>501</v>
      </c>
      <c r="C37" s="57">
        <v>271.6</v>
      </c>
      <c r="D37" s="57">
        <v>263.7</v>
      </c>
      <c r="E37" s="27">
        <f>C37/D37-1</f>
        <v>0.029958285930982376</v>
      </c>
      <c r="F37" s="27">
        <f>C37/C$34</f>
        <v>0.06240665425886354</v>
      </c>
    </row>
    <row r="38">
      <c r="B38" t="s" s="5">
        <v>502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L20"/>
  <sheetViews>
    <sheetView showGridLines="0" workbookViewId="0">
      <selection activeCell="A1" sqref="A1"/>
    </sheetView>
  </sheetViews>
  <cols>
    <col min="1" max="1" width="2.21875" customWidth="1"/>
    <col min="2" max="2" width="24.64453125" customWidth="1"/>
    <col min="3" max="4" width="32.359375" customWidth="1"/>
    <col min="5" max="7" width="16.07421875" customWidth="1"/>
    <col min="8" max="8" width="28.50390625" customWidth="1"/>
    <col min="9" max="11" width="18.07421875" customWidth="1"/>
    <col min="12" max="12" width="79.9296875" customWidth="1"/>
  </cols>
  <sheetData>
    <row r="2">
      <c r="B2" t="s" s="4">
        <v>522</v>
      </c>
    </row>
    <row r="3">
      <c r="B3" t="s" s="6">
        <v>523</v>
      </c>
    </row>
    <row r="4">
      <c r="B4" s="6"/>
    </row>
    <row r="5" ht="30" customHeight="1">
      <c r="B5" t="s" s="7">
        <v>524</v>
      </c>
      <c r="C5" t="s" s="7">
        <v>532</v>
      </c>
      <c r="D5" t="s" s="7">
        <v>541</v>
      </c>
      <c r="E5" t="s" s="7">
        <v>547</v>
      </c>
      <c r="F5" t="s" s="7">
        <v>548</v>
      </c>
      <c r="G5" t="s" s="7">
        <v>550</v>
      </c>
      <c r="H5" t="s" s="7">
        <v>552</v>
      </c>
      <c r="I5" t="s" s="7">
        <v>556</v>
      </c>
      <c r="J5" t="s" s="7">
        <v>558</v>
      </c>
      <c r="K5" t="s" s="7">
        <v>559</v>
      </c>
      <c r="L5" t="s" s="7">
        <v>560</v>
      </c>
    </row>
    <row r="6">
      <c r="B6" t="s" s="3">
        <v>525</v>
      </c>
      <c r="C6" t="s" s="3">
        <v>533</v>
      </c>
      <c r="D6" t="s" s="3">
        <v>542</v>
      </c>
      <c r="E6" s="60">
        <v>37280000</v>
      </c>
      <c r="F6" s="61">
        <v>0.11</v>
      </c>
      <c r="G6" s="62">
        <v>11.29</v>
      </c>
      <c r="H6" t="s" s="3">
        <v>553</v>
      </c>
      <c r="I6" s="63">
        <v>-106000</v>
      </c>
      <c r="J6" s="63">
        <v>-204000</v>
      </c>
      <c r="K6" s="63">
        <v>1890000</v>
      </c>
      <c r="L6" t="s" s="3">
        <v>561</v>
      </c>
    </row>
    <row r="7">
      <c r="B7" t="s">
        <v>525</v>
      </c>
      <c r="C7" t="s">
        <v>534</v>
      </c>
      <c r="D7" t="s">
        <v>543</v>
      </c>
      <c r="E7" s="43">
        <v>129140000</v>
      </c>
      <c r="F7" s="58">
        <v>0.103</v>
      </c>
      <c r="G7" s="59">
        <v>11.66</v>
      </c>
      <c r="H7" t="s">
        <v>553</v>
      </c>
      <c r="I7" s="22">
        <v>150000</v>
      </c>
      <c r="J7" s="22">
        <v>1090000</v>
      </c>
      <c r="K7" s="22">
        <v>4090000</v>
      </c>
      <c r="L7" t="s">
        <v>562</v>
      </c>
    </row>
    <row r="8">
      <c r="B8" t="s">
        <v>525</v>
      </c>
      <c r="C8" t="s">
        <v>535</v>
      </c>
      <c r="D8" t="s">
        <v>544</v>
      </c>
      <c r="E8" s="43">
        <v>59230000</v>
      </c>
      <c r="F8" s="58">
        <v>0.064</v>
      </c>
      <c r="G8" s="59">
        <v>12.83</v>
      </c>
      <c r="H8" t="s">
        <v>553</v>
      </c>
      <c r="I8" s="22">
        <v>-258000</v>
      </c>
      <c r="J8" s="22">
        <v>-693000</v>
      </c>
      <c r="K8" s="22">
        <v>168000</v>
      </c>
      <c r="L8" t="s">
        <v>563</v>
      </c>
    </row>
    <row r="9">
      <c r="B9" t="s">
        <v>525</v>
      </c>
      <c r="C9" t="s">
        <v>536</v>
      </c>
      <c r="D9" t="s">
        <v>545</v>
      </c>
      <c r="E9" s="43">
        <v>176120000</v>
      </c>
      <c r="F9" s="58">
        <v>0.064</v>
      </c>
      <c r="G9" s="59">
        <v>12.63</v>
      </c>
      <c r="H9" t="s">
        <v>553</v>
      </c>
      <c r="I9" s="22">
        <v>-968000</v>
      </c>
      <c r="J9" s="22">
        <v>-1900000</v>
      </c>
      <c r="K9" s="22">
        <v>168000</v>
      </c>
      <c r="L9" t="s">
        <v>566</v>
      </c>
    </row>
    <row r="10">
      <c r="B10" t="s" s="28">
        <v>525</v>
      </c>
      <c r="C10" t="s" s="28">
        <v>537</v>
      </c>
      <c r="D10" t="s" s="28">
        <v>546</v>
      </c>
      <c r="E10" s="64">
        <v>1047930000</v>
      </c>
      <c r="F10" s="65">
        <v>0.078</v>
      </c>
      <c r="G10" s="66">
        <v>10.39</v>
      </c>
      <c r="H10" t="s" s="28">
        <v>553</v>
      </c>
      <c r="I10" s="30">
        <v>6440000</v>
      </c>
      <c r="J10" s="30">
        <v>23630000</v>
      </c>
      <c r="K10" s="30">
        <v>33910000</v>
      </c>
      <c r="L10" s="28"/>
    </row>
    <row r="11">
      <c r="B11" t="s" s="3">
        <v>526</v>
      </c>
      <c r="C11" t="s" s="3">
        <v>538</v>
      </c>
      <c r="D11" t="s" s="3">
        <v>542</v>
      </c>
      <c r="E11" s="60">
        <v>37373848</v>
      </c>
      <c r="F11" s="61">
        <v>0.102</v>
      </c>
      <c r="G11" s="62">
        <v>9.97</v>
      </c>
      <c r="H11" t="s" s="3">
        <v>554</v>
      </c>
      <c r="I11" s="63">
        <v>2055003</v>
      </c>
      <c r="J11" s="63">
        <v>2932560</v>
      </c>
      <c r="K11" s="63">
        <v>375831</v>
      </c>
      <c r="L11" t="s" s="3">
        <v>565</v>
      </c>
    </row>
    <row r="12">
      <c r="B12" t="s">
        <v>526</v>
      </c>
      <c r="C12" t="s">
        <v>539</v>
      </c>
      <c r="D12" t="s">
        <v>544</v>
      </c>
      <c r="E12" s="43">
        <v>82174828</v>
      </c>
      <c r="F12" s="58">
        <v>0.066</v>
      </c>
      <c r="G12" s="59">
        <v>12.98</v>
      </c>
      <c r="H12" t="s">
        <v>554</v>
      </c>
      <c r="I12" s="22">
        <v>-42856</v>
      </c>
      <c r="J12" s="22">
        <v>-522634</v>
      </c>
      <c r="K12" s="22">
        <v>275413</v>
      </c>
      <c r="L12" t="s">
        <v>563</v>
      </c>
    </row>
    <row r="13">
      <c r="B13" t="s">
        <v>526</v>
      </c>
      <c r="C13" t="s">
        <v>540</v>
      </c>
      <c r="D13" t="s">
        <v>546</v>
      </c>
      <c r="E13" s="43">
        <v>1048240007</v>
      </c>
      <c r="F13" s="58">
        <v>0.073</v>
      </c>
      <c r="G13" s="59">
        <v>9.76</v>
      </c>
      <c r="H13" t="s">
        <v>554</v>
      </c>
      <c r="I13" s="22">
        <v>13934588</v>
      </c>
      <c r="J13" s="22">
        <v>28563372</v>
      </c>
      <c r="K13" s="22">
        <v>30560051</v>
      </c>
    </row>
    <row r="15">
      <c r="B15" t="s" s="79">
        <v>527</v>
      </c>
      <c r="C15" s="79"/>
      <c r="D15" s="79"/>
      <c r="E15" s="79"/>
      <c r="F15" s="79"/>
      <c r="G15" s="79"/>
      <c r="H15" s="79"/>
      <c r="I15" s="79"/>
    </row>
    <row r="16">
      <c r="B16" t="s" s="9">
        <v>528</v>
      </c>
      <c r="C16" s="9"/>
      <c r="D16" s="9"/>
      <c r="E16" s="9"/>
      <c r="F16" t="s" s="9">
        <v>549</v>
      </c>
      <c r="G16" t="s" s="9">
        <v>551</v>
      </c>
      <c r="H16" t="s" s="9">
        <v>555</v>
      </c>
      <c r="I16" t="s" s="9">
        <v>557</v>
      </c>
    </row>
    <row r="17">
      <c r="B17" t="s">
        <v>529</v>
      </c>
      <c r="F17" s="14">
        <f>MIN(F6,F11)</f>
        <v>0.102</v>
      </c>
      <c r="G17" s="14">
        <f>MAX(F6,F11)</f>
        <v>0.11</v>
      </c>
      <c r="H17" s="67">
        <f>MIN(G6,G11)</f>
        <v>9.97</v>
      </c>
      <c r="I17" s="67">
        <f>MAX(G6,G11)</f>
        <v>11.29</v>
      </c>
    </row>
    <row r="18">
      <c r="B18" t="s">
        <v>530</v>
      </c>
      <c r="F18" s="14">
        <f>MIN(F8,F12)</f>
        <v>0.064</v>
      </c>
      <c r="G18" s="14">
        <f>MAX(F8,F12)</f>
        <v>0.066</v>
      </c>
      <c r="H18" s="67">
        <f>MIN(G8,G12)</f>
        <v>12.83</v>
      </c>
      <c r="I18" s="67">
        <f>MAX(G8,G12)</f>
        <v>12.98</v>
      </c>
    </row>
    <row r="20">
      <c r="B20" t="s" s="5">
        <v>531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K36"/>
  <sheetViews>
    <sheetView showGridLines="0" workbookViewId="0">
      <selection activeCell="A1" sqref="A1"/>
    </sheetView>
  </sheetViews>
  <cols>
    <col min="1" max="1" width="2.21875" customWidth="1"/>
    <col min="2" max="2" width="81.7890625" customWidth="1"/>
    <col min="3" max="3" width="17.07421875" customWidth="1"/>
    <col min="4" max="11" width="18.07421875" customWidth="1"/>
  </cols>
  <sheetData>
    <row r="2">
      <c r="B2" t="s" s="4">
        <v>567</v>
      </c>
    </row>
    <row r="3">
      <c r="B3" t="s" s="6">
        <v>568</v>
      </c>
    </row>
    <row r="4">
      <c r="B4" s="6"/>
    </row>
    <row r="5">
      <c r="B5" t="s" s="7">
        <v>569</v>
      </c>
      <c r="C5" t="s" s="7">
        <v>599</v>
      </c>
      <c r="D5" t="s" s="7">
        <v>600</v>
      </c>
    </row>
    <row r="6">
      <c r="B6" t="s">
        <v>570</v>
      </c>
      <c r="C6" s="59">
        <v>14.5</v>
      </c>
      <c r="D6" t="s">
        <v>601</v>
      </c>
    </row>
    <row r="7">
      <c r="B7" t="s">
        <v>571</v>
      </c>
      <c r="C7" s="59">
        <v>12.75</v>
      </c>
      <c r="D7" t="s">
        <v>601</v>
      </c>
    </row>
    <row r="8">
      <c r="B8" t="s">
        <v>572</v>
      </c>
      <c r="C8" s="58">
        <v>0.03</v>
      </c>
      <c r="D8" t="s">
        <v>602</v>
      </c>
    </row>
    <row r="9">
      <c r="B9" t="s">
        <v>573</v>
      </c>
      <c r="C9" s="58">
        <v>0.01</v>
      </c>
      <c r="D9" t="s">
        <v>603</v>
      </c>
    </row>
    <row r="10">
      <c r="B10" t="s">
        <v>574</v>
      </c>
      <c r="C10" s="58">
        <v>0.7</v>
      </c>
      <c r="D10" t="s">
        <v>604</v>
      </c>
    </row>
    <row r="11">
      <c r="B11" t="s">
        <v>575</v>
      </c>
      <c r="C11" s="68">
        <v>6</v>
      </c>
      <c r="D11" t="s">
        <v>604</v>
      </c>
    </row>
    <row r="12">
      <c r="B12" t="s">
        <v>576</v>
      </c>
      <c r="C12" s="59">
        <v>14.7</v>
      </c>
      <c r="D12" t="s">
        <v>605</v>
      </c>
    </row>
    <row r="13">
      <c r="B13" t="s">
        <v>577</v>
      </c>
      <c r="C13" s="59">
        <v>12.75</v>
      </c>
      <c r="D13" t="s">
        <v>605</v>
      </c>
    </row>
    <row r="14">
      <c r="B14" t="s">
        <v>578</v>
      </c>
      <c r="C14" s="22">
        <v>8260050.35</v>
      </c>
      <c r="D14" t="s">
        <v>606</v>
      </c>
    </row>
    <row r="15">
      <c r="B15" t="s">
        <v>579</v>
      </c>
      <c r="C15" s="22">
        <v>30797946.74703503</v>
      </c>
      <c r="D15" t="s">
        <v>607</v>
      </c>
    </row>
    <row r="16">
      <c r="B16" t="s">
        <v>580</v>
      </c>
      <c r="C16" s="22">
        <v>-1283314.9866709246</v>
      </c>
      <c r="D16" t="s">
        <v>607</v>
      </c>
    </row>
    <row r="17">
      <c r="B17" t="s">
        <v>581</v>
      </c>
      <c r="C17" s="22">
        <v>-1047378.3348599924</v>
      </c>
      <c r="D17" t="s">
        <v>607</v>
      </c>
    </row>
    <row r="18">
      <c r="B18" t="s">
        <v>582</v>
      </c>
      <c r="C18" s="22">
        <v>16464183.292585777</v>
      </c>
      <c r="D18" t="s">
        <v>607</v>
      </c>
    </row>
    <row r="19">
      <c r="B19" t="s">
        <v>583</v>
      </c>
      <c r="C19" s="22">
        <v>-531914.8706808989</v>
      </c>
      <c r="D19" t="s">
        <v>607</v>
      </c>
    </row>
    <row r="20">
      <c r="B20" t="s" s="3">
        <v>647</v>
      </c>
      <c r="C20" s="45">
        <f>-(C16+C19)/(C14+C15+C18)</f>
        <v>0.032693778317307555</v>
      </c>
    </row>
    <row r="21">
      <c r="B21" t="s" s="3">
        <v>585</v>
      </c>
      <c r="C21" s="45">
        <f>-(C16+C17+C19)/(C14+C15+C18)</f>
        <v>0.05155792103486889</v>
      </c>
    </row>
    <row r="23" ht="30" customHeight="1">
      <c r="B23" t="s" s="79">
        <v>586</v>
      </c>
      <c r="C23" t="s" s="7">
        <v>599</v>
      </c>
      <c r="D23" t="s" s="7">
        <v>608</v>
      </c>
      <c r="E23" t="s" s="7">
        <v>609</v>
      </c>
      <c r="F23" t="s" s="7">
        <v>610</v>
      </c>
      <c r="G23" t="s" s="7">
        <v>611</v>
      </c>
      <c r="H23" t="s" s="7">
        <v>612</v>
      </c>
      <c r="I23" t="s" s="7">
        <v>613</v>
      </c>
      <c r="J23" t="s" s="7">
        <v>614</v>
      </c>
      <c r="K23" t="s" s="7">
        <v>615</v>
      </c>
    </row>
    <row r="24">
      <c r="B24" t="s">
        <v>587</v>
      </c>
      <c r="C24" s="67">
        <f>C6</f>
        <v>14.5</v>
      </c>
      <c r="D24" s="70">
        <f>'6 Submarket'!H17</f>
        <v>9.97</v>
      </c>
      <c r="E24" s="70">
        <f>'6 Submarket'!I17</f>
        <v>11.29</v>
      </c>
      <c r="F24" t="str" s="72">
        <f>IF(AND(C24&gt;=D24,C24&lt;=E24),"Inside",IF(C24&gt;E24,"Above","Below"))</f>
        <v>Above</v>
      </c>
      <c r="G24" s="71">
        <f>C24-E24</f>
        <v>3.210000000000001</v>
      </c>
      <c r="H24" s="70">
        <f>'6 Submarket'!H18</f>
        <v>12.83</v>
      </c>
      <c r="I24" s="70">
        <f>'6 Submarket'!I18</f>
        <v>12.98</v>
      </c>
      <c r="J24" t="str" s="72">
        <f>IF(AND(C24&gt;=H24,C24&lt;=I24),"Inside",IF(C24&gt;I24,"Above","Below"))</f>
        <v>Above</v>
      </c>
      <c r="K24" s="71">
        <f>C24-I24</f>
        <v>1.5199999999999996</v>
      </c>
    </row>
    <row r="25">
      <c r="B25" t="s">
        <v>588</v>
      </c>
      <c r="C25" s="67">
        <f>C7</f>
        <v>12.75</v>
      </c>
      <c r="D25" s="70">
        <f>'6 Submarket'!H17</f>
        <v>9.97</v>
      </c>
      <c r="E25" s="70">
        <f>'6 Submarket'!I17</f>
        <v>11.29</v>
      </c>
      <c r="F25" t="str" s="72">
        <f>IF(AND(C25&gt;=D25,C25&lt;=E25),"Inside",IF(C25&gt;E25,"Above","Below"))</f>
        <v>Above</v>
      </c>
      <c r="G25" s="71">
        <f>C25-E25</f>
        <v>1.4600000000000009</v>
      </c>
      <c r="H25" s="70">
        <f>'6 Submarket'!H18</f>
        <v>12.83</v>
      </c>
      <c r="I25" s="70">
        <f>'6 Submarket'!I18</f>
        <v>12.98</v>
      </c>
      <c r="J25" t="str" s="72">
        <f>IF(AND(C25&gt;=H25,C25&lt;=I25),"Inside",IF(C25&gt;I25,"Above","Below"))</f>
        <v>Below</v>
      </c>
      <c r="K25" s="71">
        <f>C25-I25</f>
        <v>-0.23000000000000043</v>
      </c>
    </row>
    <row r="26">
      <c r="B26" t="s">
        <v>589</v>
      </c>
      <c r="C26" s="14">
        <f>C9</f>
        <v>0.01</v>
      </c>
      <c r="D26" s="15">
        <f>'6 Submarket'!F17</f>
        <v>0.102</v>
      </c>
      <c r="E26" s="15">
        <f>'6 Submarket'!G17</f>
        <v>0.11</v>
      </c>
      <c r="F26" t="str" s="72">
        <f>IF(AND(C26&gt;=D26,C26&lt;=E26),"Inside",IF(C26&gt;E26,"Above","Below"))</f>
        <v>Below</v>
      </c>
      <c r="G26" s="27">
        <f>C26-E26</f>
        <v>-0.1</v>
      </c>
      <c r="H26" s="15">
        <f>'6 Submarket'!F18</f>
        <v>0.064</v>
      </c>
      <c r="I26" s="15">
        <f>'6 Submarket'!G18</f>
        <v>0.066</v>
      </c>
      <c r="J26" t="str" s="72">
        <f>IF(AND(C26&gt;=H26,C26&lt;=I26),"Inside",IF(C26&gt;I26,"Above","Below"))</f>
        <v>Below</v>
      </c>
      <c r="K26" s="27">
        <f>C26-I26</f>
        <v>-0.056</v>
      </c>
    </row>
    <row r="27">
      <c r="B27" t="s">
        <v>590</v>
      </c>
      <c r="C27" s="14">
        <f>C20</f>
        <v>0.032693778317307555</v>
      </c>
      <c r="D27" s="15">
        <f>'6 Submarket'!F17</f>
        <v>0.102</v>
      </c>
      <c r="E27" s="15">
        <f>'6 Submarket'!G17</f>
        <v>0.11</v>
      </c>
      <c r="F27" t="str" s="72">
        <f>IF(AND(C27&gt;=D27,C27&lt;=E27),"Inside",IF(C27&gt;E27,"Above","Below"))</f>
        <v>Below</v>
      </c>
      <c r="G27" s="27">
        <f>C27-E27</f>
        <v>-0.07730622168269244</v>
      </c>
      <c r="H27" s="15">
        <f>'6 Submarket'!F18</f>
        <v>0.064</v>
      </c>
      <c r="I27" s="15">
        <f>'6 Submarket'!G18</f>
        <v>0.066</v>
      </c>
      <c r="J27" t="str" s="72">
        <f>IF(AND(C27&gt;=H27,C27&lt;=I27),"Inside",IF(C27&gt;I27,"Above","Below"))</f>
        <v>Below</v>
      </c>
      <c r="K27" s="27">
        <f>C27-I27</f>
        <v>-0.03330622168269245</v>
      </c>
    </row>
    <row r="28">
      <c r="B28" t="s">
        <v>591</v>
      </c>
      <c r="C28" s="15">
        <f>C6/'6 Submarket'!G6-1</f>
        <v>0.28432240921169183</v>
      </c>
    </row>
    <row r="29">
      <c r="B29" t="s">
        <v>592</v>
      </c>
      <c r="C29" s="15">
        <f>C6/'6 Submarket'!I18-1</f>
        <v>0.11710323574730341</v>
      </c>
    </row>
    <row r="30">
      <c r="B30" t="s" s="3">
        <v>616</v>
      </c>
      <c r="C30" s="45">
        <f>C20+(D30-C9)*(-C19/C9)/(C14+C15+C18)</f>
        <v>0.05185422435700717</v>
      </c>
      <c r="D30" s="69">
        <v>0.03</v>
      </c>
    </row>
    <row r="31">
      <c r="B31" t="s" s="79">
        <v>593</v>
      </c>
      <c r="C31" s="79"/>
      <c r="D31" s="79"/>
      <c r="E31" s="79"/>
      <c r="F31" s="79"/>
      <c r="G31" s="79"/>
      <c r="H31" s="79"/>
      <c r="I31" s="79"/>
      <c r="J31" s="79"/>
      <c r="K31" s="79"/>
    </row>
    <row r="32">
      <c r="B32" t="s">
        <v>617</v>
      </c>
    </row>
    <row r="33">
      <c r="B33" t="s">
        <v>595</v>
      </c>
    </row>
    <row r="34">
      <c r="B34" t="s">
        <v>620</v>
      </c>
    </row>
    <row r="35">
      <c r="B35" t="s">
        <v>619</v>
      </c>
    </row>
    <row r="36">
      <c r="B36" t="s">
        <v>598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AB161"/>
  <sheetViews>
    <sheetView showGridLines="0" workbookViewId="0">
      <pane xSplit="2" ySplit="5" topLeftCell="C6" activePane="bottomRight" state="frozen"/>
      <selection pane="topRight" activeCell="C1" sqref="C1"/>
      <selection pane="bottomLeft" activeCell="A6" sqref="A6"/>
      <selection pane="bottomRight" activeCell="A1" sqref="A1"/>
    </sheetView>
  </sheetViews>
  <cols>
    <col min="1" max="1" width="2.21875" customWidth="1"/>
    <col min="2" max="4" width="16.07421875" customWidth="1"/>
    <col min="5" max="28" width="15.21875" customWidth="1"/>
  </cols>
  <sheetData>
    <row r="2">
      <c r="B2" t="s" s="4">
        <v>0</v>
      </c>
    </row>
    <row r="3">
      <c r="B3" t="s" s="6">
        <v>1</v>
      </c>
    </row>
    <row r="4">
      <c r="B4" s="6"/>
    </row>
    <row r="5" ht="56" customHeight="1">
      <c r="B5" t="s" s="7">
        <v>2</v>
      </c>
      <c r="C5" t="s" s="7">
        <v>159</v>
      </c>
      <c r="D5" t="s" s="7">
        <v>231</v>
      </c>
      <c r="E5" t="s" s="7">
        <v>246</v>
      </c>
      <c r="F5" t="s" s="7">
        <v>247</v>
      </c>
      <c r="G5" t="s" s="7">
        <v>248</v>
      </c>
      <c r="H5" t="s" s="7">
        <v>249</v>
      </c>
      <c r="I5" t="s" s="7">
        <v>250</v>
      </c>
      <c r="J5" t="s" s="7">
        <v>251</v>
      </c>
      <c r="K5" t="s" s="7">
        <v>252</v>
      </c>
      <c r="L5" t="s" s="7">
        <v>253</v>
      </c>
      <c r="M5" t="s" s="7">
        <v>254</v>
      </c>
      <c r="N5" t="s" s="7">
        <v>255</v>
      </c>
      <c r="O5" t="s" s="7">
        <v>256</v>
      </c>
      <c r="P5" t="s" s="7">
        <v>257</v>
      </c>
      <c r="Q5" t="s" s="7">
        <v>258</v>
      </c>
      <c r="R5" t="s" s="7">
        <v>259</v>
      </c>
      <c r="S5" t="s" s="7">
        <v>260</v>
      </c>
      <c r="T5" t="s" s="7">
        <v>261</v>
      </c>
      <c r="U5" t="s" s="7">
        <v>262</v>
      </c>
      <c r="V5" t="s" s="7">
        <v>263</v>
      </c>
      <c r="W5" t="s" s="7">
        <v>264</v>
      </c>
      <c r="X5" t="s" s="7">
        <v>265</v>
      </c>
      <c r="Y5" t="s" s="7">
        <v>266</v>
      </c>
      <c r="Z5" t="s" s="7">
        <v>267</v>
      </c>
      <c r="AA5" t="s" s="7">
        <v>268</v>
      </c>
      <c r="AB5" t="s" s="7">
        <v>269</v>
      </c>
    </row>
    <row r="6">
      <c r="B6" t="s" s="73">
        <v>3</v>
      </c>
      <c r="C6" t="s" s="73">
        <v>160</v>
      </c>
      <c r="D6" t="s" s="73">
        <v>232</v>
      </c>
      <c r="E6" s="43">
        <v>2278037</v>
      </c>
      <c r="F6" s="43">
        <v>34666.5</v>
      </c>
      <c r="G6" s="52">
        <f>E6-F6</f>
        <v>2243370.5</v>
      </c>
      <c r="H6" s="43">
        <v>0</v>
      </c>
      <c r="I6" s="43">
        <v>0</v>
      </c>
      <c r="J6" s="43">
        <v>1371791.7</v>
      </c>
      <c r="K6" s="43">
        <v>0</v>
      </c>
      <c r="L6" s="43">
        <v>0</v>
      </c>
      <c r="M6" s="43">
        <v>34666.5</v>
      </c>
      <c r="N6" s="14">
        <f>IF($G6&gt;0,MIN(1,MAX(0,(H6-K6)/$G6)),0)</f>
        <v>0</v>
      </c>
      <c r="O6" s="14">
        <f>IF($G6&gt;0,MIN(1,MAX(0,(I6-L6)/$G6)),0)</f>
        <v>0</v>
      </c>
      <c r="P6" s="14">
        <f>IF($G6&gt;0,MIN(1,MAX(0,(J6-M6)/$G6)),0)</f>
        <v>0.5960340478757298</v>
      </c>
      <c r="Q6" s="68">
        <v>0</v>
      </c>
      <c r="R6" s="68">
        <v>0</v>
      </c>
      <c r="S6" s="68">
        <v>1</v>
      </c>
      <c r="T6" s="43">
        <v>1427</v>
      </c>
      <c r="U6" s="43">
        <v>621</v>
      </c>
      <c r="V6" s="44">
        <v>51354300</v>
      </c>
      <c r="W6" s="43">
        <v>842</v>
      </c>
      <c r="X6" s="43">
        <v>16</v>
      </c>
      <c r="Y6" s="44">
        <v>97023</v>
      </c>
      <c r="Z6" s="52">
        <f>N6*$T6</f>
        <v>0</v>
      </c>
      <c r="AA6" s="52">
        <f>O6*$T6</f>
        <v>0</v>
      </c>
      <c r="AB6" s="52">
        <f>P6*$T6</f>
        <v>850.5405863186664</v>
      </c>
    </row>
    <row r="7">
      <c r="B7" t="s" s="73">
        <v>4</v>
      </c>
      <c r="C7" t="s" s="73">
        <v>160</v>
      </c>
      <c r="D7" t="s" s="73">
        <v>232</v>
      </c>
      <c r="E7" s="43">
        <v>632113.9</v>
      </c>
      <c r="F7" s="43">
        <v>0</v>
      </c>
      <c r="G7" s="52">
        <f>E7-F7</f>
        <v>632113.9</v>
      </c>
      <c r="H7" s="43">
        <v>0</v>
      </c>
      <c r="I7" s="43">
        <v>0</v>
      </c>
      <c r="J7" s="43">
        <v>41278.1</v>
      </c>
      <c r="K7" s="43">
        <v>0</v>
      </c>
      <c r="L7" s="43">
        <v>0</v>
      </c>
      <c r="M7" s="43">
        <v>0</v>
      </c>
      <c r="N7" s="14">
        <f>IF($G7&gt;0,MIN(1,MAX(0,(H7-K7)/$G7)),0)</f>
        <v>0</v>
      </c>
      <c r="O7" s="14">
        <f>IF($G7&gt;0,MIN(1,MAX(0,(I7-L7)/$G7)),0)</f>
        <v>0</v>
      </c>
      <c r="P7" s="14">
        <f>IF($G7&gt;0,MIN(1,MAX(0,(J7-M7)/$G7)),0)</f>
        <v>0.06530168059901863</v>
      </c>
      <c r="Q7" s="68">
        <v>0</v>
      </c>
      <c r="R7" s="68">
        <v>0</v>
      </c>
      <c r="S7" s="68">
        <v>0</v>
      </c>
      <c r="T7" s="43">
        <v>2279</v>
      </c>
      <c r="U7" s="43">
        <v>628</v>
      </c>
      <c r="V7" s="44">
        <v>70488200</v>
      </c>
      <c r="W7" s="43">
        <v>1162</v>
      </c>
      <c r="X7" s="43">
        <v>36</v>
      </c>
      <c r="Y7" s="44">
        <v>97023</v>
      </c>
      <c r="Z7" s="52">
        <f>N7*$T7</f>
        <v>0</v>
      </c>
      <c r="AA7" s="52">
        <f>O7*$T7</f>
        <v>0</v>
      </c>
      <c r="AB7" s="52">
        <f>P7*$T7</f>
        <v>148.82253008516346</v>
      </c>
    </row>
    <row r="8">
      <c r="B8" t="s" s="73">
        <v>5</v>
      </c>
      <c r="C8" t="s" s="73">
        <v>161</v>
      </c>
      <c r="D8" t="s" s="73">
        <v>233</v>
      </c>
      <c r="E8" s="43">
        <v>2397314.4</v>
      </c>
      <c r="F8" s="43">
        <v>0</v>
      </c>
      <c r="G8" s="52">
        <f>E8-F8</f>
        <v>2397314.4</v>
      </c>
      <c r="H8" s="43">
        <v>0</v>
      </c>
      <c r="I8" s="43">
        <v>26915.5</v>
      </c>
      <c r="J8" s="43">
        <v>2036324.4</v>
      </c>
      <c r="K8" s="43">
        <v>0</v>
      </c>
      <c r="L8" s="43">
        <v>0</v>
      </c>
      <c r="M8" s="43">
        <v>0</v>
      </c>
      <c r="N8" s="14">
        <f>IF($G8&gt;0,MIN(1,MAX(0,(H8-K8)/$G8)),0)</f>
        <v>0</v>
      </c>
      <c r="O8" s="14">
        <f>IF($G8&gt;0,MIN(1,MAX(0,(I8-L8)/$G8)),0)</f>
        <v>0.011227355076997828</v>
      </c>
      <c r="P8" s="14">
        <f>IF($G8&gt;0,MIN(1,MAX(0,(J8-M8)/$G8)),0)</f>
        <v>0.8494189998608442</v>
      </c>
      <c r="Q8" s="68">
        <v>0</v>
      </c>
      <c r="R8" s="68">
        <v>0</v>
      </c>
      <c r="S8" s="68">
        <v>1</v>
      </c>
      <c r="T8" s="43">
        <v>2935</v>
      </c>
      <c r="U8" s="43">
        <v>1223</v>
      </c>
      <c r="V8" s="44">
        <v>89441200</v>
      </c>
      <c r="W8" s="43">
        <v>1427</v>
      </c>
      <c r="X8" s="43">
        <v>23</v>
      </c>
      <c r="Y8" s="44">
        <v>55700</v>
      </c>
      <c r="Z8" s="52">
        <f>N8*$T8</f>
        <v>0</v>
      </c>
      <c r="AA8" s="52">
        <f>O8*$T8</f>
        <v>32.952287150988624</v>
      </c>
      <c r="AB8" s="52">
        <f>P8*$T8</f>
        <v>2493.044764591578</v>
      </c>
    </row>
    <row r="9">
      <c r="B9" t="s" s="73">
        <v>6</v>
      </c>
      <c r="C9" t="s" s="73">
        <v>161</v>
      </c>
      <c r="D9" t="s" s="73">
        <v>232</v>
      </c>
      <c r="E9" s="43">
        <v>2249528.7</v>
      </c>
      <c r="F9" s="43">
        <v>55011.8</v>
      </c>
      <c r="G9" s="52">
        <f>E9-F9</f>
        <v>2194516.9000000004</v>
      </c>
      <c r="H9" s="43">
        <v>0</v>
      </c>
      <c r="I9" s="43">
        <v>0</v>
      </c>
      <c r="J9" s="43">
        <v>1808898.9</v>
      </c>
      <c r="K9" s="43">
        <v>0</v>
      </c>
      <c r="L9" s="43">
        <v>0</v>
      </c>
      <c r="M9" s="43">
        <v>55011.8</v>
      </c>
      <c r="N9" s="14">
        <f>IF($G9&gt;0,MIN(1,MAX(0,(H9-K9)/$G9)),0)</f>
        <v>0</v>
      </c>
      <c r="O9" s="14">
        <f>IF($G9&gt;0,MIN(1,MAX(0,(I9-L9)/$G9)),0)</f>
        <v>0</v>
      </c>
      <c r="P9" s="14">
        <f>IF($G9&gt;0,MIN(1,MAX(0,(J9-M9)/$G9)),0)</f>
        <v>0.7992133029369697</v>
      </c>
      <c r="Q9" s="68">
        <v>0</v>
      </c>
      <c r="R9" s="68">
        <v>0</v>
      </c>
      <c r="S9" s="68">
        <v>1</v>
      </c>
      <c r="T9" s="43">
        <v>1619</v>
      </c>
      <c r="U9" s="43">
        <v>641</v>
      </c>
      <c r="V9" s="44">
        <v>81817200</v>
      </c>
      <c r="W9" s="43">
        <v>816</v>
      </c>
      <c r="X9" s="43">
        <v>2</v>
      </c>
      <c r="Y9" s="44">
        <v>55700</v>
      </c>
      <c r="Z9" s="52">
        <f>N9*$T9</f>
        <v>0</v>
      </c>
      <c r="AA9" s="52">
        <f>O9*$T9</f>
        <v>0</v>
      </c>
      <c r="AB9" s="52">
        <f>P9*$T9</f>
        <v>1293.926337454954</v>
      </c>
    </row>
    <row r="10">
      <c r="B10" t="s" s="73">
        <v>7</v>
      </c>
      <c r="C10" t="s" s="73">
        <v>162</v>
      </c>
      <c r="D10" t="s" s="73">
        <v>232</v>
      </c>
      <c r="E10" s="43">
        <v>22605867.7</v>
      </c>
      <c r="F10" s="43">
        <v>212268.7</v>
      </c>
      <c r="G10" s="52">
        <f>E10-F10</f>
        <v>22393599</v>
      </c>
      <c r="H10" s="43">
        <v>0</v>
      </c>
      <c r="I10" s="43">
        <v>172731.8</v>
      </c>
      <c r="J10" s="43">
        <v>6470875.1</v>
      </c>
      <c r="K10" s="43">
        <v>0</v>
      </c>
      <c r="L10" s="43">
        <v>0</v>
      </c>
      <c r="M10" s="43">
        <v>188054.8</v>
      </c>
      <c r="N10" s="14">
        <f>IF($G10&gt;0,MIN(1,MAX(0,(H10-K10)/$G10)),0)</f>
        <v>0</v>
      </c>
      <c r="O10" s="14">
        <f>IF($G10&gt;0,MIN(1,MAX(0,(I10-L10)/$G10)),0)</f>
        <v>0.007713445257280886</v>
      </c>
      <c r="P10" s="14">
        <f>IF($G10&gt;0,MIN(1,MAX(0,(J10-M10)/$G10)),0)</f>
        <v>0.28056322255301613</v>
      </c>
      <c r="Q10" s="68">
        <v>0</v>
      </c>
      <c r="R10" s="68">
        <v>0</v>
      </c>
      <c r="S10" s="68">
        <v>0</v>
      </c>
      <c r="T10" s="43">
        <v>3907</v>
      </c>
      <c r="U10" s="43">
        <v>2005</v>
      </c>
      <c r="V10" s="44">
        <v>266930800</v>
      </c>
      <c r="W10" s="43">
        <v>2824</v>
      </c>
      <c r="X10" s="43">
        <v>5</v>
      </c>
      <c r="Y10" s="44">
        <v>112917</v>
      </c>
      <c r="Z10" s="52">
        <f>N10*$T10</f>
        <v>0</v>
      </c>
      <c r="AA10" s="52">
        <f>O10*$T10</f>
        <v>30.13643062019642</v>
      </c>
      <c r="AB10" s="52">
        <f>P10*$T10</f>
        <v>1096.160510514634</v>
      </c>
    </row>
    <row r="11">
      <c r="B11" t="s" s="73">
        <v>8</v>
      </c>
      <c r="C11" t="s" s="73">
        <v>163</v>
      </c>
      <c r="D11" t="s" s="73">
        <v>234</v>
      </c>
      <c r="E11" s="43">
        <v>937154.8</v>
      </c>
      <c r="F11" s="43">
        <v>0</v>
      </c>
      <c r="G11" s="52">
        <f>E11-F11</f>
        <v>937154.8</v>
      </c>
      <c r="H11" s="43">
        <v>0</v>
      </c>
      <c r="I11" s="43">
        <v>435195.4</v>
      </c>
      <c r="J11" s="43">
        <v>937154.8</v>
      </c>
      <c r="K11" s="43">
        <v>0</v>
      </c>
      <c r="L11" s="43">
        <v>0</v>
      </c>
      <c r="M11" s="43">
        <v>0</v>
      </c>
      <c r="N11" s="14">
        <f>IF($G11&gt;0,MIN(1,MAX(0,(H11-K11)/$G11)),0)</f>
        <v>0</v>
      </c>
      <c r="O11" s="14">
        <f>IF($G11&gt;0,MIN(1,MAX(0,(I11-L11)/$G11)),0)</f>
        <v>0.46437941735986416</v>
      </c>
      <c r="P11" s="14">
        <f>IF($G11&gt;0,MIN(1,MAX(0,(J11-M11)/$G11)),0)</f>
        <v>1</v>
      </c>
      <c r="Q11" s="68">
        <v>0</v>
      </c>
      <c r="R11" s="68">
        <v>0</v>
      </c>
      <c r="S11" s="68">
        <v>1</v>
      </c>
      <c r="T11" s="43">
        <v>1584</v>
      </c>
      <c r="U11" s="43">
        <v>614</v>
      </c>
      <c r="V11" s="44">
        <v>85969100</v>
      </c>
      <c r="W11" s="43">
        <v>948</v>
      </c>
      <c r="X11" s="43">
        <v>53</v>
      </c>
      <c r="Y11" s="44">
        <v>132385</v>
      </c>
      <c r="Z11" s="52">
        <f>N11*$T11</f>
        <v>0</v>
      </c>
      <c r="AA11" s="52">
        <f>O11*$T11</f>
        <v>735.5769970980248</v>
      </c>
      <c r="AB11" s="52">
        <f>P11*$T11</f>
        <v>1584</v>
      </c>
    </row>
    <row r="12">
      <c r="B12" t="s" s="73">
        <v>9</v>
      </c>
      <c r="C12" t="s" s="73">
        <v>163</v>
      </c>
      <c r="D12" t="s" s="73">
        <v>234</v>
      </c>
      <c r="E12" s="43">
        <v>702893</v>
      </c>
      <c r="F12" s="43">
        <v>4671.5</v>
      </c>
      <c r="G12" s="52">
        <f>E12-F12</f>
        <v>698221.5</v>
      </c>
      <c r="H12" s="43">
        <v>0</v>
      </c>
      <c r="I12" s="43">
        <v>193425.2</v>
      </c>
      <c r="J12" s="43">
        <v>702893</v>
      </c>
      <c r="K12" s="43">
        <v>0</v>
      </c>
      <c r="L12" s="43">
        <v>0</v>
      </c>
      <c r="M12" s="43">
        <v>4671.5</v>
      </c>
      <c r="N12" s="14">
        <f>IF($G12&gt;0,MIN(1,MAX(0,(H12-K12)/$G12)),0)</f>
        <v>0</v>
      </c>
      <c r="O12" s="14">
        <f>IF($G12&gt;0,MIN(1,MAX(0,(I12-L12)/$G12)),0)</f>
        <v>0.27702555707608545</v>
      </c>
      <c r="P12" s="14">
        <f>IF($G12&gt;0,MIN(1,MAX(0,(J12-M12)/$G12)),0)</f>
        <v>1</v>
      </c>
      <c r="Q12" s="68">
        <v>0</v>
      </c>
      <c r="R12" s="68">
        <v>0</v>
      </c>
      <c r="S12" s="68">
        <v>1</v>
      </c>
      <c r="T12" s="43">
        <v>1068</v>
      </c>
      <c r="U12" s="43">
        <v>408</v>
      </c>
      <c r="V12" s="44">
        <v>74358500</v>
      </c>
      <c r="W12" s="43">
        <v>625</v>
      </c>
      <c r="X12" s="43">
        <v>9</v>
      </c>
      <c r="Y12" s="44">
        <v>132385</v>
      </c>
      <c r="Z12" s="52">
        <f>N12*$T12</f>
        <v>0</v>
      </c>
      <c r="AA12" s="52">
        <f>O12*$T12</f>
        <v>295.86329495725926</v>
      </c>
      <c r="AB12" s="52">
        <f>P12*$T12</f>
        <v>1068</v>
      </c>
    </row>
    <row r="13">
      <c r="B13" t="s" s="73">
        <v>10</v>
      </c>
      <c r="C13" t="s" s="73">
        <v>163</v>
      </c>
      <c r="D13" t="s" s="73">
        <v>234</v>
      </c>
      <c r="E13" s="43">
        <v>1678329.5</v>
      </c>
      <c r="F13" s="43">
        <v>0</v>
      </c>
      <c r="G13" s="52">
        <f>E13-F13</f>
        <v>1678329.5</v>
      </c>
      <c r="H13" s="43">
        <v>0</v>
      </c>
      <c r="I13" s="43">
        <v>0</v>
      </c>
      <c r="J13" s="43">
        <v>1678329.5</v>
      </c>
      <c r="K13" s="43">
        <v>0</v>
      </c>
      <c r="L13" s="43">
        <v>0</v>
      </c>
      <c r="M13" s="43">
        <v>0</v>
      </c>
      <c r="N13" s="14">
        <f>IF($G13&gt;0,MIN(1,MAX(0,(H13-K13)/$G13)),0)</f>
        <v>0</v>
      </c>
      <c r="O13" s="14">
        <f>IF($G13&gt;0,MIN(1,MAX(0,(I13-L13)/$G13)),0)</f>
        <v>0</v>
      </c>
      <c r="P13" s="14">
        <f>IF($G13&gt;0,MIN(1,MAX(0,(J13-M13)/$G13)),0)</f>
        <v>1</v>
      </c>
      <c r="Q13" s="68">
        <v>0</v>
      </c>
      <c r="R13" s="68">
        <v>0</v>
      </c>
      <c r="S13" s="68">
        <v>1</v>
      </c>
      <c r="T13" s="43">
        <v>1318</v>
      </c>
      <c r="U13" s="43">
        <v>602</v>
      </c>
      <c r="V13" s="44">
        <v>143900300</v>
      </c>
      <c r="W13" s="43">
        <v>837</v>
      </c>
      <c r="X13" s="43">
        <v>10</v>
      </c>
      <c r="Y13" s="44">
        <v>132385</v>
      </c>
      <c r="Z13" s="52">
        <f>N13*$T13</f>
        <v>0</v>
      </c>
      <c r="AA13" s="52">
        <f>O13*$T13</f>
        <v>0</v>
      </c>
      <c r="AB13" s="52">
        <f>P13*$T13</f>
        <v>1318</v>
      </c>
    </row>
    <row r="14">
      <c r="B14" t="s" s="73">
        <v>11</v>
      </c>
      <c r="C14" t="s" s="73">
        <v>164</v>
      </c>
      <c r="D14" t="s" s="73">
        <v>234</v>
      </c>
      <c r="E14" s="43">
        <v>930471.7</v>
      </c>
      <c r="F14" s="43">
        <v>0</v>
      </c>
      <c r="G14" s="52">
        <f>E14-F14</f>
        <v>930471.7</v>
      </c>
      <c r="H14" s="43">
        <v>0</v>
      </c>
      <c r="I14" s="43">
        <v>0</v>
      </c>
      <c r="J14" s="43">
        <v>930471.7</v>
      </c>
      <c r="K14" s="43">
        <v>0</v>
      </c>
      <c r="L14" s="43">
        <v>0</v>
      </c>
      <c r="M14" s="43">
        <v>0</v>
      </c>
      <c r="N14" s="14">
        <f>IF($G14&gt;0,MIN(1,MAX(0,(H14-K14)/$G14)),0)</f>
        <v>0</v>
      </c>
      <c r="O14" s="14">
        <f>IF($G14&gt;0,MIN(1,MAX(0,(I14-L14)/$G14)),0)</f>
        <v>0</v>
      </c>
      <c r="P14" s="14">
        <f>IF($G14&gt;0,MIN(1,MAX(0,(J14-M14)/$G14)),0)</f>
        <v>1</v>
      </c>
      <c r="Q14" s="68">
        <v>0</v>
      </c>
      <c r="R14" s="68">
        <v>0</v>
      </c>
      <c r="S14" s="68">
        <v>1</v>
      </c>
      <c r="T14" s="43">
        <v>1668</v>
      </c>
      <c r="U14" s="43">
        <v>536</v>
      </c>
      <c r="V14" s="44">
        <v>158239400</v>
      </c>
      <c r="W14" s="43">
        <v>916</v>
      </c>
      <c r="X14" s="43">
        <v>38</v>
      </c>
      <c r="Y14" s="44">
        <v>173561</v>
      </c>
      <c r="Z14" s="52">
        <f>N14*$T14</f>
        <v>0</v>
      </c>
      <c r="AA14" s="52">
        <f>O14*$T14</f>
        <v>0</v>
      </c>
      <c r="AB14" s="52">
        <f>P14*$T14</f>
        <v>1668</v>
      </c>
    </row>
    <row r="15">
      <c r="B15" t="s" s="73">
        <v>12</v>
      </c>
      <c r="C15" t="s" s="73">
        <v>164</v>
      </c>
      <c r="D15" t="s" s="73">
        <v>234</v>
      </c>
      <c r="E15" s="43">
        <v>1064071.8</v>
      </c>
      <c r="F15" s="43">
        <v>0</v>
      </c>
      <c r="G15" s="52">
        <f>E15-F15</f>
        <v>1064071.8</v>
      </c>
      <c r="H15" s="43">
        <v>0</v>
      </c>
      <c r="I15" s="43">
        <v>174240.5</v>
      </c>
      <c r="J15" s="43">
        <v>1064071.8</v>
      </c>
      <c r="K15" s="43">
        <v>0</v>
      </c>
      <c r="L15" s="43">
        <v>0</v>
      </c>
      <c r="M15" s="43">
        <v>0</v>
      </c>
      <c r="N15" s="14">
        <f>IF($G15&gt;0,MIN(1,MAX(0,(H15-K15)/$G15)),0)</f>
        <v>0</v>
      </c>
      <c r="O15" s="14">
        <f>IF($G15&gt;0,MIN(1,MAX(0,(I15-L15)/$G15)),0)</f>
        <v>0.1637488184537923</v>
      </c>
      <c r="P15" s="14">
        <f>IF($G15&gt;0,MIN(1,MAX(0,(J15-M15)/$G15)),0)</f>
        <v>1</v>
      </c>
      <c r="Q15" s="68">
        <v>0</v>
      </c>
      <c r="R15" s="68">
        <v>0</v>
      </c>
      <c r="S15" s="68">
        <v>1</v>
      </c>
      <c r="T15" s="43">
        <v>1860</v>
      </c>
      <c r="U15" s="43">
        <v>681</v>
      </c>
      <c r="V15" s="44">
        <v>99413400</v>
      </c>
      <c r="W15" s="43">
        <v>888</v>
      </c>
      <c r="X15" s="43">
        <v>34</v>
      </c>
      <c r="Y15" s="44">
        <v>173561</v>
      </c>
      <c r="Z15" s="52">
        <f>N15*$T15</f>
        <v>0</v>
      </c>
      <c r="AA15" s="52">
        <f>O15*$T15</f>
        <v>304.57280232405367</v>
      </c>
      <c r="AB15" s="52">
        <f>P15*$T15</f>
        <v>1860</v>
      </c>
    </row>
    <row r="16">
      <c r="B16" t="s" s="73">
        <v>13</v>
      </c>
      <c r="C16" t="s" s="73">
        <v>164</v>
      </c>
      <c r="D16" t="s" s="73">
        <v>234</v>
      </c>
      <c r="E16" s="43">
        <v>1093285.8</v>
      </c>
      <c r="F16" s="43">
        <v>0</v>
      </c>
      <c r="G16" s="52">
        <f>E16-F16</f>
        <v>1093285.8</v>
      </c>
      <c r="H16" s="43">
        <v>0</v>
      </c>
      <c r="I16" s="43">
        <v>230334.1</v>
      </c>
      <c r="J16" s="43">
        <v>1093285.8</v>
      </c>
      <c r="K16" s="43">
        <v>0</v>
      </c>
      <c r="L16" s="43">
        <v>0</v>
      </c>
      <c r="M16" s="43">
        <v>0</v>
      </c>
      <c r="N16" s="14">
        <f>IF($G16&gt;0,MIN(1,MAX(0,(H16-K16)/$G16)),0)</f>
        <v>0</v>
      </c>
      <c r="O16" s="14">
        <f>IF($G16&gt;0,MIN(1,MAX(0,(I16-L16)/$G16)),0)</f>
        <v>0.21068059239404738</v>
      </c>
      <c r="P16" s="14">
        <f>IF($G16&gt;0,MIN(1,MAX(0,(J16-M16)/$G16)),0)</f>
        <v>1</v>
      </c>
      <c r="Q16" s="68">
        <v>0</v>
      </c>
      <c r="R16" s="68">
        <v>0</v>
      </c>
      <c r="S16" s="68">
        <v>1</v>
      </c>
      <c r="T16" s="43">
        <v>1717</v>
      </c>
      <c r="U16" s="43">
        <v>609</v>
      </c>
      <c r="V16" s="44">
        <v>125297500</v>
      </c>
      <c r="W16" s="43">
        <v>833</v>
      </c>
      <c r="X16" s="43">
        <v>0</v>
      </c>
      <c r="Y16" s="44">
        <v>173561</v>
      </c>
      <c r="Z16" s="52">
        <f>N16*$T16</f>
        <v>0</v>
      </c>
      <c r="AA16" s="52">
        <f>O16*$T16</f>
        <v>361.73857714057937</v>
      </c>
      <c r="AB16" s="52">
        <f>P16*$T16</f>
        <v>1717</v>
      </c>
    </row>
    <row r="17">
      <c r="B17" t="s" s="73">
        <v>14</v>
      </c>
      <c r="C17" t="s" s="73">
        <v>165</v>
      </c>
      <c r="D17" t="s" s="73">
        <v>234</v>
      </c>
      <c r="E17" s="43">
        <v>333014.4</v>
      </c>
      <c r="F17" s="43">
        <v>0</v>
      </c>
      <c r="G17" s="52">
        <f>E17-F17</f>
        <v>333014.4</v>
      </c>
      <c r="H17" s="43">
        <v>0</v>
      </c>
      <c r="I17" s="43">
        <v>0</v>
      </c>
      <c r="J17" s="43">
        <v>333014.4</v>
      </c>
      <c r="K17" s="43">
        <v>0</v>
      </c>
      <c r="L17" s="43">
        <v>0</v>
      </c>
      <c r="M17" s="43">
        <v>0</v>
      </c>
      <c r="N17" s="14">
        <f>IF($G17&gt;0,MIN(1,MAX(0,(H17-K17)/$G17)),0)</f>
        <v>0</v>
      </c>
      <c r="O17" s="14">
        <f>IF($G17&gt;0,MIN(1,MAX(0,(I17-L17)/$G17)),0)</f>
        <v>0</v>
      </c>
      <c r="P17" s="14">
        <f>IF($G17&gt;0,MIN(1,MAX(0,(J17-M17)/$G17)),0)</f>
        <v>1</v>
      </c>
      <c r="Q17" s="68">
        <v>0</v>
      </c>
      <c r="R17" s="68">
        <v>0</v>
      </c>
      <c r="S17" s="68">
        <v>1</v>
      </c>
      <c r="T17" s="43">
        <v>703</v>
      </c>
      <c r="U17" s="43">
        <v>445</v>
      </c>
      <c r="V17" s="44">
        <v>41227400</v>
      </c>
      <c r="W17" s="43">
        <v>354</v>
      </c>
      <c r="X17" s="43">
        <v>0</v>
      </c>
      <c r="Y17" s="44">
        <v>96302</v>
      </c>
      <c r="Z17" s="52">
        <f>N17*$T17</f>
        <v>0</v>
      </c>
      <c r="AA17" s="52">
        <f>O17*$T17</f>
        <v>0</v>
      </c>
      <c r="AB17" s="52">
        <f>P17*$T17</f>
        <v>703</v>
      </c>
    </row>
    <row r="18">
      <c r="B18" t="s" s="73">
        <v>15</v>
      </c>
      <c r="C18" t="s" s="73">
        <v>165</v>
      </c>
      <c r="D18" t="s" s="73">
        <v>234</v>
      </c>
      <c r="E18" s="43">
        <v>901647.1</v>
      </c>
      <c r="F18" s="43">
        <v>39164.8</v>
      </c>
      <c r="G18" s="52">
        <f>E18-F18</f>
        <v>862482.2999999999</v>
      </c>
      <c r="H18" s="43">
        <v>0</v>
      </c>
      <c r="I18" s="43">
        <v>0</v>
      </c>
      <c r="J18" s="43">
        <v>901647.1</v>
      </c>
      <c r="K18" s="43">
        <v>0</v>
      </c>
      <c r="L18" s="43">
        <v>0</v>
      </c>
      <c r="M18" s="43">
        <v>39164.8</v>
      </c>
      <c r="N18" s="14">
        <f>IF($G18&gt;0,MIN(1,MAX(0,(H18-K18)/$G18)),0)</f>
        <v>0</v>
      </c>
      <c r="O18" s="14">
        <f>IF($G18&gt;0,MIN(1,MAX(0,(I18-L18)/$G18)),0)</f>
        <v>0</v>
      </c>
      <c r="P18" s="14">
        <f>IF($G18&gt;0,MIN(1,MAX(0,(J18-M18)/$G18)),0)</f>
        <v>1</v>
      </c>
      <c r="Q18" s="68">
        <v>0</v>
      </c>
      <c r="R18" s="68">
        <v>0</v>
      </c>
      <c r="S18" s="68">
        <v>1</v>
      </c>
      <c r="T18" s="43">
        <v>1038</v>
      </c>
      <c r="U18" s="43">
        <v>584</v>
      </c>
      <c r="V18" s="44">
        <v>58159500</v>
      </c>
      <c r="W18" s="43">
        <v>676</v>
      </c>
      <c r="X18" s="43">
        <v>11</v>
      </c>
      <c r="Y18" s="44">
        <v>96302</v>
      </c>
      <c r="Z18" s="52">
        <f>N18*$T18</f>
        <v>0</v>
      </c>
      <c r="AA18" s="52">
        <f>O18*$T18</f>
        <v>0</v>
      </c>
      <c r="AB18" s="52">
        <f>P18*$T18</f>
        <v>1038</v>
      </c>
    </row>
    <row r="19">
      <c r="B19" t="s" s="73">
        <v>16</v>
      </c>
      <c r="C19" t="s" s="73">
        <v>165</v>
      </c>
      <c r="D19" t="s" s="73">
        <v>234</v>
      </c>
      <c r="E19" s="43">
        <v>1537601.8</v>
      </c>
      <c r="F19" s="43">
        <v>94022.3</v>
      </c>
      <c r="G19" s="52">
        <f>E19-F19</f>
        <v>1443579.5</v>
      </c>
      <c r="H19" s="43">
        <v>0</v>
      </c>
      <c r="I19" s="43">
        <v>0</v>
      </c>
      <c r="J19" s="43">
        <v>826806.5</v>
      </c>
      <c r="K19" s="43">
        <v>0</v>
      </c>
      <c r="L19" s="43">
        <v>0</v>
      </c>
      <c r="M19" s="43">
        <v>29160.9</v>
      </c>
      <c r="N19" s="14">
        <f>IF($G19&gt;0,MIN(1,MAX(0,(H19-K19)/$G19)),0)</f>
        <v>0</v>
      </c>
      <c r="O19" s="14">
        <f>IF($G19&gt;0,MIN(1,MAX(0,(I19-L19)/$G19)),0)</f>
        <v>0</v>
      </c>
      <c r="P19" s="14">
        <f>IF($G19&gt;0,MIN(1,MAX(0,(J19-M19)/$G19)),0)</f>
        <v>0.5525470540417067</v>
      </c>
      <c r="Q19" s="68">
        <v>0</v>
      </c>
      <c r="R19" s="68">
        <v>0</v>
      </c>
      <c r="S19" s="68">
        <v>0</v>
      </c>
      <c r="T19" s="43">
        <v>1319</v>
      </c>
      <c r="U19" s="43">
        <v>668</v>
      </c>
      <c r="V19" s="44">
        <v>66491400</v>
      </c>
      <c r="W19" s="43">
        <v>1055</v>
      </c>
      <c r="X19" s="43">
        <v>0</v>
      </c>
      <c r="Y19" s="44">
        <v>96302</v>
      </c>
      <c r="Z19" s="52">
        <f>N19*$T19</f>
        <v>0</v>
      </c>
      <c r="AA19" s="52">
        <f>O19*$T19</f>
        <v>0</v>
      </c>
      <c r="AB19" s="52">
        <f>P19*$T19</f>
        <v>728.8095642810111</v>
      </c>
    </row>
    <row r="20">
      <c r="B20" t="s" s="73">
        <v>17</v>
      </c>
      <c r="C20" t="s" s="73">
        <v>165</v>
      </c>
      <c r="D20" t="s" s="73">
        <v>234</v>
      </c>
      <c r="E20" s="43">
        <v>1243059.9</v>
      </c>
      <c r="F20" s="43">
        <v>72707.2</v>
      </c>
      <c r="G20" s="52">
        <f>E20-F20</f>
        <v>1170352.7</v>
      </c>
      <c r="H20" s="43">
        <v>0</v>
      </c>
      <c r="I20" s="43">
        <v>0</v>
      </c>
      <c r="J20" s="43">
        <v>1243059.9</v>
      </c>
      <c r="K20" s="43">
        <v>0</v>
      </c>
      <c r="L20" s="43">
        <v>0</v>
      </c>
      <c r="M20" s="43">
        <v>72707.2</v>
      </c>
      <c r="N20" s="14">
        <f>IF($G20&gt;0,MIN(1,MAX(0,(H20-K20)/$G20)),0)</f>
        <v>0</v>
      </c>
      <c r="O20" s="14">
        <f>IF($G20&gt;0,MIN(1,MAX(0,(I20-L20)/$G20)),0)</f>
        <v>0</v>
      </c>
      <c r="P20" s="14">
        <f>IF($G20&gt;0,MIN(1,MAX(0,(J20-M20)/$G20)),0)</f>
        <v>1</v>
      </c>
      <c r="Q20" s="68">
        <v>0</v>
      </c>
      <c r="R20" s="68">
        <v>0</v>
      </c>
      <c r="S20" s="68">
        <v>1</v>
      </c>
      <c r="T20" s="43">
        <v>2070</v>
      </c>
      <c r="U20" s="43">
        <v>934</v>
      </c>
      <c r="V20" s="44">
        <v>108390000</v>
      </c>
      <c r="W20" s="43">
        <v>1210</v>
      </c>
      <c r="X20" s="43">
        <v>30</v>
      </c>
      <c r="Y20" s="44">
        <v>96302</v>
      </c>
      <c r="Z20" s="52">
        <f>N20*$T20</f>
        <v>0</v>
      </c>
      <c r="AA20" s="52">
        <f>O20*$T20</f>
        <v>0</v>
      </c>
      <c r="AB20" s="52">
        <f>P20*$T20</f>
        <v>2070</v>
      </c>
    </row>
    <row r="21">
      <c r="B21" t="s" s="73">
        <v>18</v>
      </c>
      <c r="C21" t="s" s="73">
        <v>166</v>
      </c>
      <c r="D21" t="s" s="73">
        <v>234</v>
      </c>
      <c r="E21" s="43">
        <v>5630456.4</v>
      </c>
      <c r="F21" s="43">
        <v>749859.5</v>
      </c>
      <c r="G21" s="52">
        <f>E21-F21</f>
        <v>4880596.9</v>
      </c>
      <c r="H21" s="43">
        <v>0</v>
      </c>
      <c r="I21" s="43">
        <v>3710432.5</v>
      </c>
      <c r="J21" s="43">
        <v>5630456.4</v>
      </c>
      <c r="K21" s="43">
        <v>0</v>
      </c>
      <c r="L21" s="43">
        <v>497397.9</v>
      </c>
      <c r="M21" s="43">
        <v>749859.5</v>
      </c>
      <c r="N21" s="14">
        <f>IF($G21&gt;0,MIN(1,MAX(0,(H21-K21)/$G21)),0)</f>
        <v>0</v>
      </c>
      <c r="O21" s="14">
        <f>IF($G21&gt;0,MIN(1,MAX(0,(I21-L21)/$G21)),0)</f>
        <v>0.6583282057159853</v>
      </c>
      <c r="P21" s="14">
        <f>IF($G21&gt;0,MIN(1,MAX(0,(J21-M21)/$G21)),0)</f>
        <v>1</v>
      </c>
      <c r="Q21" s="68">
        <v>0</v>
      </c>
      <c r="R21" s="68">
        <v>1</v>
      </c>
      <c r="S21" s="68">
        <v>1</v>
      </c>
      <c r="T21" s="43">
        <v>2416</v>
      </c>
      <c r="U21" s="43">
        <v>722</v>
      </c>
      <c r="V21" s="44">
        <v>191748400</v>
      </c>
      <c r="W21" s="43">
        <v>1160</v>
      </c>
      <c r="X21" s="43">
        <v>18</v>
      </c>
      <c r="Y21" s="44">
        <v>180132</v>
      </c>
      <c r="Z21" s="52">
        <f>N21*$T21</f>
        <v>0</v>
      </c>
      <c r="AA21" s="52">
        <f>O21*$T21</f>
        <v>1590.5209450098205</v>
      </c>
      <c r="AB21" s="52">
        <f>P21*$T21</f>
        <v>2416</v>
      </c>
    </row>
    <row r="22">
      <c r="B22" t="s" s="73">
        <v>19</v>
      </c>
      <c r="C22" t="s" s="73">
        <v>166</v>
      </c>
      <c r="D22" t="s" s="73">
        <v>234</v>
      </c>
      <c r="E22" s="43">
        <v>386573.4</v>
      </c>
      <c r="F22" s="43">
        <v>6873.7</v>
      </c>
      <c r="G22" s="52">
        <f>E22-F22</f>
        <v>379699.7</v>
      </c>
      <c r="H22" s="43">
        <v>0</v>
      </c>
      <c r="I22" s="43">
        <v>386573.4</v>
      </c>
      <c r="J22" s="43">
        <v>386573.4</v>
      </c>
      <c r="K22" s="43">
        <v>0</v>
      </c>
      <c r="L22" s="43">
        <v>6873.7</v>
      </c>
      <c r="M22" s="43">
        <v>6873.7</v>
      </c>
      <c r="N22" s="14">
        <f>IF($G22&gt;0,MIN(1,MAX(0,(H22-K22)/$G22)),0)</f>
        <v>0</v>
      </c>
      <c r="O22" s="14">
        <f>IF($G22&gt;0,MIN(1,MAX(0,(I22-L22)/$G22)),0)</f>
        <v>1</v>
      </c>
      <c r="P22" s="14">
        <f>IF($G22&gt;0,MIN(1,MAX(0,(J22-M22)/$G22)),0)</f>
        <v>1</v>
      </c>
      <c r="Q22" s="68">
        <v>0</v>
      </c>
      <c r="R22" s="68">
        <v>1</v>
      </c>
      <c r="S22" s="68">
        <v>1</v>
      </c>
      <c r="T22" s="43">
        <v>1482</v>
      </c>
      <c r="U22" s="43">
        <v>500</v>
      </c>
      <c r="V22" s="44">
        <v>98916300</v>
      </c>
      <c r="W22" s="43">
        <v>787</v>
      </c>
      <c r="X22" s="43">
        <v>7</v>
      </c>
      <c r="Y22" s="44">
        <v>180132</v>
      </c>
      <c r="Z22" s="52">
        <f>N22*$T22</f>
        <v>0</v>
      </c>
      <c r="AA22" s="52">
        <f>O22*$T22</f>
        <v>1482</v>
      </c>
      <c r="AB22" s="52">
        <f>P22*$T22</f>
        <v>1482</v>
      </c>
    </row>
    <row r="23">
      <c r="B23" t="s" s="73">
        <v>20</v>
      </c>
      <c r="C23" t="s" s="73">
        <v>166</v>
      </c>
      <c r="D23" t="s" s="73">
        <v>234</v>
      </c>
      <c r="E23" s="43">
        <v>1217155.3</v>
      </c>
      <c r="F23" s="43">
        <v>71788.5</v>
      </c>
      <c r="G23" s="52">
        <f>E23-F23</f>
        <v>1145366.8</v>
      </c>
      <c r="H23" s="43">
        <v>0</v>
      </c>
      <c r="I23" s="43">
        <v>1217140.4</v>
      </c>
      <c r="J23" s="43">
        <v>1217155.3</v>
      </c>
      <c r="K23" s="43">
        <v>0</v>
      </c>
      <c r="L23" s="43">
        <v>71788.5</v>
      </c>
      <c r="M23" s="43">
        <v>71788.5</v>
      </c>
      <c r="N23" s="14">
        <f>IF($G23&gt;0,MIN(1,MAX(0,(H23-K23)/$G23)),0)</f>
        <v>0</v>
      </c>
      <c r="O23" s="14">
        <f>IF($G23&gt;0,MIN(1,MAX(0,(I23-L23)/$G23)),0)</f>
        <v>0.9999869910669664</v>
      </c>
      <c r="P23" s="14">
        <f>IF($G23&gt;0,MIN(1,MAX(0,(J23-M23)/$G23)),0)</f>
        <v>1</v>
      </c>
      <c r="Q23" s="68">
        <v>0</v>
      </c>
      <c r="R23" s="68">
        <v>1</v>
      </c>
      <c r="S23" s="68">
        <v>1</v>
      </c>
      <c r="T23" s="43">
        <v>2345</v>
      </c>
      <c r="U23" s="43">
        <v>830</v>
      </c>
      <c r="V23" s="44">
        <v>210279500</v>
      </c>
      <c r="W23" s="43">
        <v>1049</v>
      </c>
      <c r="X23" s="43">
        <v>30</v>
      </c>
      <c r="Y23" s="44">
        <v>180132</v>
      </c>
      <c r="Z23" s="52">
        <f>N23*$T23</f>
        <v>0</v>
      </c>
      <c r="AA23" s="52">
        <f>O23*$T23</f>
        <v>2344.969494052036</v>
      </c>
      <c r="AB23" s="52">
        <f>P23*$T23</f>
        <v>2345</v>
      </c>
    </row>
    <row r="24">
      <c r="B24" t="s" s="73">
        <v>21</v>
      </c>
      <c r="C24" t="s" s="73">
        <v>167</v>
      </c>
      <c r="D24" t="s" s="73">
        <v>235</v>
      </c>
      <c r="E24" s="43">
        <v>2803289.1</v>
      </c>
      <c r="F24" s="43">
        <v>0</v>
      </c>
      <c r="G24" s="52">
        <f>E24-F24</f>
        <v>2803289.1</v>
      </c>
      <c r="H24" s="43">
        <v>0</v>
      </c>
      <c r="I24" s="43">
        <v>0</v>
      </c>
      <c r="J24" s="43">
        <v>65516.5</v>
      </c>
      <c r="K24" s="43">
        <v>0</v>
      </c>
      <c r="L24" s="43">
        <v>0</v>
      </c>
      <c r="M24" s="43">
        <v>0</v>
      </c>
      <c r="N24" s="14">
        <f>IF($G24&gt;0,MIN(1,MAX(0,(H24-K24)/$G24)),0)</f>
        <v>0</v>
      </c>
      <c r="O24" s="14">
        <f>IF($G24&gt;0,MIN(1,MAX(0,(I24-L24)/$G24)),0)</f>
        <v>0</v>
      </c>
      <c r="P24" s="14">
        <f>IF($G24&gt;0,MIN(1,MAX(0,(J24-M24)/$G24)),0)</f>
        <v>0.023371296239121393</v>
      </c>
      <c r="Q24" s="68">
        <v>0</v>
      </c>
      <c r="R24" s="68">
        <v>0</v>
      </c>
      <c r="S24" s="68">
        <v>0</v>
      </c>
      <c r="T24" s="43">
        <v>0</v>
      </c>
      <c r="U24" s="43">
        <v>0</v>
      </c>
      <c r="V24" s="53"/>
      <c r="W24" s="43">
        <v>0</v>
      </c>
      <c r="X24" s="43">
        <v>0</v>
      </c>
      <c r="Y24" s="44">
        <v>207708</v>
      </c>
      <c r="Z24" s="52">
        <f>N24*$T24</f>
        <v>0</v>
      </c>
      <c r="AA24" s="52">
        <f>O24*$T24</f>
        <v>0</v>
      </c>
      <c r="AB24" s="52">
        <f>P24*$T24</f>
        <v>0</v>
      </c>
    </row>
    <row r="25">
      <c r="B25" t="s" s="73">
        <v>22</v>
      </c>
      <c r="C25" t="s" s="73">
        <v>168</v>
      </c>
      <c r="D25" t="s" s="73">
        <v>234</v>
      </c>
      <c r="E25" s="43">
        <v>1254218.6</v>
      </c>
      <c r="F25" s="43">
        <v>0</v>
      </c>
      <c r="G25" s="52">
        <f>E25-F25</f>
        <v>1254218.6</v>
      </c>
      <c r="H25" s="43">
        <v>0</v>
      </c>
      <c r="I25" s="43">
        <v>150427.3</v>
      </c>
      <c r="J25" s="43">
        <v>1254218.6</v>
      </c>
      <c r="K25" s="43">
        <v>0</v>
      </c>
      <c r="L25" s="43">
        <v>0</v>
      </c>
      <c r="M25" s="43">
        <v>0</v>
      </c>
      <c r="N25" s="14">
        <f>IF($G25&gt;0,MIN(1,MAX(0,(H25-K25)/$G25)),0)</f>
        <v>0</v>
      </c>
      <c r="O25" s="14">
        <f>IF($G25&gt;0,MIN(1,MAX(0,(I25-L25)/$G25)),0)</f>
        <v>0.11993706679202491</v>
      </c>
      <c r="P25" s="14">
        <f>IF($G25&gt;0,MIN(1,MAX(0,(J25-M25)/$G25)),0)</f>
        <v>1</v>
      </c>
      <c r="Q25" s="68">
        <v>0</v>
      </c>
      <c r="R25" s="68">
        <v>0</v>
      </c>
      <c r="S25" s="68">
        <v>1</v>
      </c>
      <c r="T25" s="43">
        <v>1624</v>
      </c>
      <c r="U25" s="43">
        <v>695</v>
      </c>
      <c r="V25" s="44">
        <v>152625800</v>
      </c>
      <c r="W25" s="43">
        <v>1067</v>
      </c>
      <c r="X25" s="43">
        <v>33</v>
      </c>
      <c r="Y25" s="44">
        <v>166310</v>
      </c>
      <c r="Z25" s="52">
        <f>N25*$T25</f>
        <v>0</v>
      </c>
      <c r="AA25" s="52">
        <f>O25*$T25</f>
        <v>194.77779647024846</v>
      </c>
      <c r="AB25" s="52">
        <f>P25*$T25</f>
        <v>1624</v>
      </c>
    </row>
    <row r="26">
      <c r="B26" t="s" s="73">
        <v>23</v>
      </c>
      <c r="C26" t="s" s="73">
        <v>168</v>
      </c>
      <c r="D26" t="s" s="73">
        <v>234</v>
      </c>
      <c r="E26" s="43">
        <v>758602.3</v>
      </c>
      <c r="F26" s="43">
        <v>0</v>
      </c>
      <c r="G26" s="52">
        <f>E26-F26</f>
        <v>758602.3</v>
      </c>
      <c r="H26" s="43">
        <v>0</v>
      </c>
      <c r="I26" s="43">
        <v>0</v>
      </c>
      <c r="J26" s="43">
        <v>758602.3</v>
      </c>
      <c r="K26" s="43">
        <v>0</v>
      </c>
      <c r="L26" s="43">
        <v>0</v>
      </c>
      <c r="M26" s="43">
        <v>0</v>
      </c>
      <c r="N26" s="14">
        <f>IF($G26&gt;0,MIN(1,MAX(0,(H26-K26)/$G26)),0)</f>
        <v>0</v>
      </c>
      <c r="O26" s="14">
        <f>IF($G26&gt;0,MIN(1,MAX(0,(I26-L26)/$G26)),0)</f>
        <v>0</v>
      </c>
      <c r="P26" s="14">
        <f>IF($G26&gt;0,MIN(1,MAX(0,(J26-M26)/$G26)),0)</f>
        <v>1</v>
      </c>
      <c r="Q26" s="68">
        <v>0</v>
      </c>
      <c r="R26" s="68">
        <v>0</v>
      </c>
      <c r="S26" s="68">
        <v>1</v>
      </c>
      <c r="T26" s="43">
        <v>1474</v>
      </c>
      <c r="U26" s="43">
        <v>601</v>
      </c>
      <c r="V26" s="44">
        <v>113324700</v>
      </c>
      <c r="W26" s="43">
        <v>650</v>
      </c>
      <c r="X26" s="43">
        <v>28</v>
      </c>
      <c r="Y26" s="44">
        <v>166310</v>
      </c>
      <c r="Z26" s="52">
        <f>N26*$T26</f>
        <v>0</v>
      </c>
      <c r="AA26" s="52">
        <f>O26*$T26</f>
        <v>0</v>
      </c>
      <c r="AB26" s="52">
        <f>P26*$T26</f>
        <v>1474</v>
      </c>
    </row>
    <row r="27">
      <c r="B27" t="s" s="73">
        <v>24</v>
      </c>
      <c r="C27" t="s" s="73">
        <v>168</v>
      </c>
      <c r="D27" t="s" s="73">
        <v>234</v>
      </c>
      <c r="E27" s="43">
        <v>8082660</v>
      </c>
      <c r="F27" s="43">
        <v>134596.7</v>
      </c>
      <c r="G27" s="52">
        <f>E27-F27</f>
        <v>7948063.3</v>
      </c>
      <c r="H27" s="43">
        <v>0</v>
      </c>
      <c r="I27" s="43">
        <v>0</v>
      </c>
      <c r="J27" s="43">
        <v>6402443.1</v>
      </c>
      <c r="K27" s="43">
        <v>0</v>
      </c>
      <c r="L27" s="43">
        <v>0</v>
      </c>
      <c r="M27" s="43">
        <v>134596.7</v>
      </c>
      <c r="N27" s="14">
        <f>IF($G27&gt;0,MIN(1,MAX(0,(H27-K27)/$G27)),0)</f>
        <v>0</v>
      </c>
      <c r="O27" s="14">
        <f>IF($G27&gt;0,MIN(1,MAX(0,(I27-L27)/$G27)),0)</f>
        <v>0</v>
      </c>
      <c r="P27" s="14">
        <f>IF($G27&gt;0,MIN(1,MAX(0,(J27-M27)/$G27)),0)</f>
        <v>0.7886004632096978</v>
      </c>
      <c r="Q27" s="68">
        <v>0</v>
      </c>
      <c r="R27" s="68">
        <v>0</v>
      </c>
      <c r="S27" s="68">
        <v>1</v>
      </c>
      <c r="T27" s="43">
        <v>0</v>
      </c>
      <c r="U27" s="43">
        <v>0</v>
      </c>
      <c r="V27" s="53"/>
      <c r="W27" s="43">
        <v>0</v>
      </c>
      <c r="X27" s="43">
        <v>0</v>
      </c>
      <c r="Y27" s="44">
        <v>166310</v>
      </c>
      <c r="Z27" s="52">
        <f>N27*$T27</f>
        <v>0</v>
      </c>
      <c r="AA27" s="52">
        <f>O27*$T27</f>
        <v>0</v>
      </c>
      <c r="AB27" s="52">
        <f>P27*$T27</f>
        <v>0</v>
      </c>
    </row>
    <row r="28">
      <c r="B28" t="s" s="73">
        <v>25</v>
      </c>
      <c r="C28" t="s" s="73">
        <v>168</v>
      </c>
      <c r="D28" t="s" s="73">
        <v>234</v>
      </c>
      <c r="E28" s="43">
        <v>2429179.9</v>
      </c>
      <c r="F28" s="43">
        <v>3819</v>
      </c>
      <c r="G28" s="52">
        <f>E28-F28</f>
        <v>2425360.9</v>
      </c>
      <c r="H28" s="43">
        <v>0</v>
      </c>
      <c r="I28" s="43">
        <v>0</v>
      </c>
      <c r="J28" s="43">
        <v>2429179.9</v>
      </c>
      <c r="K28" s="43">
        <v>0</v>
      </c>
      <c r="L28" s="43">
        <v>0</v>
      </c>
      <c r="M28" s="43">
        <v>3819</v>
      </c>
      <c r="N28" s="14">
        <f>IF($G28&gt;0,MIN(1,MAX(0,(H28-K28)/$G28)),0)</f>
        <v>0</v>
      </c>
      <c r="O28" s="14">
        <f>IF($G28&gt;0,MIN(1,MAX(0,(I28-L28)/$G28)),0)</f>
        <v>0</v>
      </c>
      <c r="P28" s="14">
        <f>IF($G28&gt;0,MIN(1,MAX(0,(J28-M28)/$G28)),0)</f>
        <v>1</v>
      </c>
      <c r="Q28" s="68">
        <v>0</v>
      </c>
      <c r="R28" s="68">
        <v>0</v>
      </c>
      <c r="S28" s="68">
        <v>1</v>
      </c>
      <c r="T28" s="43">
        <v>4539</v>
      </c>
      <c r="U28" s="43">
        <v>1300</v>
      </c>
      <c r="V28" s="44">
        <v>279397900</v>
      </c>
      <c r="W28" s="43">
        <v>2592</v>
      </c>
      <c r="X28" s="43">
        <v>0</v>
      </c>
      <c r="Y28" s="44">
        <v>166310</v>
      </c>
      <c r="Z28" s="52">
        <f>N28*$T28</f>
        <v>0</v>
      </c>
      <c r="AA28" s="52">
        <f>O28*$T28</f>
        <v>0</v>
      </c>
      <c r="AB28" s="52">
        <f>P28*$T28</f>
        <v>4539</v>
      </c>
    </row>
    <row r="29">
      <c r="B29" t="s" s="73">
        <v>26</v>
      </c>
      <c r="C29" t="s" s="73">
        <v>169</v>
      </c>
      <c r="D29" t="s" s="73">
        <v>235</v>
      </c>
      <c r="E29" s="43">
        <v>684841.5</v>
      </c>
      <c r="F29" s="43">
        <v>0</v>
      </c>
      <c r="G29" s="52">
        <f>E29-F29</f>
        <v>684841.5</v>
      </c>
      <c r="H29" s="43">
        <v>0</v>
      </c>
      <c r="I29" s="43">
        <v>0</v>
      </c>
      <c r="J29" s="43">
        <v>16211.9</v>
      </c>
      <c r="K29" s="43">
        <v>0</v>
      </c>
      <c r="L29" s="43">
        <v>0</v>
      </c>
      <c r="M29" s="43">
        <v>0</v>
      </c>
      <c r="N29" s="14">
        <f>IF($G29&gt;0,MIN(1,MAX(0,(H29-K29)/$G29)),0)</f>
        <v>0</v>
      </c>
      <c r="O29" s="14">
        <f>IF($G29&gt;0,MIN(1,MAX(0,(I29-L29)/$G29)),0)</f>
        <v>0</v>
      </c>
      <c r="P29" s="14">
        <f>IF($G29&gt;0,MIN(1,MAX(0,(J29-M29)/$G29)),0)</f>
        <v>0.023672484801227727</v>
      </c>
      <c r="Q29" s="68">
        <v>0</v>
      </c>
      <c r="R29" s="68">
        <v>0</v>
      </c>
      <c r="S29" s="68">
        <v>0</v>
      </c>
      <c r="T29" s="43">
        <v>2111</v>
      </c>
      <c r="U29" s="43">
        <v>752</v>
      </c>
      <c r="V29" s="44">
        <v>118238800</v>
      </c>
      <c r="W29" s="43">
        <v>966</v>
      </c>
      <c r="X29" s="43">
        <v>11</v>
      </c>
      <c r="Y29" s="44">
        <v>134892</v>
      </c>
      <c r="Z29" s="52">
        <f>N29*$T29</f>
        <v>0</v>
      </c>
      <c r="AA29" s="52">
        <f>O29*$T29</f>
        <v>0</v>
      </c>
      <c r="AB29" s="52">
        <f>P29*$T29</f>
        <v>49.97261541539173</v>
      </c>
    </row>
    <row r="30">
      <c r="B30" t="s" s="73">
        <v>27</v>
      </c>
      <c r="C30" t="s" s="73">
        <v>170</v>
      </c>
      <c r="D30" t="s" s="73">
        <v>235</v>
      </c>
      <c r="E30" s="43">
        <v>580586.1</v>
      </c>
      <c r="F30" s="43">
        <v>27397.1</v>
      </c>
      <c r="G30" s="52">
        <f>E30-F30</f>
        <v>553189</v>
      </c>
      <c r="H30" s="43">
        <v>0</v>
      </c>
      <c r="I30" s="43">
        <v>0</v>
      </c>
      <c r="J30" s="43">
        <v>391306.1</v>
      </c>
      <c r="K30" s="43">
        <v>0</v>
      </c>
      <c r="L30" s="43">
        <v>0</v>
      </c>
      <c r="M30" s="43">
        <v>26210.8</v>
      </c>
      <c r="N30" s="14">
        <f>IF($G30&gt;0,MIN(1,MAX(0,(H30-K30)/$G30)),0)</f>
        <v>0</v>
      </c>
      <c r="O30" s="14">
        <f>IF($G30&gt;0,MIN(1,MAX(0,(I30-L30)/$G30)),0)</f>
        <v>0</v>
      </c>
      <c r="P30" s="14">
        <f>IF($G30&gt;0,MIN(1,MAX(0,(J30-M30)/$G30)),0)</f>
        <v>0.6599829353078243</v>
      </c>
      <c r="Q30" s="68">
        <v>0</v>
      </c>
      <c r="R30" s="68">
        <v>0</v>
      </c>
      <c r="S30" s="68">
        <v>1</v>
      </c>
      <c r="T30" s="43">
        <v>763</v>
      </c>
      <c r="U30" s="43">
        <v>312</v>
      </c>
      <c r="V30" s="44">
        <v>42094400</v>
      </c>
      <c r="W30" s="43">
        <v>413</v>
      </c>
      <c r="X30" s="43">
        <v>0</v>
      </c>
      <c r="Y30" s="44">
        <v>82351</v>
      </c>
      <c r="Z30" s="52">
        <f>N30*$T30</f>
        <v>0</v>
      </c>
      <c r="AA30" s="52">
        <f>O30*$T30</f>
        <v>0</v>
      </c>
      <c r="AB30" s="52">
        <f>P30*$T30</f>
        <v>503.5669796398699</v>
      </c>
    </row>
    <row r="31">
      <c r="B31" t="s" s="73">
        <v>28</v>
      </c>
      <c r="C31" t="s" s="73">
        <v>170</v>
      </c>
      <c r="D31" t="s" s="73">
        <v>235</v>
      </c>
      <c r="E31" s="43">
        <v>604907.1</v>
      </c>
      <c r="F31" s="43">
        <v>6058.7</v>
      </c>
      <c r="G31" s="52">
        <f>E31-F31</f>
        <v>598848.4</v>
      </c>
      <c r="H31" s="43">
        <v>0</v>
      </c>
      <c r="I31" s="43">
        <v>0</v>
      </c>
      <c r="J31" s="43">
        <v>354056.5</v>
      </c>
      <c r="K31" s="43">
        <v>0</v>
      </c>
      <c r="L31" s="43">
        <v>0</v>
      </c>
      <c r="M31" s="43">
        <v>730.2</v>
      </c>
      <c r="N31" s="14">
        <f>IF($G31&gt;0,MIN(1,MAX(0,(H31-K31)/$G31)),0)</f>
        <v>0</v>
      </c>
      <c r="O31" s="14">
        <f>IF($G31&gt;0,MIN(1,MAX(0,(I31-L31)/$G31)),0)</f>
        <v>0</v>
      </c>
      <c r="P31" s="14">
        <f>IF($G31&gt;0,MIN(1,MAX(0,(J31-M31)/$G31)),0)</f>
        <v>0.5900095917430855</v>
      </c>
      <c r="Q31" s="68">
        <v>0</v>
      </c>
      <c r="R31" s="68">
        <v>0</v>
      </c>
      <c r="S31" s="68">
        <v>1</v>
      </c>
      <c r="T31" s="43">
        <v>2396</v>
      </c>
      <c r="U31" s="43">
        <v>846</v>
      </c>
      <c r="V31" s="44">
        <v>74697600</v>
      </c>
      <c r="W31" s="43">
        <v>999</v>
      </c>
      <c r="X31" s="43">
        <v>193</v>
      </c>
      <c r="Y31" s="44">
        <v>82351</v>
      </c>
      <c r="Z31" s="52">
        <f>N31*$T31</f>
        <v>0</v>
      </c>
      <c r="AA31" s="52">
        <f>O31*$T31</f>
        <v>0</v>
      </c>
      <c r="AB31" s="52">
        <f>P31*$T31</f>
        <v>1413.6629818164329</v>
      </c>
    </row>
    <row r="32">
      <c r="B32" t="s" s="73">
        <v>29</v>
      </c>
      <c r="C32" t="s" s="73">
        <v>171</v>
      </c>
      <c r="D32" t="s" s="73">
        <v>234</v>
      </c>
      <c r="E32" s="43">
        <v>1409164</v>
      </c>
      <c r="F32" s="43">
        <v>142527.3</v>
      </c>
      <c r="G32" s="52">
        <f>E32-F32</f>
        <v>1266636.7</v>
      </c>
      <c r="H32" s="43">
        <v>0</v>
      </c>
      <c r="I32" s="43">
        <v>1409164</v>
      </c>
      <c r="J32" s="43">
        <v>1409164</v>
      </c>
      <c r="K32" s="43">
        <v>0</v>
      </c>
      <c r="L32" s="43">
        <v>142527.3</v>
      </c>
      <c r="M32" s="43">
        <v>142527.3</v>
      </c>
      <c r="N32" s="14">
        <f>IF($G32&gt;0,MIN(1,MAX(0,(H32-K32)/$G32)),0)</f>
        <v>0</v>
      </c>
      <c r="O32" s="14">
        <f>IF($G32&gt;0,MIN(1,MAX(0,(I32-L32)/$G32)),0)</f>
        <v>1</v>
      </c>
      <c r="P32" s="14">
        <f>IF($G32&gt;0,MIN(1,MAX(0,(J32-M32)/$G32)),0)</f>
        <v>1</v>
      </c>
      <c r="Q32" s="68">
        <v>0</v>
      </c>
      <c r="R32" s="68">
        <v>1</v>
      </c>
      <c r="S32" s="68">
        <v>1</v>
      </c>
      <c r="T32" s="43">
        <v>2018</v>
      </c>
      <c r="U32" s="43">
        <v>728</v>
      </c>
      <c r="V32" s="44">
        <v>138789500</v>
      </c>
      <c r="W32" s="43">
        <v>1220</v>
      </c>
      <c r="X32" s="43">
        <v>0</v>
      </c>
      <c r="Y32" s="44">
        <v>172578</v>
      </c>
      <c r="Z32" s="52">
        <f>N32*$T32</f>
        <v>0</v>
      </c>
      <c r="AA32" s="52">
        <f>O32*$T32</f>
        <v>2018</v>
      </c>
      <c r="AB32" s="52">
        <f>P32*$T32</f>
        <v>2018</v>
      </c>
    </row>
    <row r="33">
      <c r="B33" t="s" s="73">
        <v>30</v>
      </c>
      <c r="C33" t="s" s="73">
        <v>171</v>
      </c>
      <c r="D33" t="s" s="73">
        <v>234</v>
      </c>
      <c r="E33" s="43">
        <v>1161988</v>
      </c>
      <c r="F33" s="43">
        <v>80990.7</v>
      </c>
      <c r="G33" s="52">
        <f>E33-F33</f>
        <v>1080997.3</v>
      </c>
      <c r="H33" s="43">
        <v>0</v>
      </c>
      <c r="I33" s="43">
        <v>1161988</v>
      </c>
      <c r="J33" s="43">
        <v>1161988</v>
      </c>
      <c r="K33" s="43">
        <v>0</v>
      </c>
      <c r="L33" s="43">
        <v>80990.7</v>
      </c>
      <c r="M33" s="43">
        <v>80990.7</v>
      </c>
      <c r="N33" s="14">
        <f>IF($G33&gt;0,MIN(1,MAX(0,(H33-K33)/$G33)),0)</f>
        <v>0</v>
      </c>
      <c r="O33" s="14">
        <f>IF($G33&gt;0,MIN(1,MAX(0,(I33-L33)/$G33)),0)</f>
        <v>1</v>
      </c>
      <c r="P33" s="14">
        <f>IF($G33&gt;0,MIN(1,MAX(0,(J33-M33)/$G33)),0)</f>
        <v>1</v>
      </c>
      <c r="Q33" s="68">
        <v>0</v>
      </c>
      <c r="R33" s="68">
        <v>1</v>
      </c>
      <c r="S33" s="68">
        <v>1</v>
      </c>
      <c r="T33" s="43">
        <v>1855</v>
      </c>
      <c r="U33" s="43">
        <v>677</v>
      </c>
      <c r="V33" s="44">
        <v>144627200</v>
      </c>
      <c r="W33" s="43">
        <v>1063</v>
      </c>
      <c r="X33" s="43">
        <v>64</v>
      </c>
      <c r="Y33" s="44">
        <v>172578</v>
      </c>
      <c r="Z33" s="52">
        <f>N33*$T33</f>
        <v>0</v>
      </c>
      <c r="AA33" s="52">
        <f>O33*$T33</f>
        <v>1855</v>
      </c>
      <c r="AB33" s="52">
        <f>P33*$T33</f>
        <v>1855</v>
      </c>
    </row>
    <row r="34">
      <c r="B34" t="s" s="73">
        <v>31</v>
      </c>
      <c r="C34" t="s" s="73">
        <v>172</v>
      </c>
      <c r="D34" t="s" s="73">
        <v>234</v>
      </c>
      <c r="E34" s="43">
        <v>1113002.3</v>
      </c>
      <c r="F34" s="43">
        <v>25211.2</v>
      </c>
      <c r="G34" s="52">
        <f>E34-F34</f>
        <v>1087791.1</v>
      </c>
      <c r="H34" s="43">
        <v>0</v>
      </c>
      <c r="I34" s="43">
        <v>1113002.3</v>
      </c>
      <c r="J34" s="43">
        <v>1113002.3</v>
      </c>
      <c r="K34" s="43">
        <v>0</v>
      </c>
      <c r="L34" s="43">
        <v>25211.2</v>
      </c>
      <c r="M34" s="43">
        <v>25211.2</v>
      </c>
      <c r="N34" s="14">
        <f>IF($G34&gt;0,MIN(1,MAX(0,(H34-K34)/$G34)),0)</f>
        <v>0</v>
      </c>
      <c r="O34" s="14">
        <f>IF($G34&gt;0,MIN(1,MAX(0,(I34-L34)/$G34)),0)</f>
        <v>1</v>
      </c>
      <c r="P34" s="14">
        <f>IF($G34&gt;0,MIN(1,MAX(0,(J34-M34)/$G34)),0)</f>
        <v>1</v>
      </c>
      <c r="Q34" s="68">
        <v>0</v>
      </c>
      <c r="R34" s="68">
        <v>1</v>
      </c>
      <c r="S34" s="68">
        <v>1</v>
      </c>
      <c r="T34" s="43">
        <v>1776</v>
      </c>
      <c r="U34" s="43">
        <v>591</v>
      </c>
      <c r="V34" s="44">
        <v>153447500</v>
      </c>
      <c r="W34" s="43">
        <v>946</v>
      </c>
      <c r="X34" s="43">
        <v>0</v>
      </c>
      <c r="Y34" s="44">
        <v>123320</v>
      </c>
      <c r="Z34" s="52">
        <f>N34*$T34</f>
        <v>0</v>
      </c>
      <c r="AA34" s="52">
        <f>O34*$T34</f>
        <v>1776</v>
      </c>
      <c r="AB34" s="52">
        <f>P34*$T34</f>
        <v>1776</v>
      </c>
    </row>
    <row r="35">
      <c r="B35" t="s" s="73">
        <v>32</v>
      </c>
      <c r="C35" t="s" s="73">
        <v>172</v>
      </c>
      <c r="D35" t="s" s="73">
        <v>234</v>
      </c>
      <c r="E35" s="43">
        <v>334166.7</v>
      </c>
      <c r="F35" s="43">
        <v>0</v>
      </c>
      <c r="G35" s="52">
        <f>E35-F35</f>
        <v>334166.7</v>
      </c>
      <c r="H35" s="43">
        <v>0</v>
      </c>
      <c r="I35" s="43">
        <v>334166.7</v>
      </c>
      <c r="J35" s="43">
        <v>334166.7</v>
      </c>
      <c r="K35" s="43">
        <v>0</v>
      </c>
      <c r="L35" s="43">
        <v>0</v>
      </c>
      <c r="M35" s="43">
        <v>0</v>
      </c>
      <c r="N35" s="14">
        <f>IF($G35&gt;0,MIN(1,MAX(0,(H35-K35)/$G35)),0)</f>
        <v>0</v>
      </c>
      <c r="O35" s="14">
        <f>IF($G35&gt;0,MIN(1,MAX(0,(I35-L35)/$G35)),0)</f>
        <v>1</v>
      </c>
      <c r="P35" s="14">
        <f>IF($G35&gt;0,MIN(1,MAX(0,(J35-M35)/$G35)),0)</f>
        <v>1</v>
      </c>
      <c r="Q35" s="68">
        <v>0</v>
      </c>
      <c r="R35" s="68">
        <v>1</v>
      </c>
      <c r="S35" s="68">
        <v>1</v>
      </c>
      <c r="T35" s="43">
        <v>1330</v>
      </c>
      <c r="U35" s="43">
        <v>492</v>
      </c>
      <c r="V35" s="44">
        <v>60069100</v>
      </c>
      <c r="W35" s="43">
        <v>690</v>
      </c>
      <c r="X35" s="43">
        <v>9</v>
      </c>
      <c r="Y35" s="44">
        <v>123320</v>
      </c>
      <c r="Z35" s="52">
        <f>N35*$T35</f>
        <v>0</v>
      </c>
      <c r="AA35" s="52">
        <f>O35*$T35</f>
        <v>1330</v>
      </c>
      <c r="AB35" s="52">
        <f>P35*$T35</f>
        <v>1330</v>
      </c>
    </row>
    <row r="36">
      <c r="B36" t="s" s="73">
        <v>33</v>
      </c>
      <c r="C36" t="s" s="73">
        <v>172</v>
      </c>
      <c r="D36" t="s" s="73">
        <v>234</v>
      </c>
      <c r="E36" s="43">
        <v>276690.2</v>
      </c>
      <c r="F36" s="43">
        <v>3860</v>
      </c>
      <c r="G36" s="52">
        <f>E36-F36</f>
        <v>272830.2</v>
      </c>
      <c r="H36" s="43">
        <v>0</v>
      </c>
      <c r="I36" s="43">
        <v>276690.2</v>
      </c>
      <c r="J36" s="43">
        <v>276690.2</v>
      </c>
      <c r="K36" s="43">
        <v>0</v>
      </c>
      <c r="L36" s="43">
        <v>3860</v>
      </c>
      <c r="M36" s="43">
        <v>3860</v>
      </c>
      <c r="N36" s="14">
        <f>IF($G36&gt;0,MIN(1,MAX(0,(H36-K36)/$G36)),0)</f>
        <v>0</v>
      </c>
      <c r="O36" s="14">
        <f>IF($G36&gt;0,MIN(1,MAX(0,(I36-L36)/$G36)),0)</f>
        <v>1</v>
      </c>
      <c r="P36" s="14">
        <f>IF($G36&gt;0,MIN(1,MAX(0,(J36-M36)/$G36)),0)</f>
        <v>1</v>
      </c>
      <c r="Q36" s="68">
        <v>0</v>
      </c>
      <c r="R36" s="68">
        <v>1</v>
      </c>
      <c r="S36" s="68">
        <v>1</v>
      </c>
      <c r="T36" s="43">
        <v>1554</v>
      </c>
      <c r="U36" s="43">
        <v>492</v>
      </c>
      <c r="V36" s="44">
        <v>61759200</v>
      </c>
      <c r="W36" s="43">
        <v>859</v>
      </c>
      <c r="X36" s="43">
        <v>81</v>
      </c>
      <c r="Y36" s="44">
        <v>123320</v>
      </c>
      <c r="Z36" s="52">
        <f>N36*$T36</f>
        <v>0</v>
      </c>
      <c r="AA36" s="52">
        <f>O36*$T36</f>
        <v>1554</v>
      </c>
      <c r="AB36" s="52">
        <f>P36*$T36</f>
        <v>1554</v>
      </c>
    </row>
    <row r="37">
      <c r="B37" t="s" s="73">
        <v>34</v>
      </c>
      <c r="C37" t="s" s="73">
        <v>173</v>
      </c>
      <c r="D37" t="s" s="73">
        <v>235</v>
      </c>
      <c r="E37" s="43">
        <v>111023</v>
      </c>
      <c r="F37" s="43">
        <v>0</v>
      </c>
      <c r="G37" s="52">
        <f>E37-F37</f>
        <v>111023</v>
      </c>
      <c r="H37" s="43">
        <v>0</v>
      </c>
      <c r="I37" s="43">
        <v>0</v>
      </c>
      <c r="J37" s="43">
        <v>111023</v>
      </c>
      <c r="K37" s="43">
        <v>0</v>
      </c>
      <c r="L37" s="43">
        <v>0</v>
      </c>
      <c r="M37" s="43">
        <v>0</v>
      </c>
      <c r="N37" s="14">
        <f>IF($G37&gt;0,MIN(1,MAX(0,(H37-K37)/$G37)),0)</f>
        <v>0</v>
      </c>
      <c r="O37" s="14">
        <f>IF($G37&gt;0,MIN(1,MAX(0,(I37-L37)/$G37)),0)</f>
        <v>0</v>
      </c>
      <c r="P37" s="14">
        <f>IF($G37&gt;0,MIN(1,MAX(0,(J37-M37)/$G37)),0)</f>
        <v>1</v>
      </c>
      <c r="Q37" s="68">
        <v>0</v>
      </c>
      <c r="R37" s="68">
        <v>0</v>
      </c>
      <c r="S37" s="68">
        <v>1</v>
      </c>
      <c r="T37" s="43">
        <v>1006</v>
      </c>
      <c r="U37" s="43">
        <v>542</v>
      </c>
      <c r="V37" s="44">
        <v>39864900</v>
      </c>
      <c r="W37" s="43">
        <v>577</v>
      </c>
      <c r="X37" s="43">
        <v>0</v>
      </c>
      <c r="Y37" s="44">
        <v>108425</v>
      </c>
      <c r="Z37" s="52">
        <f>N37*$T37</f>
        <v>0</v>
      </c>
      <c r="AA37" s="52">
        <f>O37*$T37</f>
        <v>0</v>
      </c>
      <c r="AB37" s="52">
        <f>P37*$T37</f>
        <v>1006</v>
      </c>
    </row>
    <row r="38">
      <c r="B38" t="s" s="73">
        <v>35</v>
      </c>
      <c r="C38" t="s" s="73">
        <v>173</v>
      </c>
      <c r="D38" t="s" s="73">
        <v>235</v>
      </c>
      <c r="E38" s="43">
        <v>89784.3</v>
      </c>
      <c r="F38" s="43">
        <v>0</v>
      </c>
      <c r="G38" s="52">
        <f>E38-F38</f>
        <v>89784.3</v>
      </c>
      <c r="H38" s="43">
        <v>0</v>
      </c>
      <c r="I38" s="43">
        <v>0</v>
      </c>
      <c r="J38" s="43">
        <v>89784.3</v>
      </c>
      <c r="K38" s="43">
        <v>0</v>
      </c>
      <c r="L38" s="43">
        <v>0</v>
      </c>
      <c r="M38" s="43">
        <v>0</v>
      </c>
      <c r="N38" s="14">
        <f>IF($G38&gt;0,MIN(1,MAX(0,(H38-K38)/$G38)),0)</f>
        <v>0</v>
      </c>
      <c r="O38" s="14">
        <f>IF($G38&gt;0,MIN(1,MAX(0,(I38-L38)/$G38)),0)</f>
        <v>0</v>
      </c>
      <c r="P38" s="14">
        <f>IF($G38&gt;0,MIN(1,MAX(0,(J38-M38)/$G38)),0)</f>
        <v>1</v>
      </c>
      <c r="Q38" s="68">
        <v>0</v>
      </c>
      <c r="R38" s="68">
        <v>0</v>
      </c>
      <c r="S38" s="68">
        <v>1</v>
      </c>
      <c r="T38" s="43">
        <v>988</v>
      </c>
      <c r="U38" s="43">
        <v>456</v>
      </c>
      <c r="V38" s="44">
        <v>31081200</v>
      </c>
      <c r="W38" s="43">
        <v>605</v>
      </c>
      <c r="X38" s="43">
        <v>0</v>
      </c>
      <c r="Y38" s="44">
        <v>108425</v>
      </c>
      <c r="Z38" s="52">
        <f>N38*$T38</f>
        <v>0</v>
      </c>
      <c r="AA38" s="52">
        <f>O38*$T38</f>
        <v>0</v>
      </c>
      <c r="AB38" s="52">
        <f>P38*$T38</f>
        <v>988</v>
      </c>
    </row>
    <row r="39">
      <c r="B39" t="s" s="73">
        <v>36</v>
      </c>
      <c r="C39" t="s" s="73">
        <v>173</v>
      </c>
      <c r="D39" t="s" s="73">
        <v>235</v>
      </c>
      <c r="E39" s="43">
        <v>143791.5</v>
      </c>
      <c r="F39" s="43">
        <v>0</v>
      </c>
      <c r="G39" s="52">
        <f>E39-F39</f>
        <v>143791.5</v>
      </c>
      <c r="H39" s="43">
        <v>0</v>
      </c>
      <c r="I39" s="43">
        <v>0</v>
      </c>
      <c r="J39" s="43">
        <v>140682</v>
      </c>
      <c r="K39" s="43">
        <v>0</v>
      </c>
      <c r="L39" s="43">
        <v>0</v>
      </c>
      <c r="M39" s="43">
        <v>0</v>
      </c>
      <c r="N39" s="14">
        <f>IF($G39&gt;0,MIN(1,MAX(0,(H39-K39)/$G39)),0)</f>
        <v>0</v>
      </c>
      <c r="O39" s="14">
        <f>IF($G39&gt;0,MIN(1,MAX(0,(I39-L39)/$G39)),0)</f>
        <v>0</v>
      </c>
      <c r="P39" s="14">
        <f>IF($G39&gt;0,MIN(1,MAX(0,(J39-M39)/$G39)),0)</f>
        <v>0.9783749387133454</v>
      </c>
      <c r="Q39" s="68">
        <v>0</v>
      </c>
      <c r="R39" s="68">
        <v>0</v>
      </c>
      <c r="S39" s="68">
        <v>1</v>
      </c>
      <c r="T39" s="43">
        <v>1074</v>
      </c>
      <c r="U39" s="43">
        <v>408</v>
      </c>
      <c r="V39" s="44">
        <v>44847200</v>
      </c>
      <c r="W39" s="43">
        <v>473</v>
      </c>
      <c r="X39" s="43">
        <v>0</v>
      </c>
      <c r="Y39" s="44">
        <v>108425</v>
      </c>
      <c r="Z39" s="52">
        <f>N39*$T39</f>
        <v>0</v>
      </c>
      <c r="AA39" s="52">
        <f>O39*$T39</f>
        <v>0</v>
      </c>
      <c r="AB39" s="52">
        <f>P39*$T39</f>
        <v>1050.774684178133</v>
      </c>
    </row>
    <row r="40">
      <c r="B40" t="s" s="73">
        <v>37</v>
      </c>
      <c r="C40" t="s" s="73">
        <v>173</v>
      </c>
      <c r="D40" t="s" s="73">
        <v>235</v>
      </c>
      <c r="E40" s="43">
        <v>164062.9</v>
      </c>
      <c r="F40" s="43">
        <v>0</v>
      </c>
      <c r="G40" s="52">
        <f>E40-F40</f>
        <v>164062.9</v>
      </c>
      <c r="H40" s="43">
        <v>0</v>
      </c>
      <c r="I40" s="43">
        <v>0</v>
      </c>
      <c r="J40" s="43">
        <v>164062.9</v>
      </c>
      <c r="K40" s="43">
        <v>0</v>
      </c>
      <c r="L40" s="43">
        <v>0</v>
      </c>
      <c r="M40" s="43">
        <v>0</v>
      </c>
      <c r="N40" s="14">
        <f>IF($G40&gt;0,MIN(1,MAX(0,(H40-K40)/$G40)),0)</f>
        <v>0</v>
      </c>
      <c r="O40" s="14">
        <f>IF($G40&gt;0,MIN(1,MAX(0,(I40-L40)/$G40)),0)</f>
        <v>0</v>
      </c>
      <c r="P40" s="14">
        <f>IF($G40&gt;0,MIN(1,MAX(0,(J40-M40)/$G40)),0)</f>
        <v>1</v>
      </c>
      <c r="Q40" s="68">
        <v>0</v>
      </c>
      <c r="R40" s="68">
        <v>0</v>
      </c>
      <c r="S40" s="68">
        <v>1</v>
      </c>
      <c r="T40" s="43">
        <v>1281</v>
      </c>
      <c r="U40" s="43">
        <v>496</v>
      </c>
      <c r="V40" s="44">
        <v>79243000</v>
      </c>
      <c r="W40" s="43">
        <v>664</v>
      </c>
      <c r="X40" s="43">
        <v>20</v>
      </c>
      <c r="Y40" s="44">
        <v>108425</v>
      </c>
      <c r="Z40" s="52">
        <f>N40*$T40</f>
        <v>0</v>
      </c>
      <c r="AA40" s="52">
        <f>O40*$T40</f>
        <v>0</v>
      </c>
      <c r="AB40" s="52">
        <f>P40*$T40</f>
        <v>1281</v>
      </c>
    </row>
    <row r="41">
      <c r="B41" t="s" s="73">
        <v>38</v>
      </c>
      <c r="C41" t="s" s="73">
        <v>173</v>
      </c>
      <c r="D41" t="s" s="73">
        <v>235</v>
      </c>
      <c r="E41" s="43">
        <v>531075.9</v>
      </c>
      <c r="F41" s="43">
        <v>0</v>
      </c>
      <c r="G41" s="52">
        <f>E41-F41</f>
        <v>531075.9</v>
      </c>
      <c r="H41" s="43">
        <v>0</v>
      </c>
      <c r="I41" s="43">
        <v>0</v>
      </c>
      <c r="J41" s="43">
        <v>374717.7</v>
      </c>
      <c r="K41" s="43">
        <v>0</v>
      </c>
      <c r="L41" s="43">
        <v>0</v>
      </c>
      <c r="M41" s="43">
        <v>0</v>
      </c>
      <c r="N41" s="14">
        <f>IF($G41&gt;0,MIN(1,MAX(0,(H41-K41)/$G41)),0)</f>
        <v>0</v>
      </c>
      <c r="O41" s="14">
        <f>IF($G41&gt;0,MIN(1,MAX(0,(I41-L41)/$G41)),0)</f>
        <v>0</v>
      </c>
      <c r="P41" s="14">
        <f>IF($G41&gt;0,MIN(1,MAX(0,(J41-M41)/$G41)),0)</f>
        <v>0.7055821964431073</v>
      </c>
      <c r="Q41" s="68">
        <v>0</v>
      </c>
      <c r="R41" s="68">
        <v>0</v>
      </c>
      <c r="S41" s="68">
        <v>1</v>
      </c>
      <c r="T41" s="43">
        <v>1257</v>
      </c>
      <c r="U41" s="43">
        <v>365</v>
      </c>
      <c r="V41" s="44">
        <v>109494800</v>
      </c>
      <c r="W41" s="43">
        <v>584</v>
      </c>
      <c r="X41" s="43">
        <v>0</v>
      </c>
      <c r="Y41" s="44">
        <v>108425</v>
      </c>
      <c r="Z41" s="52">
        <f>N41*$T41</f>
        <v>0</v>
      </c>
      <c r="AA41" s="52">
        <f>O41*$T41</f>
        <v>0</v>
      </c>
      <c r="AB41" s="52">
        <f>P41*$T41</f>
        <v>886.9168209289859</v>
      </c>
    </row>
    <row r="42">
      <c r="B42" t="s" s="73">
        <v>39</v>
      </c>
      <c r="C42" t="s" s="73">
        <v>174</v>
      </c>
      <c r="D42" t="s" s="73">
        <v>235</v>
      </c>
      <c r="E42" s="43">
        <v>836615.1</v>
      </c>
      <c r="F42" s="43">
        <v>0</v>
      </c>
      <c r="G42" s="52">
        <f>E42-F42</f>
        <v>836615.1</v>
      </c>
      <c r="H42" s="43">
        <v>0</v>
      </c>
      <c r="I42" s="43">
        <v>0</v>
      </c>
      <c r="J42" s="43">
        <v>836615.1</v>
      </c>
      <c r="K42" s="43">
        <v>0</v>
      </c>
      <c r="L42" s="43">
        <v>0</v>
      </c>
      <c r="M42" s="43">
        <v>0</v>
      </c>
      <c r="N42" s="14">
        <f>IF($G42&gt;0,MIN(1,MAX(0,(H42-K42)/$G42)),0)</f>
        <v>0</v>
      </c>
      <c r="O42" s="14">
        <f>IF($G42&gt;0,MIN(1,MAX(0,(I42-L42)/$G42)),0)</f>
        <v>0</v>
      </c>
      <c r="P42" s="14">
        <f>IF($G42&gt;0,MIN(1,MAX(0,(J42-M42)/$G42)),0)</f>
        <v>1</v>
      </c>
      <c r="Q42" s="68">
        <v>0</v>
      </c>
      <c r="R42" s="68">
        <v>0</v>
      </c>
      <c r="S42" s="68">
        <v>1</v>
      </c>
      <c r="T42" s="43">
        <v>3054</v>
      </c>
      <c r="U42" s="43">
        <v>1067</v>
      </c>
      <c r="V42" s="44">
        <v>223902700</v>
      </c>
      <c r="W42" s="43">
        <v>1805</v>
      </c>
      <c r="X42" s="43">
        <v>119</v>
      </c>
      <c r="Y42" s="44">
        <v>200278</v>
      </c>
      <c r="Z42" s="52">
        <f>N42*$T42</f>
        <v>0</v>
      </c>
      <c r="AA42" s="52">
        <f>O42*$T42</f>
        <v>0</v>
      </c>
      <c r="AB42" s="52">
        <f>P42*$T42</f>
        <v>3054</v>
      </c>
    </row>
    <row r="43">
      <c r="B43" t="s" s="73">
        <v>40</v>
      </c>
      <c r="C43" t="s" s="73">
        <v>174</v>
      </c>
      <c r="D43" t="s" s="73">
        <v>235</v>
      </c>
      <c r="E43" s="43">
        <v>690199.7</v>
      </c>
      <c r="F43" s="43">
        <v>0</v>
      </c>
      <c r="G43" s="52">
        <f>E43-F43</f>
        <v>690199.7</v>
      </c>
      <c r="H43" s="43">
        <v>0</v>
      </c>
      <c r="I43" s="43">
        <v>0</v>
      </c>
      <c r="J43" s="43">
        <v>62340.8</v>
      </c>
      <c r="K43" s="43">
        <v>0</v>
      </c>
      <c r="L43" s="43">
        <v>0</v>
      </c>
      <c r="M43" s="43">
        <v>0</v>
      </c>
      <c r="N43" s="14">
        <f>IF($G43&gt;0,MIN(1,MAX(0,(H43-K43)/$G43)),0)</f>
        <v>0</v>
      </c>
      <c r="O43" s="14">
        <f>IF($G43&gt;0,MIN(1,MAX(0,(I43-L43)/$G43)),0)</f>
        <v>0</v>
      </c>
      <c r="P43" s="14">
        <f>IF($G43&gt;0,MIN(1,MAX(0,(J43-M43)/$G43)),0)</f>
        <v>0.0903228442434849</v>
      </c>
      <c r="Q43" s="68">
        <v>0</v>
      </c>
      <c r="R43" s="68">
        <v>0</v>
      </c>
      <c r="S43" s="68">
        <v>0</v>
      </c>
      <c r="T43" s="43">
        <v>1534</v>
      </c>
      <c r="U43" s="43">
        <v>429</v>
      </c>
      <c r="V43" s="44">
        <v>106185300</v>
      </c>
      <c r="W43" s="43">
        <v>812</v>
      </c>
      <c r="X43" s="43">
        <v>63</v>
      </c>
      <c r="Y43" s="44">
        <v>200278</v>
      </c>
      <c r="Z43" s="52">
        <f>N43*$T43</f>
        <v>0</v>
      </c>
      <c r="AA43" s="52">
        <f>O43*$T43</f>
        <v>0</v>
      </c>
      <c r="AB43" s="52">
        <f>P43*$T43</f>
        <v>138.55524306950582</v>
      </c>
    </row>
    <row r="44">
      <c r="B44" t="s" s="73">
        <v>41</v>
      </c>
      <c r="C44" t="s" s="73">
        <v>175</v>
      </c>
      <c r="D44" t="s" s="73">
        <v>234</v>
      </c>
      <c r="E44" s="43">
        <v>2126547.7</v>
      </c>
      <c r="F44" s="43">
        <v>0</v>
      </c>
      <c r="G44" s="52">
        <f>E44-F44</f>
        <v>2126547.7</v>
      </c>
      <c r="H44" s="43">
        <v>0</v>
      </c>
      <c r="I44" s="43">
        <v>0</v>
      </c>
      <c r="J44" s="43">
        <v>172655</v>
      </c>
      <c r="K44" s="43">
        <v>0</v>
      </c>
      <c r="L44" s="43">
        <v>0</v>
      </c>
      <c r="M44" s="43">
        <v>0</v>
      </c>
      <c r="N44" s="14">
        <f>IF($G44&gt;0,MIN(1,MAX(0,(H44-K44)/$G44)),0)</f>
        <v>0</v>
      </c>
      <c r="O44" s="14">
        <f>IF($G44&gt;0,MIN(1,MAX(0,(I44-L44)/$G44)),0)</f>
        <v>0</v>
      </c>
      <c r="P44" s="14">
        <f>IF($G44&gt;0,MIN(1,MAX(0,(J44-M44)/$G44)),0)</f>
        <v>0.0811902784969272</v>
      </c>
      <c r="Q44" s="68">
        <v>0</v>
      </c>
      <c r="R44" s="68">
        <v>0</v>
      </c>
      <c r="S44" s="68">
        <v>0</v>
      </c>
      <c r="T44" s="43">
        <v>1347</v>
      </c>
      <c r="U44" s="43">
        <v>783</v>
      </c>
      <c r="V44" s="44">
        <v>80630100</v>
      </c>
      <c r="W44" s="43">
        <v>1030</v>
      </c>
      <c r="X44" s="43">
        <v>14</v>
      </c>
      <c r="Y44" s="44">
        <v>98801</v>
      </c>
      <c r="Z44" s="52">
        <f>N44*$T44</f>
        <v>0</v>
      </c>
      <c r="AA44" s="52">
        <f>O44*$T44</f>
        <v>0</v>
      </c>
      <c r="AB44" s="52">
        <f>P44*$T44</f>
        <v>109.36330513536093</v>
      </c>
    </row>
    <row r="45">
      <c r="B45" t="s" s="73">
        <v>42</v>
      </c>
      <c r="C45" t="s" s="73">
        <v>175</v>
      </c>
      <c r="D45" t="s" s="73">
        <v>234</v>
      </c>
      <c r="E45" s="43">
        <v>4912517.2</v>
      </c>
      <c r="F45" s="43">
        <v>1091493.9</v>
      </c>
      <c r="G45" s="52">
        <f>E45-F45</f>
        <v>3821023.3000000003</v>
      </c>
      <c r="H45" s="43">
        <v>0</v>
      </c>
      <c r="I45" s="43">
        <v>0</v>
      </c>
      <c r="J45" s="43">
        <v>3849682.8</v>
      </c>
      <c r="K45" s="43">
        <v>0</v>
      </c>
      <c r="L45" s="43">
        <v>0</v>
      </c>
      <c r="M45" s="43">
        <v>1069669.8</v>
      </c>
      <c r="N45" s="14">
        <f>IF($G45&gt;0,MIN(1,MAX(0,(H45-K45)/$G45)),0)</f>
        <v>0</v>
      </c>
      <c r="O45" s="14">
        <f>IF($G45&gt;0,MIN(1,MAX(0,(I45-L45)/$G45)),0)</f>
        <v>0</v>
      </c>
      <c r="P45" s="14">
        <f>IF($G45&gt;0,MIN(1,MAX(0,(J45-M45)/$G45)),0)</f>
        <v>0.7275571965237688</v>
      </c>
      <c r="Q45" s="68">
        <v>0</v>
      </c>
      <c r="R45" s="68">
        <v>0</v>
      </c>
      <c r="S45" s="68">
        <v>0</v>
      </c>
      <c r="T45" s="43">
        <v>1416</v>
      </c>
      <c r="U45" s="43">
        <v>671</v>
      </c>
      <c r="V45" s="44">
        <v>110640000</v>
      </c>
      <c r="W45" s="43">
        <v>1053</v>
      </c>
      <c r="X45" s="43">
        <v>32</v>
      </c>
      <c r="Y45" s="44">
        <v>98801</v>
      </c>
      <c r="Z45" s="52">
        <f>N45*$T45</f>
        <v>0</v>
      </c>
      <c r="AA45" s="52">
        <f>O45*$T45</f>
        <v>0</v>
      </c>
      <c r="AB45" s="52">
        <f>P45*$T45</f>
        <v>1030.2209902776567</v>
      </c>
    </row>
    <row r="46">
      <c r="B46" t="s" s="73">
        <v>43</v>
      </c>
      <c r="C46" t="s" s="73">
        <v>176</v>
      </c>
      <c r="D46" t="s" s="73">
        <v>234</v>
      </c>
      <c r="E46" s="43">
        <v>5243546.7</v>
      </c>
      <c r="F46" s="43">
        <v>56317.9</v>
      </c>
      <c r="G46" s="52">
        <f>E46-F46</f>
        <v>5187228.8</v>
      </c>
      <c r="H46" s="43">
        <v>0</v>
      </c>
      <c r="I46" s="43">
        <v>3439429.6</v>
      </c>
      <c r="J46" s="43">
        <v>5243546.7</v>
      </c>
      <c r="K46" s="43">
        <v>0</v>
      </c>
      <c r="L46" s="43">
        <v>56317.9</v>
      </c>
      <c r="M46" s="43">
        <v>56317.9</v>
      </c>
      <c r="N46" s="14">
        <f>IF($G46&gt;0,MIN(1,MAX(0,(H46-K46)/$G46)),0)</f>
        <v>0</v>
      </c>
      <c r="O46" s="14">
        <f>IF($G46&gt;0,MIN(1,MAX(0,(I46-L46)/$G46)),0)</f>
        <v>0.6522002075559112</v>
      </c>
      <c r="P46" s="14">
        <f>IF($G46&gt;0,MIN(1,MAX(0,(J46-M46)/$G46)),0)</f>
        <v>1</v>
      </c>
      <c r="Q46" s="68">
        <v>0</v>
      </c>
      <c r="R46" s="68">
        <v>1</v>
      </c>
      <c r="S46" s="68">
        <v>1</v>
      </c>
      <c r="T46" s="43">
        <v>4199</v>
      </c>
      <c r="U46" s="43">
        <v>1358</v>
      </c>
      <c r="V46" s="44">
        <v>321747100</v>
      </c>
      <c r="W46" s="43">
        <v>2231</v>
      </c>
      <c r="X46" s="43">
        <v>46</v>
      </c>
      <c r="Y46" s="44">
        <v>200944</v>
      </c>
      <c r="Z46" s="52">
        <f>N46*$T46</f>
        <v>0</v>
      </c>
      <c r="AA46" s="52">
        <f>O46*$T46</f>
        <v>2738.5886715272713</v>
      </c>
      <c r="AB46" s="52">
        <f>P46*$T46</f>
        <v>4199</v>
      </c>
    </row>
    <row r="47">
      <c r="B47" t="s" s="73">
        <v>44</v>
      </c>
      <c r="C47" t="s" s="73">
        <v>176</v>
      </c>
      <c r="D47" t="s" s="73">
        <v>234</v>
      </c>
      <c r="E47" s="43">
        <v>1679082.5</v>
      </c>
      <c r="F47" s="43">
        <v>6052.4</v>
      </c>
      <c r="G47" s="52">
        <f>E47-F47</f>
        <v>1673030.1</v>
      </c>
      <c r="H47" s="43">
        <v>0</v>
      </c>
      <c r="I47" s="43">
        <v>1619624.1</v>
      </c>
      <c r="J47" s="43">
        <v>1679082.5</v>
      </c>
      <c r="K47" s="43">
        <v>0</v>
      </c>
      <c r="L47" s="43">
        <v>6052.4</v>
      </c>
      <c r="M47" s="43">
        <v>6052.4</v>
      </c>
      <c r="N47" s="14">
        <f>IF($G47&gt;0,MIN(1,MAX(0,(H47-K47)/$G47)),0)</f>
        <v>0</v>
      </c>
      <c r="O47" s="14">
        <f>IF($G47&gt;0,MIN(1,MAX(0,(I47-L47)/$G47)),0)</f>
        <v>0.9644606513654477</v>
      </c>
      <c r="P47" s="14">
        <f>IF($G47&gt;0,MIN(1,MAX(0,(J47-M47)/$G47)),0)</f>
        <v>1</v>
      </c>
      <c r="Q47" s="68">
        <v>0</v>
      </c>
      <c r="R47" s="68">
        <v>1</v>
      </c>
      <c r="S47" s="68">
        <v>1</v>
      </c>
      <c r="T47" s="43">
        <v>1486</v>
      </c>
      <c r="U47" s="43">
        <v>518</v>
      </c>
      <c r="V47" s="44">
        <v>155471200</v>
      </c>
      <c r="W47" s="43">
        <v>900</v>
      </c>
      <c r="X47" s="43">
        <v>112</v>
      </c>
      <c r="Y47" s="44">
        <v>200944</v>
      </c>
      <c r="Z47" s="52">
        <f>N47*$T47</f>
        <v>0</v>
      </c>
      <c r="AA47" s="52">
        <f>O47*$T47</f>
        <v>1433.1885279290552</v>
      </c>
      <c r="AB47" s="52">
        <f>P47*$T47</f>
        <v>1486</v>
      </c>
    </row>
    <row r="48">
      <c r="B48" t="s" s="73">
        <v>45</v>
      </c>
      <c r="C48" t="s" s="73">
        <v>177</v>
      </c>
      <c r="D48" t="s" s="73">
        <v>235</v>
      </c>
      <c r="E48" s="43">
        <v>26610818.3</v>
      </c>
      <c r="F48" s="43">
        <v>0</v>
      </c>
      <c r="G48" s="52">
        <f>E48-F48</f>
        <v>26610818.3</v>
      </c>
      <c r="H48" s="43">
        <v>0</v>
      </c>
      <c r="I48" s="43">
        <v>0</v>
      </c>
      <c r="J48" s="43">
        <v>733770.9</v>
      </c>
      <c r="K48" s="43">
        <v>0</v>
      </c>
      <c r="L48" s="43">
        <v>0</v>
      </c>
      <c r="M48" s="43">
        <v>0</v>
      </c>
      <c r="N48" s="14">
        <f>IF($G48&gt;0,MIN(1,MAX(0,(H48-K48)/$G48)),0)</f>
        <v>0</v>
      </c>
      <c r="O48" s="14">
        <f>IF($G48&gt;0,MIN(1,MAX(0,(I48-L48)/$G48)),0)</f>
        <v>0</v>
      </c>
      <c r="P48" s="14">
        <f>IF($G48&gt;0,MIN(1,MAX(0,(J48-M48)/$G48)),0)</f>
        <v>0.02757415768758979</v>
      </c>
      <c r="Q48" s="68">
        <v>0</v>
      </c>
      <c r="R48" s="68">
        <v>0</v>
      </c>
      <c r="S48" s="68">
        <v>0</v>
      </c>
      <c r="T48" s="43">
        <v>0</v>
      </c>
      <c r="U48" s="43">
        <v>0</v>
      </c>
      <c r="V48" s="53"/>
      <c r="W48" s="43">
        <v>0</v>
      </c>
      <c r="X48" s="43">
        <v>0</v>
      </c>
      <c r="Y48" s="53"/>
      <c r="Z48" s="52">
        <f>N48*$T48</f>
        <v>0</v>
      </c>
      <c r="AA48" s="52">
        <f>O48*$T48</f>
        <v>0</v>
      </c>
      <c r="AB48" s="52">
        <f>P48*$T48</f>
        <v>0</v>
      </c>
    </row>
    <row r="49">
      <c r="B49" t="s" s="73">
        <v>46</v>
      </c>
      <c r="C49" t="s" s="73">
        <v>178</v>
      </c>
      <c r="D49" t="s" s="73">
        <v>236</v>
      </c>
      <c r="E49" s="43">
        <v>12729173.4</v>
      </c>
      <c r="F49" s="43">
        <v>8279737.1</v>
      </c>
      <c r="G49" s="52">
        <f>E49-F49</f>
        <v>4449436.300000001</v>
      </c>
      <c r="H49" s="43">
        <v>0</v>
      </c>
      <c r="I49" s="43">
        <v>0</v>
      </c>
      <c r="J49" s="43">
        <v>431701.6</v>
      </c>
      <c r="K49" s="43">
        <v>0</v>
      </c>
      <c r="L49" s="43">
        <v>0</v>
      </c>
      <c r="M49" s="43">
        <v>431701.6</v>
      </c>
      <c r="N49" s="14">
        <f>IF($G49&gt;0,MIN(1,MAX(0,(H49-K49)/$G49)),0)</f>
        <v>0</v>
      </c>
      <c r="O49" s="14">
        <f>IF($G49&gt;0,MIN(1,MAX(0,(I49-L49)/$G49)),0)</f>
        <v>0</v>
      </c>
      <c r="P49" s="14">
        <f>IF($G49&gt;0,MIN(1,MAX(0,(J49-M49)/$G49)),0)</f>
        <v>0</v>
      </c>
      <c r="Q49" s="68">
        <v>0</v>
      </c>
      <c r="R49" s="68">
        <v>0</v>
      </c>
      <c r="S49" s="68">
        <v>0</v>
      </c>
      <c r="T49" s="43">
        <v>751</v>
      </c>
      <c r="U49" s="43">
        <v>248</v>
      </c>
      <c r="V49" s="44">
        <v>33427100</v>
      </c>
      <c r="W49" s="43">
        <v>420</v>
      </c>
      <c r="X49" s="43">
        <v>0</v>
      </c>
      <c r="Y49" s="44">
        <v>75415</v>
      </c>
      <c r="Z49" s="52">
        <f>N49*$T49</f>
        <v>0</v>
      </c>
      <c r="AA49" s="52">
        <f>O49*$T49</f>
        <v>0</v>
      </c>
      <c r="AB49" s="52">
        <f>P49*$T49</f>
        <v>0</v>
      </c>
    </row>
    <row r="50">
      <c r="B50" t="s" s="73">
        <v>47</v>
      </c>
      <c r="C50" t="s" s="73">
        <v>179</v>
      </c>
      <c r="D50" t="s" s="73">
        <v>237</v>
      </c>
      <c r="E50" s="43">
        <v>1278929.3</v>
      </c>
      <c r="F50" s="43">
        <v>0</v>
      </c>
      <c r="G50" s="52">
        <f>E50-F50</f>
        <v>1278929.3</v>
      </c>
      <c r="H50" s="43">
        <v>0</v>
      </c>
      <c r="I50" s="43">
        <v>0</v>
      </c>
      <c r="J50" s="43">
        <v>1278929.3</v>
      </c>
      <c r="K50" s="43">
        <v>0</v>
      </c>
      <c r="L50" s="43">
        <v>0</v>
      </c>
      <c r="M50" s="43">
        <v>0</v>
      </c>
      <c r="N50" s="14">
        <f>IF($G50&gt;0,MIN(1,MAX(0,(H50-K50)/$G50)),0)</f>
        <v>0</v>
      </c>
      <c r="O50" s="14">
        <f>IF($G50&gt;0,MIN(1,MAX(0,(I50-L50)/$G50)),0)</f>
        <v>0</v>
      </c>
      <c r="P50" s="14">
        <f>IF($G50&gt;0,MIN(1,MAX(0,(J50-M50)/$G50)),0)</f>
        <v>1</v>
      </c>
      <c r="Q50" s="68">
        <v>0</v>
      </c>
      <c r="R50" s="68">
        <v>0</v>
      </c>
      <c r="S50" s="68">
        <v>1</v>
      </c>
      <c r="T50" s="43">
        <v>1113</v>
      </c>
      <c r="U50" s="43">
        <v>464</v>
      </c>
      <c r="V50" s="44">
        <v>43717200</v>
      </c>
      <c r="W50" s="43">
        <v>736</v>
      </c>
      <c r="X50" s="43">
        <v>15</v>
      </c>
      <c r="Y50" s="44">
        <v>85528</v>
      </c>
      <c r="Z50" s="52">
        <f>N50*$T50</f>
        <v>0</v>
      </c>
      <c r="AA50" s="52">
        <f>O50*$T50</f>
        <v>0</v>
      </c>
      <c r="AB50" s="52">
        <f>P50*$T50</f>
        <v>1113</v>
      </c>
    </row>
    <row r="51">
      <c r="B51" t="s" s="73">
        <v>48</v>
      </c>
      <c r="C51" t="s" s="73">
        <v>179</v>
      </c>
      <c r="D51" t="s" s="73">
        <v>237</v>
      </c>
      <c r="E51" s="43">
        <v>3209328</v>
      </c>
      <c r="F51" s="43">
        <v>1405317</v>
      </c>
      <c r="G51" s="52">
        <f>E51-F51</f>
        <v>1804011</v>
      </c>
      <c r="H51" s="43">
        <v>0</v>
      </c>
      <c r="I51" s="43">
        <v>0</v>
      </c>
      <c r="J51" s="43">
        <v>380022.3</v>
      </c>
      <c r="K51" s="43">
        <v>0</v>
      </c>
      <c r="L51" s="43">
        <v>0</v>
      </c>
      <c r="M51" s="43">
        <v>0</v>
      </c>
      <c r="N51" s="14">
        <f>IF($G51&gt;0,MIN(1,MAX(0,(H51-K51)/$G51)),0)</f>
        <v>0</v>
      </c>
      <c r="O51" s="14">
        <f>IF($G51&gt;0,MIN(1,MAX(0,(I51-L51)/$G51)),0)</f>
        <v>0</v>
      </c>
      <c r="P51" s="14">
        <f>IF($G51&gt;0,MIN(1,MAX(0,(J51-M51)/$G51)),0)</f>
        <v>0.21065409246395947</v>
      </c>
      <c r="Q51" s="68">
        <v>0</v>
      </c>
      <c r="R51" s="68">
        <v>0</v>
      </c>
      <c r="S51" s="68">
        <v>0</v>
      </c>
      <c r="T51" s="43">
        <v>2367</v>
      </c>
      <c r="U51" s="43">
        <v>1039</v>
      </c>
      <c r="V51" s="44">
        <v>88734900</v>
      </c>
      <c r="W51" s="43">
        <v>1074</v>
      </c>
      <c r="X51" s="43">
        <v>0</v>
      </c>
      <c r="Y51" s="44">
        <v>85528</v>
      </c>
      <c r="Z51" s="52">
        <f>N51*$T51</f>
        <v>0</v>
      </c>
      <c r="AA51" s="52">
        <f>O51*$T51</f>
        <v>0</v>
      </c>
      <c r="AB51" s="52">
        <f>P51*$T51</f>
        <v>498.6182368621921</v>
      </c>
    </row>
    <row r="52">
      <c r="B52" t="s" s="73">
        <v>49</v>
      </c>
      <c r="C52" t="s" s="73">
        <v>179</v>
      </c>
      <c r="D52" t="s" s="73">
        <v>237</v>
      </c>
      <c r="E52" s="43">
        <v>13771785.6</v>
      </c>
      <c r="F52" s="43">
        <v>5479319</v>
      </c>
      <c r="G52" s="52">
        <f>E52-F52</f>
        <v>8292466.6</v>
      </c>
      <c r="H52" s="43">
        <v>0</v>
      </c>
      <c r="I52" s="43">
        <v>1838344.8</v>
      </c>
      <c r="J52" s="43">
        <v>12661636.2</v>
      </c>
      <c r="K52" s="43">
        <v>0</v>
      </c>
      <c r="L52" s="43">
        <v>232391.8</v>
      </c>
      <c r="M52" s="43">
        <v>4594234.7</v>
      </c>
      <c r="N52" s="14">
        <f>IF($G52&gt;0,MIN(1,MAX(0,(H52-K52)/$G52)),0)</f>
        <v>0</v>
      </c>
      <c r="O52" s="14">
        <f>IF($G52&gt;0,MIN(1,MAX(0,(I52-L52)/$G52)),0)</f>
        <v>0.1936640902478884</v>
      </c>
      <c r="P52" s="14">
        <f>IF($G52&gt;0,MIN(1,MAX(0,(J52-M52)/$G52)),0)</f>
        <v>0.9728590887541229</v>
      </c>
      <c r="Q52" s="68">
        <v>0</v>
      </c>
      <c r="R52" s="68">
        <v>0</v>
      </c>
      <c r="S52" s="68">
        <v>1</v>
      </c>
      <c r="T52" s="43">
        <v>1379</v>
      </c>
      <c r="U52" s="43">
        <v>459</v>
      </c>
      <c r="V52" s="44">
        <v>46589300</v>
      </c>
      <c r="W52" s="43">
        <v>785</v>
      </c>
      <c r="X52" s="43">
        <v>55</v>
      </c>
      <c r="Y52" s="44">
        <v>85528</v>
      </c>
      <c r="Z52" s="52">
        <f>N52*$T52</f>
        <v>0</v>
      </c>
      <c r="AA52" s="52">
        <f>O52*$T52</f>
        <v>267.0627804518381</v>
      </c>
      <c r="AB52" s="52">
        <f>P52*$T52</f>
        <v>1341.5726833919355</v>
      </c>
    </row>
    <row r="53">
      <c r="B53" t="s" s="73">
        <v>50</v>
      </c>
      <c r="C53" t="s" s="73">
        <v>180</v>
      </c>
      <c r="D53" t="s" s="73">
        <v>238</v>
      </c>
      <c r="E53" s="43">
        <v>1545030.4</v>
      </c>
      <c r="F53" s="43">
        <v>0</v>
      </c>
      <c r="G53" s="52">
        <f>E53-F53</f>
        <v>1545030.4</v>
      </c>
      <c r="H53" s="43">
        <v>0</v>
      </c>
      <c r="I53" s="43">
        <v>0</v>
      </c>
      <c r="J53" s="43">
        <v>69168.9</v>
      </c>
      <c r="K53" s="43">
        <v>0</v>
      </c>
      <c r="L53" s="43">
        <v>0</v>
      </c>
      <c r="M53" s="43">
        <v>0</v>
      </c>
      <c r="N53" s="14">
        <f>IF($G53&gt;0,MIN(1,MAX(0,(H53-K53)/$G53)),0)</f>
        <v>0</v>
      </c>
      <c r="O53" s="14">
        <f>IF($G53&gt;0,MIN(1,MAX(0,(I53-L53)/$G53)),0)</f>
        <v>0</v>
      </c>
      <c r="P53" s="14">
        <f>IF($G53&gt;0,MIN(1,MAX(0,(J53-M53)/$G53)),0)</f>
        <v>0.04476863367866418</v>
      </c>
      <c r="Q53" s="68">
        <v>0</v>
      </c>
      <c r="R53" s="68">
        <v>0</v>
      </c>
      <c r="S53" s="68">
        <v>0</v>
      </c>
      <c r="T53" s="43">
        <v>3530</v>
      </c>
      <c r="U53" s="43">
        <v>958</v>
      </c>
      <c r="V53" s="44">
        <v>148267800</v>
      </c>
      <c r="W53" s="43">
        <v>1809</v>
      </c>
      <c r="X53" s="43">
        <v>11</v>
      </c>
      <c r="Y53" s="44">
        <v>124522</v>
      </c>
      <c r="Z53" s="52">
        <f>N53*$T53</f>
        <v>0</v>
      </c>
      <c r="AA53" s="52">
        <f>O53*$T53</f>
        <v>0</v>
      </c>
      <c r="AB53" s="52">
        <f>P53*$T53</f>
        <v>158.03327688568456</v>
      </c>
    </row>
    <row r="54">
      <c r="B54" t="s" s="73">
        <v>51</v>
      </c>
      <c r="C54" t="s" s="73">
        <v>180</v>
      </c>
      <c r="D54" t="s" s="73">
        <v>238</v>
      </c>
      <c r="E54" s="43">
        <v>1601379.2</v>
      </c>
      <c r="F54" s="43">
        <v>12346.4</v>
      </c>
      <c r="G54" s="52">
        <f>E54-F54</f>
        <v>1589032.8</v>
      </c>
      <c r="H54" s="43">
        <v>0</v>
      </c>
      <c r="I54" s="43">
        <v>0</v>
      </c>
      <c r="J54" s="43">
        <v>1069129.4</v>
      </c>
      <c r="K54" s="43">
        <v>0</v>
      </c>
      <c r="L54" s="43">
        <v>0</v>
      </c>
      <c r="M54" s="43">
        <v>12346.4</v>
      </c>
      <c r="N54" s="14">
        <f>IF($G54&gt;0,MIN(1,MAX(0,(H54-K54)/$G54)),0)</f>
        <v>0</v>
      </c>
      <c r="O54" s="14">
        <f>IF($G54&gt;0,MIN(1,MAX(0,(I54-L54)/$G54)),0)</f>
        <v>0</v>
      </c>
      <c r="P54" s="14">
        <f>IF($G54&gt;0,MIN(1,MAX(0,(J54-M54)/$G54)),0)</f>
        <v>0.6650479461468637</v>
      </c>
      <c r="Q54" s="68">
        <v>0</v>
      </c>
      <c r="R54" s="68">
        <v>0</v>
      </c>
      <c r="S54" s="68">
        <v>1</v>
      </c>
      <c r="T54" s="43">
        <v>2201</v>
      </c>
      <c r="U54" s="43">
        <v>782</v>
      </c>
      <c r="V54" s="44">
        <v>82059200</v>
      </c>
      <c r="W54" s="43">
        <v>1273</v>
      </c>
      <c r="X54" s="43">
        <v>119</v>
      </c>
      <c r="Y54" s="44">
        <v>124522</v>
      </c>
      <c r="Z54" s="52">
        <f>N54*$T54</f>
        <v>0</v>
      </c>
      <c r="AA54" s="52">
        <f>O54*$T54</f>
        <v>0</v>
      </c>
      <c r="AB54" s="52">
        <f>P54*$T54</f>
        <v>1463.7705294692469</v>
      </c>
    </row>
    <row r="55">
      <c r="B55" t="s" s="73">
        <v>52</v>
      </c>
      <c r="C55" t="s" s="73">
        <v>181</v>
      </c>
      <c r="D55" t="s" s="73">
        <v>239</v>
      </c>
      <c r="E55" s="43">
        <v>13210514.9</v>
      </c>
      <c r="F55" s="43">
        <v>3493881.6</v>
      </c>
      <c r="G55" s="52">
        <f>E55-F55</f>
        <v>9716633.3</v>
      </c>
      <c r="H55" s="43">
        <v>0</v>
      </c>
      <c r="I55" s="43">
        <v>0</v>
      </c>
      <c r="J55" s="43">
        <v>7067003.7</v>
      </c>
      <c r="K55" s="43">
        <v>0</v>
      </c>
      <c r="L55" s="43">
        <v>0</v>
      </c>
      <c r="M55" s="43">
        <v>1120712.2</v>
      </c>
      <c r="N55" s="14">
        <f>IF($G55&gt;0,MIN(1,MAX(0,(H55-K55)/$G55)),0)</f>
        <v>0</v>
      </c>
      <c r="O55" s="14">
        <f>IF($G55&gt;0,MIN(1,MAX(0,(I55-L55)/$G55)),0)</f>
        <v>0</v>
      </c>
      <c r="P55" s="14">
        <f>IF($G55&gt;0,MIN(1,MAX(0,(J55-M55)/$G55)),0)</f>
        <v>0.6119703519119116</v>
      </c>
      <c r="Q55" s="68">
        <v>0</v>
      </c>
      <c r="R55" s="68">
        <v>0</v>
      </c>
      <c r="S55" s="68">
        <v>1</v>
      </c>
      <c r="T55" s="43">
        <v>1295</v>
      </c>
      <c r="U55" s="43">
        <v>848</v>
      </c>
      <c r="V55" s="44">
        <v>79658400</v>
      </c>
      <c r="W55" s="43">
        <v>1121</v>
      </c>
      <c r="X55" s="43">
        <v>0</v>
      </c>
      <c r="Y55" s="44">
        <v>74919</v>
      </c>
      <c r="Z55" s="52">
        <f>N55*$T55</f>
        <v>0</v>
      </c>
      <c r="AA55" s="52">
        <f>O55*$T55</f>
        <v>0</v>
      </c>
      <c r="AB55" s="52">
        <f>P55*$T55</f>
        <v>792.5016057259255</v>
      </c>
    </row>
    <row r="56">
      <c r="B56" t="s" s="73">
        <v>53</v>
      </c>
      <c r="C56" t="s" s="73">
        <v>182</v>
      </c>
      <c r="D56" t="s" s="73">
        <v>233</v>
      </c>
      <c r="E56" s="43">
        <v>942542.8</v>
      </c>
      <c r="F56" s="43">
        <v>25738.8</v>
      </c>
      <c r="G56" s="52">
        <f>E56-F56</f>
        <v>916804</v>
      </c>
      <c r="H56" s="43">
        <v>0</v>
      </c>
      <c r="I56" s="43">
        <v>0</v>
      </c>
      <c r="J56" s="43">
        <v>98666</v>
      </c>
      <c r="K56" s="43">
        <v>0</v>
      </c>
      <c r="L56" s="43">
        <v>0</v>
      </c>
      <c r="M56" s="43">
        <v>5773.9</v>
      </c>
      <c r="N56" s="14">
        <f>IF($G56&gt;0,MIN(1,MAX(0,(H56-K56)/$G56)),0)</f>
        <v>0</v>
      </c>
      <c r="O56" s="14">
        <f>IF($G56&gt;0,MIN(1,MAX(0,(I56-L56)/$G56)),0)</f>
        <v>0</v>
      </c>
      <c r="P56" s="14">
        <f>IF($G56&gt;0,MIN(1,MAX(0,(J56-M56)/$G56)),0)</f>
        <v>0.10132165653727515</v>
      </c>
      <c r="Q56" s="68">
        <v>0</v>
      </c>
      <c r="R56" s="68">
        <v>0</v>
      </c>
      <c r="S56" s="68">
        <v>0</v>
      </c>
      <c r="T56" s="43">
        <v>1034</v>
      </c>
      <c r="U56" s="43">
        <v>424</v>
      </c>
      <c r="V56" s="44">
        <v>66354300</v>
      </c>
      <c r="W56" s="43">
        <v>692</v>
      </c>
      <c r="X56" s="43">
        <v>53</v>
      </c>
      <c r="Y56" s="44">
        <v>135761</v>
      </c>
      <c r="Z56" s="52">
        <f>N56*$T56</f>
        <v>0</v>
      </c>
      <c r="AA56" s="52">
        <f>O56*$T56</f>
        <v>0</v>
      </c>
      <c r="AB56" s="52">
        <f>P56*$T56</f>
        <v>104.76659285954251</v>
      </c>
    </row>
    <row r="57">
      <c r="B57" t="s" s="73">
        <v>54</v>
      </c>
      <c r="C57" t="s" s="73">
        <v>182</v>
      </c>
      <c r="D57" t="s" s="73">
        <v>233</v>
      </c>
      <c r="E57" s="43">
        <v>566516.8</v>
      </c>
      <c r="F57" s="43">
        <v>0</v>
      </c>
      <c r="G57" s="52">
        <f>E57-F57</f>
        <v>566516.8</v>
      </c>
      <c r="H57" s="43">
        <v>0</v>
      </c>
      <c r="I57" s="43">
        <v>0</v>
      </c>
      <c r="J57" s="43">
        <v>424889.4</v>
      </c>
      <c r="K57" s="43">
        <v>0</v>
      </c>
      <c r="L57" s="43">
        <v>0</v>
      </c>
      <c r="M57" s="43">
        <v>0</v>
      </c>
      <c r="N57" s="14">
        <f>IF($G57&gt;0,MIN(1,MAX(0,(H57-K57)/$G57)),0)</f>
        <v>0</v>
      </c>
      <c r="O57" s="14">
        <f>IF($G57&gt;0,MIN(1,MAX(0,(I57-L57)/$G57)),0)</f>
        <v>0</v>
      </c>
      <c r="P57" s="14">
        <f>IF($G57&gt;0,MIN(1,MAX(0,(J57-M57)/$G57)),0)</f>
        <v>0.7500031773108935</v>
      </c>
      <c r="Q57" s="68">
        <v>0</v>
      </c>
      <c r="R57" s="68">
        <v>0</v>
      </c>
      <c r="S57" s="68">
        <v>1</v>
      </c>
      <c r="T57" s="43">
        <v>1635</v>
      </c>
      <c r="U57" s="43">
        <v>694</v>
      </c>
      <c r="V57" s="44">
        <v>85965200</v>
      </c>
      <c r="W57" s="43">
        <v>1032</v>
      </c>
      <c r="X57" s="43">
        <v>19</v>
      </c>
      <c r="Y57" s="44">
        <v>135761</v>
      </c>
      <c r="Z57" s="52">
        <f>N57*$T57</f>
        <v>0</v>
      </c>
      <c r="AA57" s="52">
        <f>O57*$T57</f>
        <v>0</v>
      </c>
      <c r="AB57" s="52">
        <f>P57*$T57</f>
        <v>1226.255194903311</v>
      </c>
    </row>
    <row r="58">
      <c r="B58" t="s" s="73">
        <v>55</v>
      </c>
      <c r="C58" t="s" s="73">
        <v>182</v>
      </c>
      <c r="D58" t="s" s="73">
        <v>233</v>
      </c>
      <c r="E58" s="43">
        <v>880394</v>
      </c>
      <c r="F58" s="43">
        <v>1655.6</v>
      </c>
      <c r="G58" s="52">
        <f>E58-F58</f>
        <v>878738.4</v>
      </c>
      <c r="H58" s="43">
        <v>0</v>
      </c>
      <c r="I58" s="43">
        <v>0</v>
      </c>
      <c r="J58" s="43">
        <v>880394</v>
      </c>
      <c r="K58" s="43">
        <v>0</v>
      </c>
      <c r="L58" s="43">
        <v>0</v>
      </c>
      <c r="M58" s="43">
        <v>1655.6</v>
      </c>
      <c r="N58" s="14">
        <f>IF($G58&gt;0,MIN(1,MAX(0,(H58-K58)/$G58)),0)</f>
        <v>0</v>
      </c>
      <c r="O58" s="14">
        <f>IF($G58&gt;0,MIN(1,MAX(0,(I58-L58)/$G58)),0)</f>
        <v>0</v>
      </c>
      <c r="P58" s="14">
        <f>IF($G58&gt;0,MIN(1,MAX(0,(J58-M58)/$G58)),0)</f>
        <v>1</v>
      </c>
      <c r="Q58" s="68">
        <v>0</v>
      </c>
      <c r="R58" s="68">
        <v>0</v>
      </c>
      <c r="S58" s="68">
        <v>1</v>
      </c>
      <c r="T58" s="43">
        <v>1492</v>
      </c>
      <c r="U58" s="43">
        <v>552</v>
      </c>
      <c r="V58" s="44">
        <v>104778700</v>
      </c>
      <c r="W58" s="43">
        <v>999</v>
      </c>
      <c r="X58" s="43">
        <v>17</v>
      </c>
      <c r="Y58" s="44">
        <v>135761</v>
      </c>
      <c r="Z58" s="52">
        <f>N58*$T58</f>
        <v>0</v>
      </c>
      <c r="AA58" s="52">
        <f>O58*$T58</f>
        <v>0</v>
      </c>
      <c r="AB58" s="52">
        <f>P58*$T58</f>
        <v>1492</v>
      </c>
    </row>
    <row r="59">
      <c r="B59" t="s" s="73">
        <v>56</v>
      </c>
      <c r="C59" t="s" s="73">
        <v>183</v>
      </c>
      <c r="D59" t="s" s="73">
        <v>233</v>
      </c>
      <c r="E59" s="43">
        <v>498655.1</v>
      </c>
      <c r="F59" s="43">
        <v>0</v>
      </c>
      <c r="G59" s="52">
        <f>E59-F59</f>
        <v>498655.1</v>
      </c>
      <c r="H59" s="43">
        <v>0</v>
      </c>
      <c r="I59" s="43">
        <v>0</v>
      </c>
      <c r="J59" s="43">
        <v>498655.1</v>
      </c>
      <c r="K59" s="43">
        <v>0</v>
      </c>
      <c r="L59" s="43">
        <v>0</v>
      </c>
      <c r="M59" s="43">
        <v>0</v>
      </c>
      <c r="N59" s="14">
        <f>IF($G59&gt;0,MIN(1,MAX(0,(H59-K59)/$G59)),0)</f>
        <v>0</v>
      </c>
      <c r="O59" s="14">
        <f>IF($G59&gt;0,MIN(1,MAX(0,(I59-L59)/$G59)),0)</f>
        <v>0</v>
      </c>
      <c r="P59" s="14">
        <f>IF($G59&gt;0,MIN(1,MAX(0,(J59-M59)/$G59)),0)</f>
        <v>1</v>
      </c>
      <c r="Q59" s="68">
        <v>0</v>
      </c>
      <c r="R59" s="68">
        <v>0</v>
      </c>
      <c r="S59" s="68">
        <v>1</v>
      </c>
      <c r="T59" s="43">
        <v>1069</v>
      </c>
      <c r="U59" s="43">
        <v>455</v>
      </c>
      <c r="V59" s="44">
        <v>58033600</v>
      </c>
      <c r="W59" s="43">
        <v>721</v>
      </c>
      <c r="X59" s="43">
        <v>30</v>
      </c>
      <c r="Y59" s="44">
        <v>102420</v>
      </c>
      <c r="Z59" s="52">
        <f>N59*$T59</f>
        <v>0</v>
      </c>
      <c r="AA59" s="52">
        <f>O59*$T59</f>
        <v>0</v>
      </c>
      <c r="AB59" s="52">
        <f>P59*$T59</f>
        <v>1069</v>
      </c>
    </row>
    <row r="60">
      <c r="B60" t="s" s="73">
        <v>57</v>
      </c>
      <c r="C60" t="s" s="73">
        <v>183</v>
      </c>
      <c r="D60" t="s" s="73">
        <v>233</v>
      </c>
      <c r="E60" s="43">
        <v>561242.5</v>
      </c>
      <c r="F60" s="43">
        <v>0</v>
      </c>
      <c r="G60" s="52">
        <f>E60-F60</f>
        <v>561242.5</v>
      </c>
      <c r="H60" s="43">
        <v>0</v>
      </c>
      <c r="I60" s="43">
        <v>0</v>
      </c>
      <c r="J60" s="43">
        <v>561242.5</v>
      </c>
      <c r="K60" s="43">
        <v>0</v>
      </c>
      <c r="L60" s="43">
        <v>0</v>
      </c>
      <c r="M60" s="43">
        <v>0</v>
      </c>
      <c r="N60" s="14">
        <f>IF($G60&gt;0,MIN(1,MAX(0,(H60-K60)/$G60)),0)</f>
        <v>0</v>
      </c>
      <c r="O60" s="14">
        <f>IF($G60&gt;0,MIN(1,MAX(0,(I60-L60)/$G60)),0)</f>
        <v>0</v>
      </c>
      <c r="P60" s="14">
        <f>IF($G60&gt;0,MIN(1,MAX(0,(J60-M60)/$G60)),0)</f>
        <v>1</v>
      </c>
      <c r="Q60" s="68">
        <v>0</v>
      </c>
      <c r="R60" s="68">
        <v>0</v>
      </c>
      <c r="S60" s="68">
        <v>1</v>
      </c>
      <c r="T60" s="43">
        <v>1028</v>
      </c>
      <c r="U60" s="43">
        <v>398</v>
      </c>
      <c r="V60" s="44">
        <v>57876600</v>
      </c>
      <c r="W60" s="43">
        <v>723</v>
      </c>
      <c r="X60" s="43">
        <v>31</v>
      </c>
      <c r="Y60" s="44">
        <v>102420</v>
      </c>
      <c r="Z60" s="52">
        <f>N60*$T60</f>
        <v>0</v>
      </c>
      <c r="AA60" s="52">
        <f>O60*$T60</f>
        <v>0</v>
      </c>
      <c r="AB60" s="52">
        <f>P60*$T60</f>
        <v>1028</v>
      </c>
    </row>
    <row r="61">
      <c r="B61" t="s" s="73">
        <v>58</v>
      </c>
      <c r="C61" t="s" s="73">
        <v>183</v>
      </c>
      <c r="D61" t="s" s="73">
        <v>233</v>
      </c>
      <c r="E61" s="43">
        <v>481348.1</v>
      </c>
      <c r="F61" s="43">
        <v>0</v>
      </c>
      <c r="G61" s="52">
        <f>E61-F61</f>
        <v>481348.1</v>
      </c>
      <c r="H61" s="43">
        <v>0</v>
      </c>
      <c r="I61" s="43">
        <v>0</v>
      </c>
      <c r="J61" s="43">
        <v>481348.1</v>
      </c>
      <c r="K61" s="43">
        <v>0</v>
      </c>
      <c r="L61" s="43">
        <v>0</v>
      </c>
      <c r="M61" s="43">
        <v>0</v>
      </c>
      <c r="N61" s="14">
        <f>IF($G61&gt;0,MIN(1,MAX(0,(H61-K61)/$G61)),0)</f>
        <v>0</v>
      </c>
      <c r="O61" s="14">
        <f>IF($G61&gt;0,MIN(1,MAX(0,(I61-L61)/$G61)),0)</f>
        <v>0</v>
      </c>
      <c r="P61" s="14">
        <f>IF($G61&gt;0,MIN(1,MAX(0,(J61-M61)/$G61)),0)</f>
        <v>1</v>
      </c>
      <c r="Q61" s="68">
        <v>0</v>
      </c>
      <c r="R61" s="68">
        <v>0</v>
      </c>
      <c r="S61" s="68">
        <v>1</v>
      </c>
      <c r="T61" s="43">
        <v>1212</v>
      </c>
      <c r="U61" s="43">
        <v>526</v>
      </c>
      <c r="V61" s="44">
        <v>46449600</v>
      </c>
      <c r="W61" s="43">
        <v>698</v>
      </c>
      <c r="X61" s="43">
        <v>64</v>
      </c>
      <c r="Y61" s="44">
        <v>102420</v>
      </c>
      <c r="Z61" s="52">
        <f>N61*$T61</f>
        <v>0</v>
      </c>
      <c r="AA61" s="52">
        <f>O61*$T61</f>
        <v>0</v>
      </c>
      <c r="AB61" s="52">
        <f>P61*$T61</f>
        <v>1212</v>
      </c>
    </row>
    <row r="62">
      <c r="B62" t="s" s="73">
        <v>59</v>
      </c>
      <c r="C62" t="s" s="73">
        <v>184</v>
      </c>
      <c r="D62" t="s" s="73">
        <v>233</v>
      </c>
      <c r="E62" s="43">
        <v>334749.8</v>
      </c>
      <c r="F62" s="43">
        <v>0</v>
      </c>
      <c r="G62" s="52">
        <f>E62-F62</f>
        <v>334749.8</v>
      </c>
      <c r="H62" s="43">
        <v>0</v>
      </c>
      <c r="I62" s="43">
        <v>0</v>
      </c>
      <c r="J62" s="43">
        <v>153724.6</v>
      </c>
      <c r="K62" s="43">
        <v>0</v>
      </c>
      <c r="L62" s="43">
        <v>0</v>
      </c>
      <c r="M62" s="43">
        <v>0</v>
      </c>
      <c r="N62" s="14">
        <f>IF($G62&gt;0,MIN(1,MAX(0,(H62-K62)/$G62)),0)</f>
        <v>0</v>
      </c>
      <c r="O62" s="14">
        <f>IF($G62&gt;0,MIN(1,MAX(0,(I62-L62)/$G62)),0)</f>
        <v>0</v>
      </c>
      <c r="P62" s="14">
        <f>IF($G62&gt;0,MIN(1,MAX(0,(J62-M62)/$G62)),0)</f>
        <v>0.45922238041665747</v>
      </c>
      <c r="Q62" s="68">
        <v>0</v>
      </c>
      <c r="R62" s="68">
        <v>0</v>
      </c>
      <c r="S62" s="68">
        <v>0</v>
      </c>
      <c r="T62" s="43">
        <v>1816</v>
      </c>
      <c r="U62" s="43">
        <v>656</v>
      </c>
      <c r="V62" s="44">
        <v>49517100</v>
      </c>
      <c r="W62" s="43">
        <v>985</v>
      </c>
      <c r="X62" s="43">
        <v>0</v>
      </c>
      <c r="Y62" s="44">
        <v>75898</v>
      </c>
      <c r="Z62" s="52">
        <f>N62*$T62</f>
        <v>0</v>
      </c>
      <c r="AA62" s="52">
        <f>O62*$T62</f>
        <v>0</v>
      </c>
      <c r="AB62" s="52">
        <f>P62*$T62</f>
        <v>833.94784283665</v>
      </c>
    </row>
    <row r="63">
      <c r="B63" t="s" s="73">
        <v>60</v>
      </c>
      <c r="C63" t="s" s="73">
        <v>184</v>
      </c>
      <c r="D63" t="s" s="73">
        <v>233</v>
      </c>
      <c r="E63" s="43">
        <v>785006.5</v>
      </c>
      <c r="F63" s="43">
        <v>0</v>
      </c>
      <c r="G63" s="52">
        <f>E63-F63</f>
        <v>785006.5</v>
      </c>
      <c r="H63" s="43">
        <v>0</v>
      </c>
      <c r="I63" s="43">
        <v>0</v>
      </c>
      <c r="J63" s="43">
        <v>173099</v>
      </c>
      <c r="K63" s="43">
        <v>0</v>
      </c>
      <c r="L63" s="43">
        <v>0</v>
      </c>
      <c r="M63" s="43">
        <v>0</v>
      </c>
      <c r="N63" s="14">
        <f>IF($G63&gt;0,MIN(1,MAX(0,(H63-K63)/$G63)),0)</f>
        <v>0</v>
      </c>
      <c r="O63" s="14">
        <f>IF($G63&gt;0,MIN(1,MAX(0,(I63-L63)/$G63)),0)</f>
        <v>0</v>
      </c>
      <c r="P63" s="14">
        <f>IF($G63&gt;0,MIN(1,MAX(0,(J63-M63)/$G63)),0)</f>
        <v>0.2205064544051546</v>
      </c>
      <c r="Q63" s="68">
        <v>0</v>
      </c>
      <c r="R63" s="68">
        <v>0</v>
      </c>
      <c r="S63" s="68">
        <v>0</v>
      </c>
      <c r="T63" s="43">
        <v>1924</v>
      </c>
      <c r="U63" s="43">
        <v>693</v>
      </c>
      <c r="V63" s="44">
        <v>126852100</v>
      </c>
      <c r="W63" s="43">
        <v>1383</v>
      </c>
      <c r="X63" s="43">
        <v>63</v>
      </c>
      <c r="Y63" s="44">
        <v>75898</v>
      </c>
      <c r="Z63" s="52">
        <f>N63*$T63</f>
        <v>0</v>
      </c>
      <c r="AA63" s="52">
        <f>O63*$T63</f>
        <v>0</v>
      </c>
      <c r="AB63" s="52">
        <f>P63*$T63</f>
        <v>424.2544182755174</v>
      </c>
    </row>
    <row r="64">
      <c r="B64" t="s" s="73">
        <v>61</v>
      </c>
      <c r="C64" t="s" s="73">
        <v>185</v>
      </c>
      <c r="D64" t="s" s="73">
        <v>237</v>
      </c>
      <c r="E64" s="43">
        <v>1315133.6</v>
      </c>
      <c r="F64" s="43">
        <v>0</v>
      </c>
      <c r="G64" s="52">
        <f>E64-F64</f>
        <v>1315133.6</v>
      </c>
      <c r="H64" s="43">
        <v>0</v>
      </c>
      <c r="I64" s="43">
        <v>1315133.6</v>
      </c>
      <c r="J64" s="43">
        <v>1315133.6</v>
      </c>
      <c r="K64" s="43">
        <v>0</v>
      </c>
      <c r="L64" s="43">
        <v>0</v>
      </c>
      <c r="M64" s="43">
        <v>0</v>
      </c>
      <c r="N64" s="14">
        <f>IF($G64&gt;0,MIN(1,MAX(0,(H64-K64)/$G64)),0)</f>
        <v>0</v>
      </c>
      <c r="O64" s="14">
        <f>IF($G64&gt;0,MIN(1,MAX(0,(I64-L64)/$G64)),0)</f>
        <v>1</v>
      </c>
      <c r="P64" s="14">
        <f>IF($G64&gt;0,MIN(1,MAX(0,(J64-M64)/$G64)),0)</f>
        <v>1</v>
      </c>
      <c r="Q64" s="68">
        <v>0</v>
      </c>
      <c r="R64" s="68">
        <v>1</v>
      </c>
      <c r="S64" s="68">
        <v>1</v>
      </c>
      <c r="T64" s="43">
        <v>1666</v>
      </c>
      <c r="U64" s="43">
        <v>631</v>
      </c>
      <c r="V64" s="44">
        <v>71829700</v>
      </c>
      <c r="W64" s="43">
        <v>1180</v>
      </c>
      <c r="X64" s="43">
        <v>144</v>
      </c>
      <c r="Y64" s="44">
        <v>81250</v>
      </c>
      <c r="Z64" s="52">
        <f>N64*$T64</f>
        <v>0</v>
      </c>
      <c r="AA64" s="52">
        <f>O64*$T64</f>
        <v>1666</v>
      </c>
      <c r="AB64" s="52">
        <f>P64*$T64</f>
        <v>1666</v>
      </c>
    </row>
    <row r="65">
      <c r="B65" t="s" s="73">
        <v>62</v>
      </c>
      <c r="C65" t="s" s="73">
        <v>185</v>
      </c>
      <c r="D65" t="s" s="73">
        <v>237</v>
      </c>
      <c r="E65" s="43">
        <v>2184357.1</v>
      </c>
      <c r="F65" s="43">
        <v>0</v>
      </c>
      <c r="G65" s="52">
        <f>E65-F65</f>
        <v>2184357.1</v>
      </c>
      <c r="H65" s="43">
        <v>0</v>
      </c>
      <c r="I65" s="43">
        <v>516829.4</v>
      </c>
      <c r="J65" s="43">
        <v>2184357.1</v>
      </c>
      <c r="K65" s="43">
        <v>0</v>
      </c>
      <c r="L65" s="43">
        <v>0</v>
      </c>
      <c r="M65" s="43">
        <v>0</v>
      </c>
      <c r="N65" s="14">
        <f>IF($G65&gt;0,MIN(1,MAX(0,(H65-K65)/$G65)),0)</f>
        <v>0</v>
      </c>
      <c r="O65" s="14">
        <f>IF($G65&gt;0,MIN(1,MAX(0,(I65-L65)/$G65)),0)</f>
        <v>0.23660481154844143</v>
      </c>
      <c r="P65" s="14">
        <f>IF($G65&gt;0,MIN(1,MAX(0,(J65-M65)/$G65)),0)</f>
        <v>1</v>
      </c>
      <c r="Q65" s="68">
        <v>0</v>
      </c>
      <c r="R65" s="68">
        <v>0</v>
      </c>
      <c r="S65" s="68">
        <v>1</v>
      </c>
      <c r="T65" s="43">
        <v>2390</v>
      </c>
      <c r="U65" s="43">
        <v>820</v>
      </c>
      <c r="V65" s="44">
        <v>64607400</v>
      </c>
      <c r="W65" s="43">
        <v>1056</v>
      </c>
      <c r="X65" s="43">
        <v>30</v>
      </c>
      <c r="Y65" s="44">
        <v>81250</v>
      </c>
      <c r="Z65" s="52">
        <f>N65*$T65</f>
        <v>0</v>
      </c>
      <c r="AA65" s="52">
        <f>O65*$T65</f>
        <v>565.485499600775</v>
      </c>
      <c r="AB65" s="52">
        <f>P65*$T65</f>
        <v>2390</v>
      </c>
    </row>
    <row r="66">
      <c r="B66" t="s" s="73">
        <v>63</v>
      </c>
      <c r="C66" t="s" s="73">
        <v>185</v>
      </c>
      <c r="D66" t="s" s="73">
        <v>237</v>
      </c>
      <c r="E66" s="43">
        <v>1279144.6</v>
      </c>
      <c r="F66" s="43">
        <v>0</v>
      </c>
      <c r="G66" s="52">
        <f>E66-F66</f>
        <v>1279144.6</v>
      </c>
      <c r="H66" s="43">
        <v>0</v>
      </c>
      <c r="I66" s="43">
        <v>1141140.7</v>
      </c>
      <c r="J66" s="43">
        <v>1279144.6</v>
      </c>
      <c r="K66" s="43">
        <v>0</v>
      </c>
      <c r="L66" s="43">
        <v>0</v>
      </c>
      <c r="M66" s="43">
        <v>0</v>
      </c>
      <c r="N66" s="14">
        <f>IF($G66&gt;0,MIN(1,MAX(0,(H66-K66)/$G66)),0)</f>
        <v>0</v>
      </c>
      <c r="O66" s="14">
        <f>IF($G66&gt;0,MIN(1,MAX(0,(I66-L66)/$G66)),0)</f>
        <v>0.8921123538339605</v>
      </c>
      <c r="P66" s="14">
        <f>IF($G66&gt;0,MIN(1,MAX(0,(J66-M66)/$G66)),0)</f>
        <v>1</v>
      </c>
      <c r="Q66" s="68">
        <v>0</v>
      </c>
      <c r="R66" s="68">
        <v>1</v>
      </c>
      <c r="S66" s="68">
        <v>1</v>
      </c>
      <c r="T66" s="43">
        <v>1373</v>
      </c>
      <c r="U66" s="43">
        <v>591</v>
      </c>
      <c r="V66" s="44">
        <v>54993000</v>
      </c>
      <c r="W66" s="43">
        <v>702</v>
      </c>
      <c r="X66" s="43">
        <v>13</v>
      </c>
      <c r="Y66" s="44">
        <v>81250</v>
      </c>
      <c r="Z66" s="52">
        <f>N66*$T66</f>
        <v>0</v>
      </c>
      <c r="AA66" s="52">
        <f>O66*$T66</f>
        <v>1224.8702618140278</v>
      </c>
      <c r="AB66" s="52">
        <f>P66*$T66</f>
        <v>1373</v>
      </c>
    </row>
    <row r="67">
      <c r="B67" t="s" s="73">
        <v>64</v>
      </c>
      <c r="C67" t="s" s="73">
        <v>186</v>
      </c>
      <c r="D67" t="s" s="73">
        <v>237</v>
      </c>
      <c r="E67" s="43">
        <v>8273920.5</v>
      </c>
      <c r="F67" s="43">
        <v>146969</v>
      </c>
      <c r="G67" s="52">
        <f>E67-F67</f>
        <v>8126951.5</v>
      </c>
      <c r="H67" s="43">
        <v>1663340.5</v>
      </c>
      <c r="I67" s="43">
        <v>8273920.5</v>
      </c>
      <c r="J67" s="43">
        <v>8273920.5</v>
      </c>
      <c r="K67" s="43">
        <v>118110.2</v>
      </c>
      <c r="L67" s="43">
        <v>146969</v>
      </c>
      <c r="M67" s="43">
        <v>146969</v>
      </c>
      <c r="N67" s="14">
        <f>IF($G67&gt;0,MIN(1,MAX(0,(H67-K67)/$G67)),0)</f>
        <v>0.1901365229016071</v>
      </c>
      <c r="O67" s="14">
        <f>IF($G67&gt;0,MIN(1,MAX(0,(I67-L67)/$G67)),0)</f>
        <v>1</v>
      </c>
      <c r="P67" s="14">
        <f>IF($G67&gt;0,MIN(1,MAX(0,(J67-M67)/$G67)),0)</f>
        <v>1</v>
      </c>
      <c r="Q67" s="68">
        <v>0</v>
      </c>
      <c r="R67" s="68">
        <v>1</v>
      </c>
      <c r="S67" s="68">
        <v>1</v>
      </c>
      <c r="T67" s="43">
        <v>990</v>
      </c>
      <c r="U67" s="43">
        <v>569</v>
      </c>
      <c r="V67" s="44">
        <v>56940700</v>
      </c>
      <c r="W67" s="43">
        <v>793</v>
      </c>
      <c r="X67" s="43">
        <v>39</v>
      </c>
      <c r="Y67" s="44">
        <v>100364</v>
      </c>
      <c r="Z67" s="52">
        <f>N67*$T67</f>
        <v>188.23515767259101</v>
      </c>
      <c r="AA67" s="52">
        <f>O67*$T67</f>
        <v>990</v>
      </c>
      <c r="AB67" s="52">
        <f>P67*$T67</f>
        <v>990</v>
      </c>
    </row>
    <row r="68">
      <c r="B68" t="s" s="73">
        <v>65</v>
      </c>
      <c r="C68" t="s" s="73">
        <v>186</v>
      </c>
      <c r="D68" t="s" s="73">
        <v>237</v>
      </c>
      <c r="E68" s="43">
        <v>2364903.8</v>
      </c>
      <c r="F68" s="43">
        <v>0</v>
      </c>
      <c r="G68" s="52">
        <f>E68-F68</f>
        <v>2364903.8</v>
      </c>
      <c r="H68" s="43">
        <v>316542</v>
      </c>
      <c r="I68" s="43">
        <v>2364903.8</v>
      </c>
      <c r="J68" s="43">
        <v>2364903.8</v>
      </c>
      <c r="K68" s="43">
        <v>0</v>
      </c>
      <c r="L68" s="43">
        <v>0</v>
      </c>
      <c r="M68" s="43">
        <v>0</v>
      </c>
      <c r="N68" s="14">
        <f>IF($G68&gt;0,MIN(1,MAX(0,(H68-K68)/$G68)),0)</f>
        <v>0.13384984201048686</v>
      </c>
      <c r="O68" s="14">
        <f>IF($G68&gt;0,MIN(1,MAX(0,(I68-L68)/$G68)),0)</f>
        <v>1</v>
      </c>
      <c r="P68" s="14">
        <f>IF($G68&gt;0,MIN(1,MAX(0,(J68-M68)/$G68)),0)</f>
        <v>1</v>
      </c>
      <c r="Q68" s="68">
        <v>0</v>
      </c>
      <c r="R68" s="68">
        <v>1</v>
      </c>
      <c r="S68" s="68">
        <v>1</v>
      </c>
      <c r="T68" s="43">
        <v>2922</v>
      </c>
      <c r="U68" s="43">
        <v>653</v>
      </c>
      <c r="V68" s="44">
        <v>75747600</v>
      </c>
      <c r="W68" s="43">
        <v>1134</v>
      </c>
      <c r="X68" s="43">
        <v>0</v>
      </c>
      <c r="Y68" s="44">
        <v>100364</v>
      </c>
      <c r="Z68" s="52">
        <f>N68*$T68</f>
        <v>391.10923835464257</v>
      </c>
      <c r="AA68" s="52">
        <f>O68*$T68</f>
        <v>2922</v>
      </c>
      <c r="AB68" s="52">
        <f>P68*$T68</f>
        <v>2922</v>
      </c>
    </row>
    <row r="69">
      <c r="B69" t="s" s="73">
        <v>66</v>
      </c>
      <c r="C69" t="s" s="73">
        <v>187</v>
      </c>
      <c r="D69" t="s" s="73">
        <v>237</v>
      </c>
      <c r="E69" s="43">
        <v>3607613.1</v>
      </c>
      <c r="F69" s="43">
        <v>191106.2</v>
      </c>
      <c r="G69" s="52">
        <f>E69-F69</f>
        <v>3416506.9</v>
      </c>
      <c r="H69" s="43">
        <v>406002.2</v>
      </c>
      <c r="I69" s="43">
        <v>3607613.1</v>
      </c>
      <c r="J69" s="43">
        <v>3607613.1</v>
      </c>
      <c r="K69" s="43">
        <v>60612.6</v>
      </c>
      <c r="L69" s="43">
        <v>191106.2</v>
      </c>
      <c r="M69" s="43">
        <v>191106.2</v>
      </c>
      <c r="N69" s="14">
        <f>IF($G69&gt;0,MIN(1,MAX(0,(H69-K69)/$G69)),0)</f>
        <v>0.1010943662955869</v>
      </c>
      <c r="O69" s="14">
        <f>IF($G69&gt;0,MIN(1,MAX(0,(I69-L69)/$G69)),0)</f>
        <v>1</v>
      </c>
      <c r="P69" s="14">
        <f>IF($G69&gt;0,MIN(1,MAX(0,(J69-M69)/$G69)),0)</f>
        <v>1</v>
      </c>
      <c r="Q69" s="68">
        <v>0</v>
      </c>
      <c r="R69" s="68">
        <v>1</v>
      </c>
      <c r="S69" s="68">
        <v>1</v>
      </c>
      <c r="T69" s="43">
        <v>4065</v>
      </c>
      <c r="U69" s="43">
        <v>2017</v>
      </c>
      <c r="V69" s="44">
        <v>163353600</v>
      </c>
      <c r="W69" s="43">
        <v>3232</v>
      </c>
      <c r="X69" s="43">
        <v>133</v>
      </c>
      <c r="Y69" s="44">
        <v>74654</v>
      </c>
      <c r="Z69" s="52">
        <f>N69*$T69</f>
        <v>410.94859899156074</v>
      </c>
      <c r="AA69" s="52">
        <f>O69*$T69</f>
        <v>4065</v>
      </c>
      <c r="AB69" s="52">
        <f>P69*$T69</f>
        <v>4065</v>
      </c>
    </row>
    <row r="70">
      <c r="B70" t="s" s="73">
        <v>67</v>
      </c>
      <c r="C70" t="s" s="73">
        <v>188</v>
      </c>
      <c r="D70" t="s" s="73">
        <v>233</v>
      </c>
      <c r="E70" s="43">
        <v>2802648.8</v>
      </c>
      <c r="F70" s="43">
        <v>31414.4</v>
      </c>
      <c r="G70" s="52">
        <f>E70-F70</f>
        <v>2771234.4</v>
      </c>
      <c r="H70" s="43">
        <v>0</v>
      </c>
      <c r="I70" s="43">
        <v>639542.8</v>
      </c>
      <c r="J70" s="43">
        <v>2802648.8</v>
      </c>
      <c r="K70" s="43">
        <v>0</v>
      </c>
      <c r="L70" s="43">
        <v>31414.4</v>
      </c>
      <c r="M70" s="43">
        <v>31414.4</v>
      </c>
      <c r="N70" s="14">
        <f>IF($G70&gt;0,MIN(1,MAX(0,(H70-K70)/$G70)),0)</f>
        <v>0</v>
      </c>
      <c r="O70" s="14">
        <f>IF($G70&gt;0,MIN(1,MAX(0,(I70-L70)/$G70)),0)</f>
        <v>0.21944314779002455</v>
      </c>
      <c r="P70" s="14">
        <f>IF($G70&gt;0,MIN(1,MAX(0,(J70-M70)/$G70)),0)</f>
        <v>1</v>
      </c>
      <c r="Q70" s="68">
        <v>0</v>
      </c>
      <c r="R70" s="68">
        <v>0</v>
      </c>
      <c r="S70" s="68">
        <v>1</v>
      </c>
      <c r="T70" s="43">
        <v>1857</v>
      </c>
      <c r="U70" s="43">
        <v>609</v>
      </c>
      <c r="V70" s="44">
        <v>101675000</v>
      </c>
      <c r="W70" s="43">
        <v>1008</v>
      </c>
      <c r="X70" s="43">
        <v>71</v>
      </c>
      <c r="Y70" s="44">
        <v>165000</v>
      </c>
      <c r="Z70" s="52">
        <f>N70*$T70</f>
        <v>0</v>
      </c>
      <c r="AA70" s="52">
        <f>O70*$T70</f>
        <v>407.5059254460756</v>
      </c>
      <c r="AB70" s="52">
        <f>P70*$T70</f>
        <v>1857</v>
      </c>
    </row>
    <row r="71">
      <c r="B71" t="s" s="73">
        <v>68</v>
      </c>
      <c r="C71" t="s" s="73">
        <v>188</v>
      </c>
      <c r="D71" t="s" s="73">
        <v>233</v>
      </c>
      <c r="E71" s="43">
        <v>1255908.4</v>
      </c>
      <c r="F71" s="43">
        <v>0</v>
      </c>
      <c r="G71" s="52">
        <f>E71-F71</f>
        <v>1255908.4</v>
      </c>
      <c r="H71" s="43">
        <v>0</v>
      </c>
      <c r="I71" s="43">
        <v>0</v>
      </c>
      <c r="J71" s="43">
        <v>1255908.4</v>
      </c>
      <c r="K71" s="43">
        <v>0</v>
      </c>
      <c r="L71" s="43">
        <v>0</v>
      </c>
      <c r="M71" s="43">
        <v>0</v>
      </c>
      <c r="N71" s="14">
        <f>IF($G71&gt;0,MIN(1,MAX(0,(H71-K71)/$G71)),0)</f>
        <v>0</v>
      </c>
      <c r="O71" s="14">
        <f>IF($G71&gt;0,MIN(1,MAX(0,(I71-L71)/$G71)),0)</f>
        <v>0</v>
      </c>
      <c r="P71" s="14">
        <f>IF($G71&gt;0,MIN(1,MAX(0,(J71-M71)/$G71)),0)</f>
        <v>1</v>
      </c>
      <c r="Q71" s="68">
        <v>0</v>
      </c>
      <c r="R71" s="68">
        <v>0</v>
      </c>
      <c r="S71" s="68">
        <v>1</v>
      </c>
      <c r="T71" s="43">
        <v>1784</v>
      </c>
      <c r="U71" s="43">
        <v>661</v>
      </c>
      <c r="V71" s="44">
        <v>118156800</v>
      </c>
      <c r="W71" s="43">
        <v>930</v>
      </c>
      <c r="X71" s="43">
        <v>41</v>
      </c>
      <c r="Y71" s="44">
        <v>165000</v>
      </c>
      <c r="Z71" s="52">
        <f>N71*$T71</f>
        <v>0</v>
      </c>
      <c r="AA71" s="52">
        <f>O71*$T71</f>
        <v>0</v>
      </c>
      <c r="AB71" s="52">
        <f>P71*$T71</f>
        <v>1784</v>
      </c>
    </row>
    <row r="72">
      <c r="B72" t="s" s="73">
        <v>69</v>
      </c>
      <c r="C72" t="s" s="73">
        <v>189</v>
      </c>
      <c r="D72" t="s" s="73">
        <v>233</v>
      </c>
      <c r="E72" s="43">
        <v>789240.9</v>
      </c>
      <c r="F72" s="43">
        <v>0</v>
      </c>
      <c r="G72" s="52">
        <f>E72-F72</f>
        <v>789240.9</v>
      </c>
      <c r="H72" s="43">
        <v>0</v>
      </c>
      <c r="I72" s="43">
        <v>0</v>
      </c>
      <c r="J72" s="43">
        <v>789240.9</v>
      </c>
      <c r="K72" s="43">
        <v>0</v>
      </c>
      <c r="L72" s="43">
        <v>0</v>
      </c>
      <c r="M72" s="43">
        <v>0</v>
      </c>
      <c r="N72" s="14">
        <f>IF($G72&gt;0,MIN(1,MAX(0,(H72-K72)/$G72)),0)</f>
        <v>0</v>
      </c>
      <c r="O72" s="14">
        <f>IF($G72&gt;0,MIN(1,MAX(0,(I72-L72)/$G72)),0)</f>
        <v>0</v>
      </c>
      <c r="P72" s="14">
        <f>IF($G72&gt;0,MIN(1,MAX(0,(J72-M72)/$G72)),0)</f>
        <v>1</v>
      </c>
      <c r="Q72" s="68">
        <v>0</v>
      </c>
      <c r="R72" s="68">
        <v>0</v>
      </c>
      <c r="S72" s="68">
        <v>1</v>
      </c>
      <c r="T72" s="43">
        <v>2091</v>
      </c>
      <c r="U72" s="43">
        <v>749</v>
      </c>
      <c r="V72" s="44">
        <v>131747100</v>
      </c>
      <c r="W72" s="43">
        <v>1391</v>
      </c>
      <c r="X72" s="43">
        <v>14</v>
      </c>
      <c r="Y72" s="44">
        <v>147773</v>
      </c>
      <c r="Z72" s="52">
        <f>N72*$T72</f>
        <v>0</v>
      </c>
      <c r="AA72" s="52">
        <f>O72*$T72</f>
        <v>0</v>
      </c>
      <c r="AB72" s="52">
        <f>P72*$T72</f>
        <v>2091</v>
      </c>
    </row>
    <row r="73">
      <c r="B73" t="s" s="73">
        <v>70</v>
      </c>
      <c r="C73" t="s" s="73">
        <v>189</v>
      </c>
      <c r="D73" t="s" s="73">
        <v>233</v>
      </c>
      <c r="E73" s="43">
        <v>2718634.1</v>
      </c>
      <c r="F73" s="43">
        <v>171555.2</v>
      </c>
      <c r="G73" s="52">
        <f>E73-F73</f>
        <v>2547078.9</v>
      </c>
      <c r="H73" s="43">
        <v>0</v>
      </c>
      <c r="I73" s="43">
        <v>1596046.5</v>
      </c>
      <c r="J73" s="43">
        <v>2718634.1</v>
      </c>
      <c r="K73" s="43">
        <v>0</v>
      </c>
      <c r="L73" s="43">
        <v>144818.6</v>
      </c>
      <c r="M73" s="43">
        <v>171555.2</v>
      </c>
      <c r="N73" s="14">
        <f>IF($G73&gt;0,MIN(1,MAX(0,(H73-K73)/$G73)),0)</f>
        <v>0</v>
      </c>
      <c r="O73" s="14">
        <f>IF($G73&gt;0,MIN(1,MAX(0,(I73-L73)/$G73)),0)</f>
        <v>0.5697616591303866</v>
      </c>
      <c r="P73" s="14">
        <f>IF($G73&gt;0,MIN(1,MAX(0,(J73-M73)/$G73)),0)</f>
        <v>1</v>
      </c>
      <c r="Q73" s="68">
        <v>0</v>
      </c>
      <c r="R73" s="68">
        <v>1</v>
      </c>
      <c r="S73" s="68">
        <v>1</v>
      </c>
      <c r="T73" s="43">
        <v>2425</v>
      </c>
      <c r="U73" s="43">
        <v>956</v>
      </c>
      <c r="V73" s="44">
        <v>146973300</v>
      </c>
      <c r="W73" s="43">
        <v>1752</v>
      </c>
      <c r="X73" s="43">
        <v>87</v>
      </c>
      <c r="Y73" s="44">
        <v>147773</v>
      </c>
      <c r="Z73" s="52">
        <f>N73*$T73</f>
        <v>0</v>
      </c>
      <c r="AA73" s="52">
        <f>O73*$T73</f>
        <v>1381.6720233911874</v>
      </c>
      <c r="AB73" s="52">
        <f>P73*$T73</f>
        <v>2425</v>
      </c>
    </row>
    <row r="74">
      <c r="B74" t="s" s="73">
        <v>71</v>
      </c>
      <c r="C74" t="s" s="73">
        <v>189</v>
      </c>
      <c r="D74" t="s" s="73">
        <v>233</v>
      </c>
      <c r="E74" s="43">
        <v>1230343</v>
      </c>
      <c r="F74" s="43">
        <v>0</v>
      </c>
      <c r="G74" s="52">
        <f>E74-F74</f>
        <v>1230343</v>
      </c>
      <c r="H74" s="43">
        <v>0</v>
      </c>
      <c r="I74" s="43">
        <v>0</v>
      </c>
      <c r="J74" s="43">
        <v>1230343</v>
      </c>
      <c r="K74" s="43">
        <v>0</v>
      </c>
      <c r="L74" s="43">
        <v>0</v>
      </c>
      <c r="M74" s="43">
        <v>0</v>
      </c>
      <c r="N74" s="14">
        <f>IF($G74&gt;0,MIN(1,MAX(0,(H74-K74)/$G74)),0)</f>
        <v>0</v>
      </c>
      <c r="O74" s="14">
        <f>IF($G74&gt;0,MIN(1,MAX(0,(I74-L74)/$G74)),0)</f>
        <v>0</v>
      </c>
      <c r="P74" s="14">
        <f>IF($G74&gt;0,MIN(1,MAX(0,(J74-M74)/$G74)),0)</f>
        <v>1</v>
      </c>
      <c r="Q74" s="68">
        <v>0</v>
      </c>
      <c r="R74" s="68">
        <v>0</v>
      </c>
      <c r="S74" s="68">
        <v>1</v>
      </c>
      <c r="T74" s="43">
        <v>2130</v>
      </c>
      <c r="U74" s="43">
        <v>858</v>
      </c>
      <c r="V74" s="44">
        <v>122160400</v>
      </c>
      <c r="W74" s="43">
        <v>1308</v>
      </c>
      <c r="X74" s="43">
        <v>49</v>
      </c>
      <c r="Y74" s="44">
        <v>147773</v>
      </c>
      <c r="Z74" s="52">
        <f>N74*$T74</f>
        <v>0</v>
      </c>
      <c r="AA74" s="52">
        <f>O74*$T74</f>
        <v>0</v>
      </c>
      <c r="AB74" s="52">
        <f>P74*$T74</f>
        <v>2130</v>
      </c>
    </row>
    <row r="75">
      <c r="B75" t="s" s="73">
        <v>72</v>
      </c>
      <c r="C75" t="s" s="73">
        <v>190</v>
      </c>
      <c r="D75" t="s" s="73">
        <v>240</v>
      </c>
      <c r="E75" s="43">
        <v>904958.6</v>
      </c>
      <c r="F75" s="43">
        <v>0</v>
      </c>
      <c r="G75" s="52">
        <f>E75-F75</f>
        <v>904958.6</v>
      </c>
      <c r="H75" s="43">
        <v>0</v>
      </c>
      <c r="I75" s="43">
        <v>0</v>
      </c>
      <c r="J75" s="43">
        <v>790323.8</v>
      </c>
      <c r="K75" s="43">
        <v>0</v>
      </c>
      <c r="L75" s="43">
        <v>0</v>
      </c>
      <c r="M75" s="43">
        <v>0</v>
      </c>
      <c r="N75" s="14">
        <f>IF($G75&gt;0,MIN(1,MAX(0,(H75-K75)/$G75)),0)</f>
        <v>0</v>
      </c>
      <c r="O75" s="14">
        <f>IF($G75&gt;0,MIN(1,MAX(0,(I75-L75)/$G75)),0)</f>
        <v>0</v>
      </c>
      <c r="P75" s="14">
        <f>IF($G75&gt;0,MIN(1,MAX(0,(J75-M75)/$G75)),0)</f>
        <v>0.8733259178928185</v>
      </c>
      <c r="Q75" s="68">
        <v>0</v>
      </c>
      <c r="R75" s="68">
        <v>0</v>
      </c>
      <c r="S75" s="68">
        <v>1</v>
      </c>
      <c r="T75" s="43">
        <v>2595</v>
      </c>
      <c r="U75" s="43">
        <v>904</v>
      </c>
      <c r="V75" s="44">
        <v>121169700</v>
      </c>
      <c r="W75" s="43">
        <v>1259</v>
      </c>
      <c r="X75" s="43">
        <v>66</v>
      </c>
      <c r="Y75" s="44">
        <v>112275</v>
      </c>
      <c r="Z75" s="52">
        <f>N75*$T75</f>
        <v>0</v>
      </c>
      <c r="AA75" s="52">
        <f>O75*$T75</f>
        <v>0</v>
      </c>
      <c r="AB75" s="52">
        <f>P75*$T75</f>
        <v>2266.2807569318643</v>
      </c>
    </row>
    <row r="76">
      <c r="B76" t="s" s="73">
        <v>73</v>
      </c>
      <c r="C76" t="s" s="73">
        <v>190</v>
      </c>
      <c r="D76" t="s" s="73">
        <v>233</v>
      </c>
      <c r="E76" s="43">
        <v>619594.8</v>
      </c>
      <c r="F76" s="43">
        <v>0</v>
      </c>
      <c r="G76" s="52">
        <f>E76-F76</f>
        <v>619594.8</v>
      </c>
      <c r="H76" s="43">
        <v>0</v>
      </c>
      <c r="I76" s="43">
        <v>0</v>
      </c>
      <c r="J76" s="43">
        <v>619594.8</v>
      </c>
      <c r="K76" s="43">
        <v>0</v>
      </c>
      <c r="L76" s="43">
        <v>0</v>
      </c>
      <c r="M76" s="43">
        <v>0</v>
      </c>
      <c r="N76" s="14">
        <f>IF($G76&gt;0,MIN(1,MAX(0,(H76-K76)/$G76)),0)</f>
        <v>0</v>
      </c>
      <c r="O76" s="14">
        <f>IF($G76&gt;0,MIN(1,MAX(0,(I76-L76)/$G76)),0)</f>
        <v>0</v>
      </c>
      <c r="P76" s="14">
        <f>IF($G76&gt;0,MIN(1,MAX(0,(J76-M76)/$G76)),0)</f>
        <v>1</v>
      </c>
      <c r="Q76" s="68">
        <v>0</v>
      </c>
      <c r="R76" s="68">
        <v>0</v>
      </c>
      <c r="S76" s="68">
        <v>1</v>
      </c>
      <c r="T76" s="43">
        <v>953</v>
      </c>
      <c r="U76" s="43">
        <v>366</v>
      </c>
      <c r="V76" s="44">
        <v>49872800</v>
      </c>
      <c r="W76" s="43">
        <v>633</v>
      </c>
      <c r="X76" s="43">
        <v>30</v>
      </c>
      <c r="Y76" s="44">
        <v>112275</v>
      </c>
      <c r="Z76" s="52">
        <f>N76*$T76</f>
        <v>0</v>
      </c>
      <c r="AA76" s="52">
        <f>O76*$T76</f>
        <v>0</v>
      </c>
      <c r="AB76" s="52">
        <f>P76*$T76</f>
        <v>953</v>
      </c>
    </row>
    <row r="77">
      <c r="B77" t="s" s="73">
        <v>74</v>
      </c>
      <c r="C77" t="s" s="73">
        <v>190</v>
      </c>
      <c r="D77" t="s" s="73">
        <v>233</v>
      </c>
      <c r="E77" s="43">
        <v>474103.9</v>
      </c>
      <c r="F77" s="43">
        <v>0</v>
      </c>
      <c r="G77" s="52">
        <f>E77-F77</f>
        <v>474103.9</v>
      </c>
      <c r="H77" s="43">
        <v>0</v>
      </c>
      <c r="I77" s="43">
        <v>0</v>
      </c>
      <c r="J77" s="43">
        <v>474103.9</v>
      </c>
      <c r="K77" s="43">
        <v>0</v>
      </c>
      <c r="L77" s="43">
        <v>0</v>
      </c>
      <c r="M77" s="43">
        <v>0</v>
      </c>
      <c r="N77" s="14">
        <f>IF($G77&gt;0,MIN(1,MAX(0,(H77-K77)/$G77)),0)</f>
        <v>0</v>
      </c>
      <c r="O77" s="14">
        <f>IF($G77&gt;0,MIN(1,MAX(0,(I77-L77)/$G77)),0)</f>
        <v>0</v>
      </c>
      <c r="P77" s="14">
        <f>IF($G77&gt;0,MIN(1,MAX(0,(J77-M77)/$G77)),0)</f>
        <v>1</v>
      </c>
      <c r="Q77" s="68">
        <v>0</v>
      </c>
      <c r="R77" s="68">
        <v>0</v>
      </c>
      <c r="S77" s="68">
        <v>1</v>
      </c>
      <c r="T77" s="43">
        <v>1869</v>
      </c>
      <c r="U77" s="43">
        <v>613</v>
      </c>
      <c r="V77" s="44">
        <v>74273000</v>
      </c>
      <c r="W77" s="43">
        <v>1188</v>
      </c>
      <c r="X77" s="43">
        <v>6</v>
      </c>
      <c r="Y77" s="44">
        <v>112275</v>
      </c>
      <c r="Z77" s="52">
        <f>N77*$T77</f>
        <v>0</v>
      </c>
      <c r="AA77" s="52">
        <f>O77*$T77</f>
        <v>0</v>
      </c>
      <c r="AB77" s="52">
        <f>P77*$T77</f>
        <v>1869</v>
      </c>
    </row>
    <row r="78">
      <c r="B78" t="s" s="73">
        <v>75</v>
      </c>
      <c r="C78" t="s" s="73">
        <v>191</v>
      </c>
      <c r="D78" t="s" s="73">
        <v>233</v>
      </c>
      <c r="E78" s="43">
        <v>870578</v>
      </c>
      <c r="F78" s="43">
        <v>178.9</v>
      </c>
      <c r="G78" s="52">
        <f>E78-F78</f>
        <v>870399.1</v>
      </c>
      <c r="H78" s="43">
        <v>0</v>
      </c>
      <c r="I78" s="43">
        <v>0</v>
      </c>
      <c r="J78" s="43">
        <v>863894.6</v>
      </c>
      <c r="K78" s="43">
        <v>0</v>
      </c>
      <c r="L78" s="43">
        <v>0</v>
      </c>
      <c r="M78" s="43">
        <v>115.7</v>
      </c>
      <c r="N78" s="14">
        <f>IF($G78&gt;0,MIN(1,MAX(0,(H78-K78)/$G78)),0)</f>
        <v>0</v>
      </c>
      <c r="O78" s="14">
        <f>IF($G78&gt;0,MIN(1,MAX(0,(I78-L78)/$G78)),0)</f>
        <v>0</v>
      </c>
      <c r="P78" s="14">
        <f>IF($G78&gt;0,MIN(1,MAX(0,(J78-M78)/$G78)),0)</f>
        <v>0.9923940638265826</v>
      </c>
      <c r="Q78" s="68">
        <v>0</v>
      </c>
      <c r="R78" s="68">
        <v>0</v>
      </c>
      <c r="S78" s="68">
        <v>1</v>
      </c>
      <c r="T78" s="43">
        <v>2276</v>
      </c>
      <c r="U78" s="43">
        <v>842</v>
      </c>
      <c r="V78" s="44">
        <v>161535600</v>
      </c>
      <c r="W78" s="43">
        <v>1549</v>
      </c>
      <c r="X78" s="43">
        <v>80</v>
      </c>
      <c r="Y78" s="44">
        <v>161750</v>
      </c>
      <c r="Z78" s="52">
        <f>N78*$T78</f>
        <v>0</v>
      </c>
      <c r="AA78" s="52">
        <f>O78*$T78</f>
        <v>0</v>
      </c>
      <c r="AB78" s="52">
        <f>P78*$T78</f>
        <v>2258.688889269302</v>
      </c>
    </row>
    <row r="79">
      <c r="B79" t="s" s="73">
        <v>76</v>
      </c>
      <c r="C79" t="s" s="73">
        <v>191</v>
      </c>
      <c r="D79" t="s" s="73">
        <v>233</v>
      </c>
      <c r="E79" s="43">
        <v>802538.1</v>
      </c>
      <c r="F79" s="43">
        <v>0</v>
      </c>
      <c r="G79" s="52">
        <f>E79-F79</f>
        <v>802538.1</v>
      </c>
      <c r="H79" s="43">
        <v>0</v>
      </c>
      <c r="I79" s="43">
        <v>0</v>
      </c>
      <c r="J79" s="43">
        <v>258350.5</v>
      </c>
      <c r="K79" s="43">
        <v>0</v>
      </c>
      <c r="L79" s="43">
        <v>0</v>
      </c>
      <c r="M79" s="43">
        <v>0</v>
      </c>
      <c r="N79" s="14">
        <f>IF($G79&gt;0,MIN(1,MAX(0,(H79-K79)/$G79)),0)</f>
        <v>0</v>
      </c>
      <c r="O79" s="14">
        <f>IF($G79&gt;0,MIN(1,MAX(0,(I79-L79)/$G79)),0)</f>
        <v>0</v>
      </c>
      <c r="P79" s="14">
        <f>IF($G79&gt;0,MIN(1,MAX(0,(J79-M79)/$G79)),0)</f>
        <v>0.3219168037006592</v>
      </c>
      <c r="Q79" s="68">
        <v>0</v>
      </c>
      <c r="R79" s="68">
        <v>0</v>
      </c>
      <c r="S79" s="68">
        <v>0</v>
      </c>
      <c r="T79" s="43">
        <v>1860</v>
      </c>
      <c r="U79" s="43">
        <v>662</v>
      </c>
      <c r="V79" s="44">
        <v>107221200</v>
      </c>
      <c r="W79" s="43">
        <v>892</v>
      </c>
      <c r="X79" s="43">
        <v>62</v>
      </c>
      <c r="Y79" s="44">
        <v>161750</v>
      </c>
      <c r="Z79" s="52">
        <f>N79*$T79</f>
        <v>0</v>
      </c>
      <c r="AA79" s="52">
        <f>O79*$T79</f>
        <v>0</v>
      </c>
      <c r="AB79" s="52">
        <f>P79*$T79</f>
        <v>598.7652548832261</v>
      </c>
    </row>
    <row r="80">
      <c r="B80" t="s" s="73">
        <v>77</v>
      </c>
      <c r="C80" t="s" s="73">
        <v>191</v>
      </c>
      <c r="D80" t="s" s="73">
        <v>233</v>
      </c>
      <c r="E80" s="43">
        <v>831054.7</v>
      </c>
      <c r="F80" s="43">
        <v>1034.6</v>
      </c>
      <c r="G80" s="52">
        <f>E80-F80</f>
        <v>830020.1</v>
      </c>
      <c r="H80" s="43">
        <v>0</v>
      </c>
      <c r="I80" s="43">
        <v>0</v>
      </c>
      <c r="J80" s="43">
        <v>35636.1</v>
      </c>
      <c r="K80" s="43">
        <v>0</v>
      </c>
      <c r="L80" s="43">
        <v>0</v>
      </c>
      <c r="M80" s="43">
        <v>167.5</v>
      </c>
      <c r="N80" s="14">
        <f>IF($G80&gt;0,MIN(1,MAX(0,(H80-K80)/$G80)),0)</f>
        <v>0</v>
      </c>
      <c r="O80" s="14">
        <f>IF($G80&gt;0,MIN(1,MAX(0,(I80-L80)/$G80)),0)</f>
        <v>0</v>
      </c>
      <c r="P80" s="14">
        <f>IF($G80&gt;0,MIN(1,MAX(0,(J80-M80)/$G80)),0)</f>
        <v>0.042732218171584034</v>
      </c>
      <c r="Q80" s="68">
        <v>0</v>
      </c>
      <c r="R80" s="68">
        <v>0</v>
      </c>
      <c r="S80" s="68">
        <v>0</v>
      </c>
      <c r="T80" s="43">
        <v>1685</v>
      </c>
      <c r="U80" s="43">
        <v>615</v>
      </c>
      <c r="V80" s="44">
        <v>112500400</v>
      </c>
      <c r="W80" s="43">
        <v>976</v>
      </c>
      <c r="X80" s="43">
        <v>26</v>
      </c>
      <c r="Y80" s="44">
        <v>161750</v>
      </c>
      <c r="Z80" s="52">
        <f>N80*$T80</f>
        <v>0</v>
      </c>
      <c r="AA80" s="52">
        <f>O80*$T80</f>
        <v>0</v>
      </c>
      <c r="AB80" s="52">
        <f>P80*$T80</f>
        <v>72.0037876191191</v>
      </c>
    </row>
    <row r="81">
      <c r="B81" t="s" s="73">
        <v>78</v>
      </c>
      <c r="C81" t="s" s="73">
        <v>192</v>
      </c>
      <c r="D81" t="s" s="73">
        <v>239</v>
      </c>
      <c r="E81" s="43">
        <v>1076628.4</v>
      </c>
      <c r="F81" s="43">
        <v>0</v>
      </c>
      <c r="G81" s="52">
        <f>E81-F81</f>
        <v>1076628.4</v>
      </c>
      <c r="H81" s="43">
        <v>0</v>
      </c>
      <c r="I81" s="43">
        <v>0</v>
      </c>
      <c r="J81" s="43">
        <v>598644.2</v>
      </c>
      <c r="K81" s="43">
        <v>0</v>
      </c>
      <c r="L81" s="43">
        <v>0</v>
      </c>
      <c r="M81" s="43">
        <v>0</v>
      </c>
      <c r="N81" s="14">
        <f>IF($G81&gt;0,MIN(1,MAX(0,(H81-K81)/$G81)),0)</f>
        <v>0</v>
      </c>
      <c r="O81" s="14">
        <f>IF($G81&gt;0,MIN(1,MAX(0,(I81-L81)/$G81)),0)</f>
        <v>0</v>
      </c>
      <c r="P81" s="14">
        <f>IF($G81&gt;0,MIN(1,MAX(0,(J81-M81)/$G81)),0)</f>
        <v>0.556036047349299</v>
      </c>
      <c r="Q81" s="68">
        <v>0</v>
      </c>
      <c r="R81" s="68">
        <v>0</v>
      </c>
      <c r="S81" s="68">
        <v>1</v>
      </c>
      <c r="T81" s="43">
        <v>1244</v>
      </c>
      <c r="U81" s="43">
        <v>473</v>
      </c>
      <c r="V81" s="44">
        <v>136493900</v>
      </c>
      <c r="W81" s="43">
        <v>771</v>
      </c>
      <c r="X81" s="43">
        <v>134</v>
      </c>
      <c r="Y81" s="44">
        <v>183077</v>
      </c>
      <c r="Z81" s="52">
        <f>N81*$T81</f>
        <v>0</v>
      </c>
      <c r="AA81" s="52">
        <f>O81*$T81</f>
        <v>0</v>
      </c>
      <c r="AB81" s="52">
        <f>P81*$T81</f>
        <v>691.708842902528</v>
      </c>
    </row>
    <row r="82">
      <c r="B82" t="s" s="73">
        <v>79</v>
      </c>
      <c r="C82" t="s" s="73">
        <v>192</v>
      </c>
      <c r="D82" t="s" s="73">
        <v>239</v>
      </c>
      <c r="E82" s="43">
        <v>1277937.6</v>
      </c>
      <c r="F82" s="43">
        <v>0</v>
      </c>
      <c r="G82" s="52">
        <f>E82-F82</f>
        <v>1277937.6</v>
      </c>
      <c r="H82" s="43">
        <v>0</v>
      </c>
      <c r="I82" s="43">
        <v>0</v>
      </c>
      <c r="J82" s="43">
        <v>10749.8</v>
      </c>
      <c r="K82" s="43">
        <v>0</v>
      </c>
      <c r="L82" s="43">
        <v>0</v>
      </c>
      <c r="M82" s="43">
        <v>0</v>
      </c>
      <c r="N82" s="14">
        <f>IF($G82&gt;0,MIN(1,MAX(0,(H82-K82)/$G82)),0)</f>
        <v>0</v>
      </c>
      <c r="O82" s="14">
        <f>IF($G82&gt;0,MIN(1,MAX(0,(I82-L82)/$G82)),0)</f>
        <v>0</v>
      </c>
      <c r="P82" s="14">
        <f>IF($G82&gt;0,MIN(1,MAX(0,(J82-M82)/$G82)),0)</f>
        <v>0.008411834818851873</v>
      </c>
      <c r="Q82" s="68">
        <v>0</v>
      </c>
      <c r="R82" s="68">
        <v>0</v>
      </c>
      <c r="S82" s="68">
        <v>0</v>
      </c>
      <c r="T82" s="43">
        <v>3858</v>
      </c>
      <c r="U82" s="43">
        <v>1293</v>
      </c>
      <c r="V82" s="44">
        <v>249620900</v>
      </c>
      <c r="W82" s="43">
        <v>2304</v>
      </c>
      <c r="X82" s="43">
        <v>88</v>
      </c>
      <c r="Y82" s="44">
        <v>183077</v>
      </c>
      <c r="Z82" s="52">
        <f>N82*$T82</f>
        <v>0</v>
      </c>
      <c r="AA82" s="52">
        <f>O82*$T82</f>
        <v>0</v>
      </c>
      <c r="AB82" s="52">
        <f>P82*$T82</f>
        <v>32.452858731130526</v>
      </c>
    </row>
    <row r="83">
      <c r="B83" t="s" s="73">
        <v>80</v>
      </c>
      <c r="C83" t="s" s="73">
        <v>193</v>
      </c>
      <c r="D83" t="s" s="73">
        <v>239</v>
      </c>
      <c r="E83" s="43">
        <v>1784848.2</v>
      </c>
      <c r="F83" s="43">
        <v>65227</v>
      </c>
      <c r="G83" s="52">
        <f>E83-F83</f>
        <v>1719621.2</v>
      </c>
      <c r="H83" s="43">
        <v>0</v>
      </c>
      <c r="I83" s="43">
        <v>0</v>
      </c>
      <c r="J83" s="43">
        <v>626121.1</v>
      </c>
      <c r="K83" s="43">
        <v>0</v>
      </c>
      <c r="L83" s="43">
        <v>0</v>
      </c>
      <c r="M83" s="43">
        <v>0</v>
      </c>
      <c r="N83" s="14">
        <f>IF($G83&gt;0,MIN(1,MAX(0,(H83-K83)/$G83)),0)</f>
        <v>0</v>
      </c>
      <c r="O83" s="14">
        <f>IF($G83&gt;0,MIN(1,MAX(0,(I83-L83)/$G83)),0)</f>
        <v>0</v>
      </c>
      <c r="P83" s="14">
        <f>IF($G83&gt;0,MIN(1,MAX(0,(J83-M83)/$G83)),0)</f>
        <v>0.3641040829224483</v>
      </c>
      <c r="Q83" s="68">
        <v>0</v>
      </c>
      <c r="R83" s="68">
        <v>0</v>
      </c>
      <c r="S83" s="68">
        <v>0</v>
      </c>
      <c r="T83" s="43">
        <v>1493</v>
      </c>
      <c r="U83" s="43">
        <v>427</v>
      </c>
      <c r="V83" s="44">
        <v>196618700</v>
      </c>
      <c r="W83" s="43">
        <v>837</v>
      </c>
      <c r="X83" s="43">
        <v>4</v>
      </c>
      <c r="Y83" s="44">
        <v>201838</v>
      </c>
      <c r="Z83" s="52">
        <f>N83*$T83</f>
        <v>0</v>
      </c>
      <c r="AA83" s="52">
        <f>O83*$T83</f>
        <v>0</v>
      </c>
      <c r="AB83" s="52">
        <f>P83*$T83</f>
        <v>543.6073958032152</v>
      </c>
    </row>
    <row r="84">
      <c r="B84" t="s" s="73">
        <v>81</v>
      </c>
      <c r="C84" t="s" s="73">
        <v>194</v>
      </c>
      <c r="D84" t="s" s="73">
        <v>239</v>
      </c>
      <c r="E84" s="43">
        <v>11197682.9</v>
      </c>
      <c r="F84" s="43">
        <v>189375.5</v>
      </c>
      <c r="G84" s="52">
        <f>E84-F84</f>
        <v>11008307.4</v>
      </c>
      <c r="H84" s="43">
        <v>0</v>
      </c>
      <c r="I84" s="43">
        <v>3650727.7</v>
      </c>
      <c r="J84" s="43">
        <v>11197682.9</v>
      </c>
      <c r="K84" s="43">
        <v>0</v>
      </c>
      <c r="L84" s="43">
        <v>168838.4</v>
      </c>
      <c r="M84" s="43">
        <v>189375.5</v>
      </c>
      <c r="N84" s="14">
        <f>IF($G84&gt;0,MIN(1,MAX(0,(H84-K84)/$G84)),0)</f>
        <v>0</v>
      </c>
      <c r="O84" s="14">
        <f>IF($G84&gt;0,MIN(1,MAX(0,(I84-L84)/$G84)),0)</f>
        <v>0.31629651802783054</v>
      </c>
      <c r="P84" s="14">
        <f>IF($G84&gt;0,MIN(1,MAX(0,(J84-M84)/$G84)),0)</f>
        <v>1</v>
      </c>
      <c r="Q84" s="68">
        <v>0</v>
      </c>
      <c r="R84" s="68">
        <v>0</v>
      </c>
      <c r="S84" s="68">
        <v>1</v>
      </c>
      <c r="T84" s="43">
        <v>1492</v>
      </c>
      <c r="U84" s="43">
        <v>561</v>
      </c>
      <c r="V84" s="44">
        <v>32384000</v>
      </c>
      <c r="W84" s="43">
        <v>747</v>
      </c>
      <c r="X84" s="43">
        <v>57</v>
      </c>
      <c r="Y84" s="44">
        <v>57438</v>
      </c>
      <c r="Z84" s="52">
        <f>N84*$T84</f>
        <v>0</v>
      </c>
      <c r="AA84" s="52">
        <f>O84*$T84</f>
        <v>471.9144048975232</v>
      </c>
      <c r="AB84" s="52">
        <f>P84*$T84</f>
        <v>1492</v>
      </c>
    </row>
    <row r="85">
      <c r="B85" t="s" s="73">
        <v>82</v>
      </c>
      <c r="C85" t="s" s="73">
        <v>195</v>
      </c>
      <c r="D85" t="s" s="73">
        <v>240</v>
      </c>
      <c r="E85" s="43">
        <v>944394.2</v>
      </c>
      <c r="F85" s="43">
        <v>2854.6</v>
      </c>
      <c r="G85" s="52">
        <f>E85-F85</f>
        <v>941539.6</v>
      </c>
      <c r="H85" s="43">
        <v>0</v>
      </c>
      <c r="I85" s="43">
        <v>944394.2</v>
      </c>
      <c r="J85" s="43">
        <v>944394.2</v>
      </c>
      <c r="K85" s="43">
        <v>0</v>
      </c>
      <c r="L85" s="43">
        <v>2854.6</v>
      </c>
      <c r="M85" s="43">
        <v>2854.6</v>
      </c>
      <c r="N85" s="14">
        <f>IF($G85&gt;0,MIN(1,MAX(0,(H85-K85)/$G85)),0)</f>
        <v>0</v>
      </c>
      <c r="O85" s="14">
        <f>IF($G85&gt;0,MIN(1,MAX(0,(I85-L85)/$G85)),0)</f>
        <v>1</v>
      </c>
      <c r="P85" s="14">
        <f>IF($G85&gt;0,MIN(1,MAX(0,(J85-M85)/$G85)),0)</f>
        <v>1</v>
      </c>
      <c r="Q85" s="68">
        <v>0</v>
      </c>
      <c r="R85" s="68">
        <v>1</v>
      </c>
      <c r="S85" s="68">
        <v>1</v>
      </c>
      <c r="T85" s="43">
        <v>1807</v>
      </c>
      <c r="U85" s="43">
        <v>977</v>
      </c>
      <c r="V85" s="44">
        <v>103997100</v>
      </c>
      <c r="W85" s="43">
        <v>1405</v>
      </c>
      <c r="X85" s="43">
        <v>46</v>
      </c>
      <c r="Y85" s="44">
        <v>85797</v>
      </c>
      <c r="Z85" s="52">
        <f>N85*$T85</f>
        <v>0</v>
      </c>
      <c r="AA85" s="52">
        <f>O85*$T85</f>
        <v>1807</v>
      </c>
      <c r="AB85" s="52">
        <f>P85*$T85</f>
        <v>1807</v>
      </c>
    </row>
    <row r="86">
      <c r="B86" t="s" s="73">
        <v>83</v>
      </c>
      <c r="C86" t="s" s="73">
        <v>195</v>
      </c>
      <c r="D86" t="s" s="73">
        <v>240</v>
      </c>
      <c r="E86" s="43">
        <v>1440342.5</v>
      </c>
      <c r="F86" s="43">
        <v>35255</v>
      </c>
      <c r="G86" s="52">
        <f>E86-F86</f>
        <v>1405087.5</v>
      </c>
      <c r="H86" s="43">
        <v>0</v>
      </c>
      <c r="I86" s="43">
        <v>391797.1</v>
      </c>
      <c r="J86" s="43">
        <v>1440342.5</v>
      </c>
      <c r="K86" s="43">
        <v>0</v>
      </c>
      <c r="L86" s="43">
        <v>34004.3</v>
      </c>
      <c r="M86" s="43">
        <v>35255</v>
      </c>
      <c r="N86" s="14">
        <f>IF($G86&gt;0,MIN(1,MAX(0,(H86-K86)/$G86)),0)</f>
        <v>0</v>
      </c>
      <c r="O86" s="14">
        <f>IF($G86&gt;0,MIN(1,MAX(0,(I86-L86)/$G86)),0)</f>
        <v>0.2546409387315737</v>
      </c>
      <c r="P86" s="14">
        <f>IF($G86&gt;0,MIN(1,MAX(0,(J86-M86)/$G86)),0)</f>
        <v>1</v>
      </c>
      <c r="Q86" s="68">
        <v>0</v>
      </c>
      <c r="R86" s="68">
        <v>0</v>
      </c>
      <c r="S86" s="68">
        <v>1</v>
      </c>
      <c r="T86" s="43">
        <v>2575</v>
      </c>
      <c r="U86" s="43">
        <v>1303</v>
      </c>
      <c r="V86" s="44">
        <v>151905600</v>
      </c>
      <c r="W86" s="43">
        <v>1713</v>
      </c>
      <c r="X86" s="43">
        <v>23</v>
      </c>
      <c r="Y86" s="44">
        <v>85797</v>
      </c>
      <c r="Z86" s="52">
        <f>N86*$T86</f>
        <v>0</v>
      </c>
      <c r="AA86" s="52">
        <f>O86*$T86</f>
        <v>655.7004172338022</v>
      </c>
      <c r="AB86" s="52">
        <f>P86*$T86</f>
        <v>2575</v>
      </c>
    </row>
    <row r="87">
      <c r="B87" t="s" s="73">
        <v>84</v>
      </c>
      <c r="C87" t="s" s="73">
        <v>195</v>
      </c>
      <c r="D87" t="s" s="73">
        <v>240</v>
      </c>
      <c r="E87" s="43">
        <v>1170600.7</v>
      </c>
      <c r="F87" s="43">
        <v>4768.1</v>
      </c>
      <c r="G87" s="52">
        <f>E87-F87</f>
        <v>1165832.5999999999</v>
      </c>
      <c r="H87" s="43">
        <v>0</v>
      </c>
      <c r="I87" s="43">
        <v>983188.4</v>
      </c>
      <c r="J87" s="43">
        <v>1170600.7</v>
      </c>
      <c r="K87" s="43">
        <v>0</v>
      </c>
      <c r="L87" s="43">
        <v>4768.1</v>
      </c>
      <c r="M87" s="43">
        <v>4768.1</v>
      </c>
      <c r="N87" s="14">
        <f>IF($G87&gt;0,MIN(1,MAX(0,(H87-K87)/$G87)),0)</f>
        <v>0</v>
      </c>
      <c r="O87" s="14">
        <f>IF($G87&gt;0,MIN(1,MAX(0,(I87-L87)/$G87)),0)</f>
        <v>0.8392459603548572</v>
      </c>
      <c r="P87" s="14">
        <f>IF($G87&gt;0,MIN(1,MAX(0,(J87-M87)/$G87)),0)</f>
        <v>1</v>
      </c>
      <c r="Q87" s="68">
        <v>0</v>
      </c>
      <c r="R87" s="68">
        <v>1</v>
      </c>
      <c r="S87" s="68">
        <v>1</v>
      </c>
      <c r="T87" s="43">
        <v>1582</v>
      </c>
      <c r="U87" s="43">
        <v>669</v>
      </c>
      <c r="V87" s="44">
        <v>74999300</v>
      </c>
      <c r="W87" s="43">
        <v>934</v>
      </c>
      <c r="X87" s="43">
        <v>49</v>
      </c>
      <c r="Y87" s="44">
        <v>85797</v>
      </c>
      <c r="Z87" s="52">
        <f>N87*$T87</f>
        <v>0</v>
      </c>
      <c r="AA87" s="52">
        <f>O87*$T87</f>
        <v>1327.6871092813842</v>
      </c>
      <c r="AB87" s="52">
        <f>P87*$T87</f>
        <v>1582</v>
      </c>
    </row>
    <row r="88">
      <c r="B88" t="s" s="73">
        <v>85</v>
      </c>
      <c r="C88" t="s" s="73">
        <v>196</v>
      </c>
      <c r="D88" t="s" s="73">
        <v>240</v>
      </c>
      <c r="E88" s="43">
        <v>1284148.7</v>
      </c>
      <c r="F88" s="43">
        <v>64951.5</v>
      </c>
      <c r="G88" s="52">
        <f>E88-F88</f>
        <v>1219197.2</v>
      </c>
      <c r="H88" s="43">
        <v>0</v>
      </c>
      <c r="I88" s="43">
        <v>923155.2</v>
      </c>
      <c r="J88" s="43">
        <v>1284148.7</v>
      </c>
      <c r="K88" s="43">
        <v>0</v>
      </c>
      <c r="L88" s="43">
        <v>64951.5</v>
      </c>
      <c r="M88" s="43">
        <v>64951.5</v>
      </c>
      <c r="N88" s="14">
        <f>IF($G88&gt;0,MIN(1,MAX(0,(H88-K88)/$G88)),0)</f>
        <v>0</v>
      </c>
      <c r="O88" s="14">
        <f>IF($G88&gt;0,MIN(1,MAX(0,(I88-L88)/$G88)),0)</f>
        <v>0.7039088508405367</v>
      </c>
      <c r="P88" s="14">
        <f>IF($G88&gt;0,MIN(1,MAX(0,(J88-M88)/$G88)),0)</f>
        <v>1</v>
      </c>
      <c r="Q88" s="68">
        <v>0</v>
      </c>
      <c r="R88" s="68">
        <v>1</v>
      </c>
      <c r="S88" s="68">
        <v>1</v>
      </c>
      <c r="T88" s="43">
        <v>1792</v>
      </c>
      <c r="U88" s="43">
        <v>587</v>
      </c>
      <c r="V88" s="44">
        <v>84194300</v>
      </c>
      <c r="W88" s="43">
        <v>1105</v>
      </c>
      <c r="X88" s="43">
        <v>0</v>
      </c>
      <c r="Y88" s="44">
        <v>109375</v>
      </c>
      <c r="Z88" s="52">
        <f>N88*$T88</f>
        <v>0</v>
      </c>
      <c r="AA88" s="52">
        <f>O88*$T88</f>
        <v>1261.4046607062417</v>
      </c>
      <c r="AB88" s="52">
        <f>P88*$T88</f>
        <v>1792</v>
      </c>
    </row>
    <row r="89">
      <c r="B89" t="s" s="73">
        <v>86</v>
      </c>
      <c r="C89" t="s" s="73">
        <v>196</v>
      </c>
      <c r="D89" t="s" s="73">
        <v>240</v>
      </c>
      <c r="E89" s="43">
        <v>645443.9</v>
      </c>
      <c r="F89" s="43">
        <v>0</v>
      </c>
      <c r="G89" s="52">
        <f>E89-F89</f>
        <v>645443.9</v>
      </c>
      <c r="H89" s="43">
        <v>0</v>
      </c>
      <c r="I89" s="43">
        <v>609581.3</v>
      </c>
      <c r="J89" s="43">
        <v>645443.9</v>
      </c>
      <c r="K89" s="43">
        <v>0</v>
      </c>
      <c r="L89" s="43">
        <v>0</v>
      </c>
      <c r="M89" s="43">
        <v>0</v>
      </c>
      <c r="N89" s="14">
        <f>IF($G89&gt;0,MIN(1,MAX(0,(H89-K89)/$G89)),0)</f>
        <v>0</v>
      </c>
      <c r="O89" s="14">
        <f>IF($G89&gt;0,MIN(1,MAX(0,(I89-L89)/$G89)),0)</f>
        <v>0.9444373089589971</v>
      </c>
      <c r="P89" s="14">
        <f>IF($G89&gt;0,MIN(1,MAX(0,(J89-M89)/$G89)),0)</f>
        <v>1</v>
      </c>
      <c r="Q89" s="68">
        <v>0</v>
      </c>
      <c r="R89" s="68">
        <v>1</v>
      </c>
      <c r="S89" s="68">
        <v>1</v>
      </c>
      <c r="T89" s="43">
        <v>1316</v>
      </c>
      <c r="U89" s="43">
        <v>530</v>
      </c>
      <c r="V89" s="44">
        <v>146303200</v>
      </c>
      <c r="W89" s="43">
        <v>847</v>
      </c>
      <c r="X89" s="43">
        <v>134</v>
      </c>
      <c r="Y89" s="44">
        <v>109375</v>
      </c>
      <c r="Z89" s="52">
        <f>N89*$T89</f>
        <v>0</v>
      </c>
      <c r="AA89" s="52">
        <f>O89*$T89</f>
        <v>1242.8794985900402</v>
      </c>
      <c r="AB89" s="52">
        <f>P89*$T89</f>
        <v>1316</v>
      </c>
    </row>
    <row r="90">
      <c r="B90" t="s" s="73">
        <v>87</v>
      </c>
      <c r="C90" t="s" s="73">
        <v>197</v>
      </c>
      <c r="D90" t="s" s="73">
        <v>239</v>
      </c>
      <c r="E90" s="43">
        <v>1356761.2</v>
      </c>
      <c r="F90" s="43">
        <v>0</v>
      </c>
      <c r="G90" s="52">
        <f>E90-F90</f>
        <v>1356761.2</v>
      </c>
      <c r="H90" s="43">
        <v>0</v>
      </c>
      <c r="I90" s="43">
        <v>0</v>
      </c>
      <c r="J90" s="43">
        <v>1356761.2</v>
      </c>
      <c r="K90" s="43">
        <v>0</v>
      </c>
      <c r="L90" s="43">
        <v>0</v>
      </c>
      <c r="M90" s="43">
        <v>0</v>
      </c>
      <c r="N90" s="14">
        <f>IF($G90&gt;0,MIN(1,MAX(0,(H90-K90)/$G90)),0)</f>
        <v>0</v>
      </c>
      <c r="O90" s="14">
        <f>IF($G90&gt;0,MIN(1,MAX(0,(I90-L90)/$G90)),0)</f>
        <v>0</v>
      </c>
      <c r="P90" s="14">
        <f>IF($G90&gt;0,MIN(1,MAX(0,(J90-M90)/$G90)),0)</f>
        <v>1</v>
      </c>
      <c r="Q90" s="68">
        <v>0</v>
      </c>
      <c r="R90" s="68">
        <v>0</v>
      </c>
      <c r="S90" s="68">
        <v>1</v>
      </c>
      <c r="T90" s="43">
        <v>3241</v>
      </c>
      <c r="U90" s="43">
        <v>1240</v>
      </c>
      <c r="V90" s="44">
        <v>159808200</v>
      </c>
      <c r="W90" s="43">
        <v>1938</v>
      </c>
      <c r="X90" s="43">
        <v>106</v>
      </c>
      <c r="Y90" s="44">
        <v>131204</v>
      </c>
      <c r="Z90" s="52">
        <f>N90*$T90</f>
        <v>0</v>
      </c>
      <c r="AA90" s="52">
        <f>O90*$T90</f>
        <v>0</v>
      </c>
      <c r="AB90" s="52">
        <f>P90*$T90</f>
        <v>3241</v>
      </c>
    </row>
    <row r="91">
      <c r="B91" t="s" s="73">
        <v>88</v>
      </c>
      <c r="C91" t="s" s="73">
        <v>197</v>
      </c>
      <c r="D91" t="s" s="73">
        <v>240</v>
      </c>
      <c r="E91" s="43">
        <v>1086133.6</v>
      </c>
      <c r="F91" s="43">
        <v>0</v>
      </c>
      <c r="G91" s="52">
        <f>E91-F91</f>
        <v>1086133.6</v>
      </c>
      <c r="H91" s="43">
        <v>0</v>
      </c>
      <c r="I91" s="43">
        <v>42855.6</v>
      </c>
      <c r="J91" s="43">
        <v>1086133.6</v>
      </c>
      <c r="K91" s="43">
        <v>0</v>
      </c>
      <c r="L91" s="43">
        <v>0</v>
      </c>
      <c r="M91" s="43">
        <v>0</v>
      </c>
      <c r="N91" s="14">
        <f>IF($G91&gt;0,MIN(1,MAX(0,(H91-K91)/$G91)),0)</f>
        <v>0</v>
      </c>
      <c r="O91" s="14">
        <f>IF($G91&gt;0,MIN(1,MAX(0,(I91-L91)/$G91)),0)</f>
        <v>0.03945702443971901</v>
      </c>
      <c r="P91" s="14">
        <f>IF($G91&gt;0,MIN(1,MAX(0,(J91-M91)/$G91)),0)</f>
        <v>1</v>
      </c>
      <c r="Q91" s="68">
        <v>0</v>
      </c>
      <c r="R91" s="68">
        <v>0</v>
      </c>
      <c r="S91" s="68">
        <v>1</v>
      </c>
      <c r="T91" s="43">
        <v>2042</v>
      </c>
      <c r="U91" s="43">
        <v>652</v>
      </c>
      <c r="V91" s="44">
        <v>118376900</v>
      </c>
      <c r="W91" s="43">
        <v>1235</v>
      </c>
      <c r="X91" s="43">
        <v>128</v>
      </c>
      <c r="Y91" s="44">
        <v>131204</v>
      </c>
      <c r="Z91" s="52">
        <f>N91*$T91</f>
        <v>0</v>
      </c>
      <c r="AA91" s="52">
        <f>O91*$T91</f>
        <v>80.57124390590621</v>
      </c>
      <c r="AB91" s="52">
        <f>P91*$T91</f>
        <v>2042</v>
      </c>
    </row>
    <row r="92">
      <c r="B92" t="s" s="73">
        <v>89</v>
      </c>
      <c r="C92" t="s" s="73">
        <v>198</v>
      </c>
      <c r="D92" t="s" s="73">
        <v>239</v>
      </c>
      <c r="E92" s="43">
        <v>2217750.4</v>
      </c>
      <c r="F92" s="43">
        <v>193.2</v>
      </c>
      <c r="G92" s="52">
        <f>E92-F92</f>
        <v>2217557.1999999997</v>
      </c>
      <c r="H92" s="43">
        <v>0</v>
      </c>
      <c r="I92" s="43">
        <v>0</v>
      </c>
      <c r="J92" s="43">
        <v>1504676.8</v>
      </c>
      <c r="K92" s="43">
        <v>0</v>
      </c>
      <c r="L92" s="43">
        <v>0</v>
      </c>
      <c r="M92" s="43">
        <v>0</v>
      </c>
      <c r="N92" s="14">
        <f>IF($G92&gt;0,MIN(1,MAX(0,(H92-K92)/$G92)),0)</f>
        <v>0</v>
      </c>
      <c r="O92" s="14">
        <f>IF($G92&gt;0,MIN(1,MAX(0,(I92-L92)/$G92)),0)</f>
        <v>0</v>
      </c>
      <c r="P92" s="14">
        <f>IF($G92&gt;0,MIN(1,MAX(0,(J92-M92)/$G92)),0)</f>
        <v>0.6785289687228813</v>
      </c>
      <c r="Q92" s="68">
        <v>0</v>
      </c>
      <c r="R92" s="68">
        <v>0</v>
      </c>
      <c r="S92" s="68">
        <v>1</v>
      </c>
      <c r="T92" s="43">
        <v>3193</v>
      </c>
      <c r="U92" s="43">
        <v>1011</v>
      </c>
      <c r="V92" s="44">
        <v>254978800</v>
      </c>
      <c r="W92" s="43">
        <v>1738</v>
      </c>
      <c r="X92" s="43">
        <v>63</v>
      </c>
      <c r="Y92" s="44">
        <v>242813</v>
      </c>
      <c r="Z92" s="52">
        <f>N92*$T92</f>
        <v>0</v>
      </c>
      <c r="AA92" s="52">
        <f>O92*$T92</f>
        <v>0</v>
      </c>
      <c r="AB92" s="52">
        <f>P92*$T92</f>
        <v>2166.54299713216</v>
      </c>
    </row>
    <row r="93">
      <c r="B93" t="s" s="73">
        <v>90</v>
      </c>
      <c r="C93" t="s" s="73">
        <v>198</v>
      </c>
      <c r="D93" t="s" s="73">
        <v>239</v>
      </c>
      <c r="E93" s="43">
        <v>513189.2</v>
      </c>
      <c r="F93" s="43">
        <v>0</v>
      </c>
      <c r="G93" s="52">
        <f>E93-F93</f>
        <v>513189.2</v>
      </c>
      <c r="H93" s="43">
        <v>0</v>
      </c>
      <c r="I93" s="43">
        <v>0</v>
      </c>
      <c r="J93" s="43">
        <v>513189.2</v>
      </c>
      <c r="K93" s="43">
        <v>0</v>
      </c>
      <c r="L93" s="43">
        <v>0</v>
      </c>
      <c r="M93" s="43">
        <v>0</v>
      </c>
      <c r="N93" s="14">
        <f>IF($G93&gt;0,MIN(1,MAX(0,(H93-K93)/$G93)),0)</f>
        <v>0</v>
      </c>
      <c r="O93" s="14">
        <f>IF($G93&gt;0,MIN(1,MAX(0,(I93-L93)/$G93)),0)</f>
        <v>0</v>
      </c>
      <c r="P93" s="14">
        <f>IF($G93&gt;0,MIN(1,MAX(0,(J93-M93)/$G93)),0)</f>
        <v>1</v>
      </c>
      <c r="Q93" s="68">
        <v>0</v>
      </c>
      <c r="R93" s="68">
        <v>0</v>
      </c>
      <c r="S93" s="68">
        <v>1</v>
      </c>
      <c r="T93" s="43">
        <v>921</v>
      </c>
      <c r="U93" s="43">
        <v>295</v>
      </c>
      <c r="V93" s="44">
        <v>72264800</v>
      </c>
      <c r="W93" s="43">
        <v>599</v>
      </c>
      <c r="X93" s="43">
        <v>8</v>
      </c>
      <c r="Y93" s="44">
        <v>242813</v>
      </c>
      <c r="Z93" s="52">
        <f>N93*$T93</f>
        <v>0</v>
      </c>
      <c r="AA93" s="52">
        <f>O93*$T93</f>
        <v>0</v>
      </c>
      <c r="AB93" s="52">
        <f>P93*$T93</f>
        <v>921</v>
      </c>
    </row>
    <row r="94">
      <c r="B94" t="s" s="73">
        <v>91</v>
      </c>
      <c r="C94" t="s" s="73">
        <v>199</v>
      </c>
      <c r="D94" t="s" s="73">
        <v>239</v>
      </c>
      <c r="E94" s="43">
        <v>3417098.9</v>
      </c>
      <c r="F94" s="43">
        <v>0</v>
      </c>
      <c r="G94" s="52">
        <f>E94-F94</f>
        <v>3417098.9</v>
      </c>
      <c r="H94" s="43">
        <v>0</v>
      </c>
      <c r="I94" s="43">
        <v>0</v>
      </c>
      <c r="J94" s="43">
        <v>663540.7</v>
      </c>
      <c r="K94" s="43">
        <v>0</v>
      </c>
      <c r="L94" s="43">
        <v>0</v>
      </c>
      <c r="M94" s="43">
        <v>0</v>
      </c>
      <c r="N94" s="14">
        <f>IF($G94&gt;0,MIN(1,MAX(0,(H94-K94)/$G94)),0)</f>
        <v>0</v>
      </c>
      <c r="O94" s="14">
        <f>IF($G94&gt;0,MIN(1,MAX(0,(I94-L94)/$G94)),0)</f>
        <v>0</v>
      </c>
      <c r="P94" s="14">
        <f>IF($G94&gt;0,MIN(1,MAX(0,(J94-M94)/$G94)),0)</f>
        <v>0.19418246864321076</v>
      </c>
      <c r="Q94" s="68">
        <v>0</v>
      </c>
      <c r="R94" s="68">
        <v>0</v>
      </c>
      <c r="S94" s="68">
        <v>0</v>
      </c>
      <c r="T94" s="43">
        <v>5941</v>
      </c>
      <c r="U94" s="43">
        <v>2329</v>
      </c>
      <c r="V94" s="44">
        <v>369565000</v>
      </c>
      <c r="W94" s="43">
        <v>3692</v>
      </c>
      <c r="X94" s="43">
        <v>142</v>
      </c>
      <c r="Y94" s="44">
        <v>143475</v>
      </c>
      <c r="Z94" s="52">
        <f>N94*$T94</f>
        <v>0</v>
      </c>
      <c r="AA94" s="52">
        <f>O94*$T94</f>
        <v>0</v>
      </c>
      <c r="AB94" s="52">
        <f>P94*$T94</f>
        <v>1153.6380462093152</v>
      </c>
    </row>
    <row r="95">
      <c r="B95" t="s" s="73">
        <v>92</v>
      </c>
      <c r="C95" t="s" s="73">
        <v>200</v>
      </c>
      <c r="D95" t="s" s="73">
        <v>238</v>
      </c>
      <c r="E95" s="43">
        <v>1205252.1</v>
      </c>
      <c r="F95" s="43">
        <v>0</v>
      </c>
      <c r="G95" s="52">
        <f>E95-F95</f>
        <v>1205252.1</v>
      </c>
      <c r="H95" s="43">
        <v>0</v>
      </c>
      <c r="I95" s="43">
        <v>0</v>
      </c>
      <c r="J95" s="43">
        <v>973791.4</v>
      </c>
      <c r="K95" s="43">
        <v>0</v>
      </c>
      <c r="L95" s="43">
        <v>0</v>
      </c>
      <c r="M95" s="43">
        <v>0</v>
      </c>
      <c r="N95" s="14">
        <f>IF($G95&gt;0,MIN(1,MAX(0,(H95-K95)/$G95)),0)</f>
        <v>0</v>
      </c>
      <c r="O95" s="14">
        <f>IF($G95&gt;0,MIN(1,MAX(0,(I95-L95)/$G95)),0)</f>
        <v>0</v>
      </c>
      <c r="P95" s="14">
        <f>IF($G95&gt;0,MIN(1,MAX(0,(J95-M95)/$G95)),0)</f>
        <v>0.8079566092438254</v>
      </c>
      <c r="Q95" s="68">
        <v>0</v>
      </c>
      <c r="R95" s="68">
        <v>0</v>
      </c>
      <c r="S95" s="68">
        <v>1</v>
      </c>
      <c r="T95" s="43">
        <v>2409</v>
      </c>
      <c r="U95" s="43">
        <v>975</v>
      </c>
      <c r="V95" s="44">
        <v>103020600</v>
      </c>
      <c r="W95" s="43">
        <v>1637</v>
      </c>
      <c r="X95" s="43">
        <v>30</v>
      </c>
      <c r="Y95" s="44">
        <v>107731</v>
      </c>
      <c r="Z95" s="52">
        <f>N95*$T95</f>
        <v>0</v>
      </c>
      <c r="AA95" s="52">
        <f>O95*$T95</f>
        <v>0</v>
      </c>
      <c r="AB95" s="52">
        <f>P95*$T95</f>
        <v>1946.3674716683754</v>
      </c>
    </row>
    <row r="96">
      <c r="B96" t="s" s="73">
        <v>93</v>
      </c>
      <c r="C96" t="s" s="73">
        <v>200</v>
      </c>
      <c r="D96" t="s" s="73">
        <v>238</v>
      </c>
      <c r="E96" s="43">
        <v>962938.7</v>
      </c>
      <c r="F96" s="43">
        <v>0</v>
      </c>
      <c r="G96" s="52">
        <f>E96-F96</f>
        <v>962938.7</v>
      </c>
      <c r="H96" s="43">
        <v>0</v>
      </c>
      <c r="I96" s="43">
        <v>0</v>
      </c>
      <c r="J96" s="43">
        <v>536725.7</v>
      </c>
      <c r="K96" s="43">
        <v>0</v>
      </c>
      <c r="L96" s="43">
        <v>0</v>
      </c>
      <c r="M96" s="43">
        <v>0</v>
      </c>
      <c r="N96" s="14">
        <f>IF($G96&gt;0,MIN(1,MAX(0,(H96-K96)/$G96)),0)</f>
        <v>0</v>
      </c>
      <c r="O96" s="14">
        <f>IF($G96&gt;0,MIN(1,MAX(0,(I96-L96)/$G96)),0)</f>
        <v>0</v>
      </c>
      <c r="P96" s="14">
        <f>IF($G96&gt;0,MIN(1,MAX(0,(J96-M96)/$G96)),0)</f>
        <v>0.5573830400626748</v>
      </c>
      <c r="Q96" s="68">
        <v>0</v>
      </c>
      <c r="R96" s="68">
        <v>0</v>
      </c>
      <c r="S96" s="68">
        <v>1</v>
      </c>
      <c r="T96" s="43">
        <v>2532</v>
      </c>
      <c r="U96" s="43">
        <v>915</v>
      </c>
      <c r="V96" s="44">
        <v>154959200</v>
      </c>
      <c r="W96" s="43">
        <v>1627</v>
      </c>
      <c r="X96" s="43">
        <v>50</v>
      </c>
      <c r="Y96" s="44">
        <v>107731</v>
      </c>
      <c r="Z96" s="52">
        <f>N96*$T96</f>
        <v>0</v>
      </c>
      <c r="AA96" s="52">
        <f>O96*$T96</f>
        <v>0</v>
      </c>
      <c r="AB96" s="52">
        <f>P96*$T96</f>
        <v>1411.2938574386926</v>
      </c>
    </row>
    <row r="97">
      <c r="B97" t="s" s="73">
        <v>94</v>
      </c>
      <c r="C97" t="s" s="73">
        <v>201</v>
      </c>
      <c r="D97" t="s" s="73">
        <v>238</v>
      </c>
      <c r="E97" s="43">
        <v>1213383.9</v>
      </c>
      <c r="F97" s="43">
        <v>0</v>
      </c>
      <c r="G97" s="52">
        <f>E97-F97</f>
        <v>1213383.9</v>
      </c>
      <c r="H97" s="43">
        <v>0</v>
      </c>
      <c r="I97" s="43">
        <v>0</v>
      </c>
      <c r="J97" s="43">
        <v>1213383.9</v>
      </c>
      <c r="K97" s="43">
        <v>0</v>
      </c>
      <c r="L97" s="43">
        <v>0</v>
      </c>
      <c r="M97" s="43">
        <v>0</v>
      </c>
      <c r="N97" s="14">
        <f>IF($G97&gt;0,MIN(1,MAX(0,(H97-K97)/$G97)),0)</f>
        <v>0</v>
      </c>
      <c r="O97" s="14">
        <f>IF($G97&gt;0,MIN(1,MAX(0,(I97-L97)/$G97)),0)</f>
        <v>0</v>
      </c>
      <c r="P97" s="14">
        <f>IF($G97&gt;0,MIN(1,MAX(0,(J97-M97)/$G97)),0)</f>
        <v>1</v>
      </c>
      <c r="Q97" s="68">
        <v>0</v>
      </c>
      <c r="R97" s="68">
        <v>0</v>
      </c>
      <c r="S97" s="68">
        <v>1</v>
      </c>
      <c r="T97" s="43">
        <v>984</v>
      </c>
      <c r="U97" s="43">
        <v>505</v>
      </c>
      <c r="V97" s="44">
        <v>37368100</v>
      </c>
      <c r="W97" s="43">
        <v>373</v>
      </c>
      <c r="X97" s="43">
        <v>99</v>
      </c>
      <c r="Y97" s="44">
        <v>77002</v>
      </c>
      <c r="Z97" s="52">
        <f>N97*$T97</f>
        <v>0</v>
      </c>
      <c r="AA97" s="52">
        <f>O97*$T97</f>
        <v>0</v>
      </c>
      <c r="AB97" s="52">
        <f>P97*$T97</f>
        <v>984</v>
      </c>
    </row>
    <row r="98">
      <c r="B98" t="s" s="73">
        <v>95</v>
      </c>
      <c r="C98" t="s" s="73">
        <v>201</v>
      </c>
      <c r="D98" t="s" s="73">
        <v>241</v>
      </c>
      <c r="E98" s="43">
        <v>805622.8</v>
      </c>
      <c r="F98" s="43">
        <v>0</v>
      </c>
      <c r="G98" s="52">
        <f>E98-F98</f>
        <v>805622.8</v>
      </c>
      <c r="H98" s="43">
        <v>0</v>
      </c>
      <c r="I98" s="43">
        <v>0</v>
      </c>
      <c r="J98" s="43">
        <v>805622.8</v>
      </c>
      <c r="K98" s="43">
        <v>0</v>
      </c>
      <c r="L98" s="43">
        <v>0</v>
      </c>
      <c r="M98" s="43">
        <v>0</v>
      </c>
      <c r="N98" s="14">
        <f>IF($G98&gt;0,MIN(1,MAX(0,(H98-K98)/$G98)),0)</f>
        <v>0</v>
      </c>
      <c r="O98" s="14">
        <f>IF($G98&gt;0,MIN(1,MAX(0,(I98-L98)/$G98)),0)</f>
        <v>0</v>
      </c>
      <c r="P98" s="14">
        <f>IF($G98&gt;0,MIN(1,MAX(0,(J98-M98)/$G98)),0)</f>
        <v>1</v>
      </c>
      <c r="Q98" s="68">
        <v>0</v>
      </c>
      <c r="R98" s="68">
        <v>0</v>
      </c>
      <c r="S98" s="68">
        <v>1</v>
      </c>
      <c r="T98" s="43">
        <v>1054</v>
      </c>
      <c r="U98" s="43">
        <v>379</v>
      </c>
      <c r="V98" s="44">
        <v>52869700</v>
      </c>
      <c r="W98" s="43">
        <v>497</v>
      </c>
      <c r="X98" s="43">
        <v>0</v>
      </c>
      <c r="Y98" s="44">
        <v>77002</v>
      </c>
      <c r="Z98" s="52">
        <f>N98*$T98</f>
        <v>0</v>
      </c>
      <c r="AA98" s="52">
        <f>O98*$T98</f>
        <v>0</v>
      </c>
      <c r="AB98" s="52">
        <f>P98*$T98</f>
        <v>1054</v>
      </c>
    </row>
    <row r="99">
      <c r="B99" t="s" s="73">
        <v>96</v>
      </c>
      <c r="C99" t="s" s="73">
        <v>201</v>
      </c>
      <c r="D99" t="s" s="73">
        <v>241</v>
      </c>
      <c r="E99" s="43">
        <v>380079.8</v>
      </c>
      <c r="F99" s="43">
        <v>0</v>
      </c>
      <c r="G99" s="52">
        <f>E99-F99</f>
        <v>380079.8</v>
      </c>
      <c r="H99" s="43">
        <v>0</v>
      </c>
      <c r="I99" s="43">
        <v>0</v>
      </c>
      <c r="J99" s="43">
        <v>380079.8</v>
      </c>
      <c r="K99" s="43">
        <v>0</v>
      </c>
      <c r="L99" s="43">
        <v>0</v>
      </c>
      <c r="M99" s="43">
        <v>0</v>
      </c>
      <c r="N99" s="14">
        <f>IF($G99&gt;0,MIN(1,MAX(0,(H99-K99)/$G99)),0)</f>
        <v>0</v>
      </c>
      <c r="O99" s="14">
        <f>IF($G99&gt;0,MIN(1,MAX(0,(I99-L99)/$G99)),0)</f>
        <v>0</v>
      </c>
      <c r="P99" s="14">
        <f>IF($G99&gt;0,MIN(1,MAX(0,(J99-M99)/$G99)),0)</f>
        <v>1</v>
      </c>
      <c r="Q99" s="68">
        <v>0</v>
      </c>
      <c r="R99" s="68">
        <v>0</v>
      </c>
      <c r="S99" s="68">
        <v>1</v>
      </c>
      <c r="T99" s="43">
        <v>1335</v>
      </c>
      <c r="U99" s="43">
        <v>785</v>
      </c>
      <c r="V99" s="44">
        <v>41329700</v>
      </c>
      <c r="W99" s="43">
        <v>958</v>
      </c>
      <c r="X99" s="43">
        <v>20</v>
      </c>
      <c r="Y99" s="44">
        <v>77002</v>
      </c>
      <c r="Z99" s="52">
        <f>N99*$T99</f>
        <v>0</v>
      </c>
      <c r="AA99" s="52">
        <f>O99*$T99</f>
        <v>0</v>
      </c>
      <c r="AB99" s="52">
        <f>P99*$T99</f>
        <v>1335</v>
      </c>
    </row>
    <row r="100">
      <c r="B100" t="s" s="73">
        <v>97</v>
      </c>
      <c r="C100" t="s" s="73">
        <v>201</v>
      </c>
      <c r="D100" t="s" s="73">
        <v>238</v>
      </c>
      <c r="E100" s="43">
        <v>624682.9</v>
      </c>
      <c r="F100" s="43">
        <v>0</v>
      </c>
      <c r="G100" s="52">
        <f>E100-F100</f>
        <v>624682.9</v>
      </c>
      <c r="H100" s="43">
        <v>0</v>
      </c>
      <c r="I100" s="43">
        <v>0</v>
      </c>
      <c r="J100" s="43">
        <v>624682.9</v>
      </c>
      <c r="K100" s="43">
        <v>0</v>
      </c>
      <c r="L100" s="43">
        <v>0</v>
      </c>
      <c r="M100" s="43">
        <v>0</v>
      </c>
      <c r="N100" s="14">
        <f>IF($G100&gt;0,MIN(1,MAX(0,(H100-K100)/$G100)),0)</f>
        <v>0</v>
      </c>
      <c r="O100" s="14">
        <f>IF($G100&gt;0,MIN(1,MAX(0,(I100-L100)/$G100)),0)</f>
        <v>0</v>
      </c>
      <c r="P100" s="14">
        <f>IF($G100&gt;0,MIN(1,MAX(0,(J100-M100)/$G100)),0)</f>
        <v>1</v>
      </c>
      <c r="Q100" s="68">
        <v>0</v>
      </c>
      <c r="R100" s="68">
        <v>0</v>
      </c>
      <c r="S100" s="68">
        <v>1</v>
      </c>
      <c r="T100" s="43">
        <v>2296</v>
      </c>
      <c r="U100" s="43">
        <v>706</v>
      </c>
      <c r="V100" s="44">
        <v>85521500</v>
      </c>
      <c r="W100" s="43">
        <v>1063</v>
      </c>
      <c r="X100" s="43">
        <v>65</v>
      </c>
      <c r="Y100" s="44">
        <v>77002</v>
      </c>
      <c r="Z100" s="52">
        <f>N100*$T100</f>
        <v>0</v>
      </c>
      <c r="AA100" s="52">
        <f>O100*$T100</f>
        <v>0</v>
      </c>
      <c r="AB100" s="52">
        <f>P100*$T100</f>
        <v>2296</v>
      </c>
    </row>
    <row r="101">
      <c r="B101" t="s" s="73">
        <v>98</v>
      </c>
      <c r="C101" t="s" s="73">
        <v>202</v>
      </c>
      <c r="D101" t="s" s="73">
        <v>241</v>
      </c>
      <c r="E101" s="43">
        <v>649602.4</v>
      </c>
      <c r="F101" s="43">
        <v>0</v>
      </c>
      <c r="G101" s="52">
        <f>E101-F101</f>
        <v>649602.4</v>
      </c>
      <c r="H101" s="43">
        <v>0</v>
      </c>
      <c r="I101" s="43">
        <v>0</v>
      </c>
      <c r="J101" s="43">
        <v>649602.4</v>
      </c>
      <c r="K101" s="43">
        <v>0</v>
      </c>
      <c r="L101" s="43">
        <v>0</v>
      </c>
      <c r="M101" s="43">
        <v>0</v>
      </c>
      <c r="N101" s="14">
        <f>IF($G101&gt;0,MIN(1,MAX(0,(H101-K101)/$G101)),0)</f>
        <v>0</v>
      </c>
      <c r="O101" s="14">
        <f>IF($G101&gt;0,MIN(1,MAX(0,(I101-L101)/$G101)),0)</f>
        <v>0</v>
      </c>
      <c r="P101" s="14">
        <f>IF($G101&gt;0,MIN(1,MAX(0,(J101-M101)/$G101)),0)</f>
        <v>1</v>
      </c>
      <c r="Q101" s="68">
        <v>0</v>
      </c>
      <c r="R101" s="68">
        <v>0</v>
      </c>
      <c r="S101" s="68">
        <v>1</v>
      </c>
      <c r="T101" s="43">
        <v>589</v>
      </c>
      <c r="U101" s="43">
        <v>239</v>
      </c>
      <c r="V101" s="44">
        <v>18956300</v>
      </c>
      <c r="W101" s="43">
        <v>295</v>
      </c>
      <c r="X101" s="43">
        <v>13</v>
      </c>
      <c r="Y101" s="44">
        <v>77591</v>
      </c>
      <c r="Z101" s="52">
        <f>N101*$T101</f>
        <v>0</v>
      </c>
      <c r="AA101" s="52">
        <f>O101*$T101</f>
        <v>0</v>
      </c>
      <c r="AB101" s="52">
        <f>P101*$T101</f>
        <v>589</v>
      </c>
    </row>
    <row r="102">
      <c r="B102" t="s" s="73">
        <v>99</v>
      </c>
      <c r="C102" t="s" s="73">
        <v>202</v>
      </c>
      <c r="D102" t="s" s="73">
        <v>241</v>
      </c>
      <c r="E102" s="43">
        <v>628681.5</v>
      </c>
      <c r="F102" s="43">
        <v>0</v>
      </c>
      <c r="G102" s="52">
        <f>E102-F102</f>
        <v>628681.5</v>
      </c>
      <c r="H102" s="43">
        <v>0</v>
      </c>
      <c r="I102" s="43">
        <v>0</v>
      </c>
      <c r="J102" s="43">
        <v>628681.5</v>
      </c>
      <c r="K102" s="43">
        <v>0</v>
      </c>
      <c r="L102" s="43">
        <v>0</v>
      </c>
      <c r="M102" s="43">
        <v>0</v>
      </c>
      <c r="N102" s="14">
        <f>IF($G102&gt;0,MIN(1,MAX(0,(H102-K102)/$G102)),0)</f>
        <v>0</v>
      </c>
      <c r="O102" s="14">
        <f>IF($G102&gt;0,MIN(1,MAX(0,(I102-L102)/$G102)),0)</f>
        <v>0</v>
      </c>
      <c r="P102" s="14">
        <f>IF($G102&gt;0,MIN(1,MAX(0,(J102-M102)/$G102)),0)</f>
        <v>1</v>
      </c>
      <c r="Q102" s="68">
        <v>0</v>
      </c>
      <c r="R102" s="68">
        <v>0</v>
      </c>
      <c r="S102" s="68">
        <v>1</v>
      </c>
      <c r="T102" s="43">
        <v>1644</v>
      </c>
      <c r="U102" s="43">
        <v>581</v>
      </c>
      <c r="V102" s="44">
        <v>66316700</v>
      </c>
      <c r="W102" s="43">
        <v>1026</v>
      </c>
      <c r="X102" s="43">
        <v>96</v>
      </c>
      <c r="Y102" s="44">
        <v>77591</v>
      </c>
      <c r="Z102" s="52">
        <f>N102*$T102</f>
        <v>0</v>
      </c>
      <c r="AA102" s="52">
        <f>O102*$T102</f>
        <v>0</v>
      </c>
      <c r="AB102" s="52">
        <f>P102*$T102</f>
        <v>1644</v>
      </c>
    </row>
    <row r="103">
      <c r="B103" t="s" s="73">
        <v>100</v>
      </c>
      <c r="C103" t="s" s="73">
        <v>202</v>
      </c>
      <c r="D103" t="s" s="73">
        <v>238</v>
      </c>
      <c r="E103" s="43">
        <v>817392.3</v>
      </c>
      <c r="F103" s="43">
        <v>0</v>
      </c>
      <c r="G103" s="52">
        <f>E103-F103</f>
        <v>817392.3</v>
      </c>
      <c r="H103" s="43">
        <v>0</v>
      </c>
      <c r="I103" s="43">
        <v>0</v>
      </c>
      <c r="J103" s="43">
        <v>788002.2</v>
      </c>
      <c r="K103" s="43">
        <v>0</v>
      </c>
      <c r="L103" s="43">
        <v>0</v>
      </c>
      <c r="M103" s="43">
        <v>0</v>
      </c>
      <c r="N103" s="14">
        <f>IF($G103&gt;0,MIN(1,MAX(0,(H103-K103)/$G103)),0)</f>
        <v>0</v>
      </c>
      <c r="O103" s="14">
        <f>IF($G103&gt;0,MIN(1,MAX(0,(I103-L103)/$G103)),0)</f>
        <v>0</v>
      </c>
      <c r="P103" s="14">
        <f>IF($G103&gt;0,MIN(1,MAX(0,(J103-M103)/$G103)),0)</f>
        <v>0.9640440703931269</v>
      </c>
      <c r="Q103" s="68">
        <v>0</v>
      </c>
      <c r="R103" s="68">
        <v>0</v>
      </c>
      <c r="S103" s="68">
        <v>1</v>
      </c>
      <c r="T103" s="43">
        <v>1574</v>
      </c>
      <c r="U103" s="43">
        <v>629</v>
      </c>
      <c r="V103" s="44">
        <v>56258200</v>
      </c>
      <c r="W103" s="43">
        <v>1051</v>
      </c>
      <c r="X103" s="43">
        <v>13</v>
      </c>
      <c r="Y103" s="44">
        <v>77591</v>
      </c>
      <c r="Z103" s="52">
        <f>N103*$T103</f>
        <v>0</v>
      </c>
      <c r="AA103" s="52">
        <f>O103*$T103</f>
        <v>0</v>
      </c>
      <c r="AB103" s="52">
        <f>P103*$T103</f>
        <v>1517.4053667987816</v>
      </c>
    </row>
    <row r="104">
      <c r="B104" t="s" s="73">
        <v>101</v>
      </c>
      <c r="C104" t="s" s="73">
        <v>202</v>
      </c>
      <c r="D104" t="s" s="73">
        <v>238</v>
      </c>
      <c r="E104" s="43">
        <v>683880</v>
      </c>
      <c r="F104" s="43">
        <v>0</v>
      </c>
      <c r="G104" s="52">
        <f>E104-F104</f>
        <v>683880</v>
      </c>
      <c r="H104" s="43">
        <v>0</v>
      </c>
      <c r="I104" s="43">
        <v>0</v>
      </c>
      <c r="J104" s="43">
        <v>683880</v>
      </c>
      <c r="K104" s="43">
        <v>0</v>
      </c>
      <c r="L104" s="43">
        <v>0</v>
      </c>
      <c r="M104" s="43">
        <v>0</v>
      </c>
      <c r="N104" s="14">
        <f>IF($G104&gt;0,MIN(1,MAX(0,(H104-K104)/$G104)),0)</f>
        <v>0</v>
      </c>
      <c r="O104" s="14">
        <f>IF($G104&gt;0,MIN(1,MAX(0,(I104-L104)/$G104)),0)</f>
        <v>0</v>
      </c>
      <c r="P104" s="14">
        <f>IF($G104&gt;0,MIN(1,MAX(0,(J104-M104)/$G104)),0)</f>
        <v>1</v>
      </c>
      <c r="Q104" s="68">
        <v>0</v>
      </c>
      <c r="R104" s="68">
        <v>0</v>
      </c>
      <c r="S104" s="68">
        <v>1</v>
      </c>
      <c r="T104" s="43">
        <v>1865</v>
      </c>
      <c r="U104" s="43">
        <v>750</v>
      </c>
      <c r="V104" s="44">
        <v>72061500</v>
      </c>
      <c r="W104" s="43">
        <v>936</v>
      </c>
      <c r="X104" s="43">
        <v>0</v>
      </c>
      <c r="Y104" s="44">
        <v>77591</v>
      </c>
      <c r="Z104" s="52">
        <f>N104*$T104</f>
        <v>0</v>
      </c>
      <c r="AA104" s="52">
        <f>O104*$T104</f>
        <v>0</v>
      </c>
      <c r="AB104" s="52">
        <f>P104*$T104</f>
        <v>1865</v>
      </c>
    </row>
    <row r="105">
      <c r="B105" t="s" s="73">
        <v>102</v>
      </c>
      <c r="C105" t="s" s="73">
        <v>203</v>
      </c>
      <c r="D105" t="s" s="73">
        <v>242</v>
      </c>
      <c r="E105" s="43">
        <v>943069.4</v>
      </c>
      <c r="F105" s="43">
        <v>0</v>
      </c>
      <c r="G105" s="52">
        <f>E105-F105</f>
        <v>943069.4</v>
      </c>
      <c r="H105" s="43">
        <v>0</v>
      </c>
      <c r="I105" s="43">
        <v>0</v>
      </c>
      <c r="J105" s="43">
        <v>377489.1</v>
      </c>
      <c r="K105" s="43">
        <v>0</v>
      </c>
      <c r="L105" s="43">
        <v>0</v>
      </c>
      <c r="M105" s="43">
        <v>0</v>
      </c>
      <c r="N105" s="14">
        <f>IF($G105&gt;0,MIN(1,MAX(0,(H105-K105)/$G105)),0)</f>
        <v>0</v>
      </c>
      <c r="O105" s="14">
        <f>IF($G105&gt;0,MIN(1,MAX(0,(I105-L105)/$G105)),0)</f>
        <v>0</v>
      </c>
      <c r="P105" s="14">
        <f>IF($G105&gt;0,MIN(1,MAX(0,(J105-M105)/$G105)),0)</f>
        <v>0.4002771164030982</v>
      </c>
      <c r="Q105" s="68">
        <v>0</v>
      </c>
      <c r="R105" s="68">
        <v>0</v>
      </c>
      <c r="S105" s="68">
        <v>0</v>
      </c>
      <c r="T105" s="43">
        <v>2275</v>
      </c>
      <c r="U105" s="43">
        <v>854</v>
      </c>
      <c r="V105" s="44">
        <v>116599100</v>
      </c>
      <c r="W105" s="43">
        <v>1363</v>
      </c>
      <c r="X105" s="43">
        <v>24</v>
      </c>
      <c r="Y105" s="44">
        <v>119637</v>
      </c>
      <c r="Z105" s="52">
        <f>N105*$T105</f>
        <v>0</v>
      </c>
      <c r="AA105" s="52">
        <f>O105*$T105</f>
        <v>0</v>
      </c>
      <c r="AB105" s="52">
        <f>P105*$T105</f>
        <v>910.6304398170485</v>
      </c>
    </row>
    <row r="106">
      <c r="B106" t="s" s="73">
        <v>103</v>
      </c>
      <c r="C106" t="s" s="73">
        <v>204</v>
      </c>
      <c r="D106" t="s" s="73">
        <v>242</v>
      </c>
      <c r="E106" s="43">
        <v>1155210</v>
      </c>
      <c r="F106" s="43">
        <v>798.3</v>
      </c>
      <c r="G106" s="52">
        <f>E106-F106</f>
        <v>1154411.7</v>
      </c>
      <c r="H106" s="43">
        <v>0</v>
      </c>
      <c r="I106" s="43">
        <v>0</v>
      </c>
      <c r="J106" s="43">
        <v>759288.8</v>
      </c>
      <c r="K106" s="43">
        <v>0</v>
      </c>
      <c r="L106" s="43">
        <v>0</v>
      </c>
      <c r="M106" s="43">
        <v>798.3</v>
      </c>
      <c r="N106" s="14">
        <f>IF($G106&gt;0,MIN(1,MAX(0,(H106-K106)/$G106)),0)</f>
        <v>0</v>
      </c>
      <c r="O106" s="14">
        <f>IF($G106&gt;0,MIN(1,MAX(0,(I106-L106)/$G106)),0)</f>
        <v>0</v>
      </c>
      <c r="P106" s="14">
        <f>IF($G106&gt;0,MIN(1,MAX(0,(J106-M106)/$G106)),0)</f>
        <v>0.6570363935154158</v>
      </c>
      <c r="Q106" s="68">
        <v>0</v>
      </c>
      <c r="R106" s="68">
        <v>0</v>
      </c>
      <c r="S106" s="68">
        <v>1</v>
      </c>
      <c r="T106" s="43">
        <v>1875</v>
      </c>
      <c r="U106" s="43">
        <v>806</v>
      </c>
      <c r="V106" s="44">
        <v>70027800</v>
      </c>
      <c r="W106" s="43">
        <v>1078</v>
      </c>
      <c r="X106" s="43">
        <v>108</v>
      </c>
      <c r="Y106" s="44">
        <v>104318</v>
      </c>
      <c r="Z106" s="52">
        <f>N106*$T106</f>
        <v>0</v>
      </c>
      <c r="AA106" s="52">
        <f>O106*$T106</f>
        <v>0</v>
      </c>
      <c r="AB106" s="52">
        <f>P106*$T106</f>
        <v>1231.9432378414047</v>
      </c>
    </row>
    <row r="107">
      <c r="B107" t="s" s="73">
        <v>104</v>
      </c>
      <c r="C107" t="s" s="73">
        <v>204</v>
      </c>
      <c r="D107" t="s" s="73">
        <v>242</v>
      </c>
      <c r="E107" s="43">
        <v>1320783.3</v>
      </c>
      <c r="F107" s="43">
        <v>0</v>
      </c>
      <c r="G107" s="52">
        <f>E107-F107</f>
        <v>1320783.3</v>
      </c>
      <c r="H107" s="43">
        <v>0</v>
      </c>
      <c r="I107" s="43">
        <v>0</v>
      </c>
      <c r="J107" s="43">
        <v>895519.1</v>
      </c>
      <c r="K107" s="43">
        <v>0</v>
      </c>
      <c r="L107" s="43">
        <v>0</v>
      </c>
      <c r="M107" s="43">
        <v>0</v>
      </c>
      <c r="N107" s="14">
        <f>IF($G107&gt;0,MIN(1,MAX(0,(H107-K107)/$G107)),0)</f>
        <v>0</v>
      </c>
      <c r="O107" s="14">
        <f>IF($G107&gt;0,MIN(1,MAX(0,(I107-L107)/$G107)),0)</f>
        <v>0</v>
      </c>
      <c r="P107" s="14">
        <f>IF($G107&gt;0,MIN(1,MAX(0,(J107-M107)/$G107)),0)</f>
        <v>0.6780212166522699</v>
      </c>
      <c r="Q107" s="68">
        <v>0</v>
      </c>
      <c r="R107" s="68">
        <v>0</v>
      </c>
      <c r="S107" s="68">
        <v>1</v>
      </c>
      <c r="T107" s="43">
        <v>1809</v>
      </c>
      <c r="U107" s="43">
        <v>756</v>
      </c>
      <c r="V107" s="44">
        <v>143084300</v>
      </c>
      <c r="W107" s="43">
        <v>1271</v>
      </c>
      <c r="X107" s="43">
        <v>3</v>
      </c>
      <c r="Y107" s="44">
        <v>104318</v>
      </c>
      <c r="Z107" s="52">
        <f>N107*$T107</f>
        <v>0</v>
      </c>
      <c r="AA107" s="52">
        <f>O107*$T107</f>
        <v>0</v>
      </c>
      <c r="AB107" s="52">
        <f>P107*$T107</f>
        <v>1226.5403809239563</v>
      </c>
    </row>
    <row r="108">
      <c r="B108" t="s" s="73">
        <v>105</v>
      </c>
      <c r="C108" t="s" s="73">
        <v>205</v>
      </c>
      <c r="D108" t="s" s="73">
        <v>241</v>
      </c>
      <c r="E108" s="43">
        <v>549124.5</v>
      </c>
      <c r="F108" s="43">
        <v>0</v>
      </c>
      <c r="G108" s="52">
        <f>E108-F108</f>
        <v>549124.5</v>
      </c>
      <c r="H108" s="43">
        <v>0</v>
      </c>
      <c r="I108" s="43">
        <v>117207.4</v>
      </c>
      <c r="J108" s="43">
        <v>549124.5</v>
      </c>
      <c r="K108" s="43">
        <v>0</v>
      </c>
      <c r="L108" s="43">
        <v>0</v>
      </c>
      <c r="M108" s="43">
        <v>0</v>
      </c>
      <c r="N108" s="14">
        <f>IF($G108&gt;0,MIN(1,MAX(0,(H108-K108)/$G108)),0)</f>
        <v>0</v>
      </c>
      <c r="O108" s="14">
        <f>IF($G108&gt;0,MIN(1,MAX(0,(I108-L108)/$G108)),0)</f>
        <v>0.21344412787992523</v>
      </c>
      <c r="P108" s="14">
        <f>IF($G108&gt;0,MIN(1,MAX(0,(J108-M108)/$G108)),0)</f>
        <v>1</v>
      </c>
      <c r="Q108" s="68">
        <v>0</v>
      </c>
      <c r="R108" s="68">
        <v>0</v>
      </c>
      <c r="S108" s="68">
        <v>1</v>
      </c>
      <c r="T108" s="43">
        <v>1539</v>
      </c>
      <c r="U108" s="43">
        <v>544</v>
      </c>
      <c r="V108" s="44">
        <v>71928200</v>
      </c>
      <c r="W108" s="43">
        <v>821</v>
      </c>
      <c r="X108" s="43">
        <v>25</v>
      </c>
      <c r="Y108" s="44">
        <v>129286</v>
      </c>
      <c r="Z108" s="52">
        <f>N108*$T108</f>
        <v>0</v>
      </c>
      <c r="AA108" s="52">
        <f>O108*$T108</f>
        <v>328.49051280720494</v>
      </c>
      <c r="AB108" s="52">
        <f>P108*$T108</f>
        <v>1539</v>
      </c>
    </row>
    <row r="109">
      <c r="B109" t="s" s="73">
        <v>106</v>
      </c>
      <c r="C109" t="s" s="73">
        <v>206</v>
      </c>
      <c r="D109" t="s" s="73">
        <v>242</v>
      </c>
      <c r="E109" s="43">
        <v>2179643.8</v>
      </c>
      <c r="F109" s="43">
        <v>5608.2</v>
      </c>
      <c r="G109" s="52">
        <f>E109-F109</f>
        <v>2174035.5999999996</v>
      </c>
      <c r="H109" s="43">
        <v>0</v>
      </c>
      <c r="I109" s="43">
        <v>0</v>
      </c>
      <c r="J109" s="43">
        <v>2179614.9</v>
      </c>
      <c r="K109" s="43">
        <v>0</v>
      </c>
      <c r="L109" s="43">
        <v>0</v>
      </c>
      <c r="M109" s="43">
        <v>5608.2</v>
      </c>
      <c r="N109" s="14">
        <f>IF($G109&gt;0,MIN(1,MAX(0,(H109-K109)/$G109)),0)</f>
        <v>0</v>
      </c>
      <c r="O109" s="14">
        <f>IF($G109&gt;0,MIN(1,MAX(0,(I109-L109)/$G109)),0)</f>
        <v>0</v>
      </c>
      <c r="P109" s="14">
        <f>IF($G109&gt;0,MIN(1,MAX(0,(J109-M109)/$G109)),0)</f>
        <v>0.9999867067494204</v>
      </c>
      <c r="Q109" s="68">
        <v>0</v>
      </c>
      <c r="R109" s="68">
        <v>0</v>
      </c>
      <c r="S109" s="68">
        <v>1</v>
      </c>
      <c r="T109" s="43">
        <v>1875</v>
      </c>
      <c r="U109" s="43">
        <v>705</v>
      </c>
      <c r="V109" s="44">
        <v>147932500</v>
      </c>
      <c r="W109" s="43">
        <v>1104</v>
      </c>
      <c r="X109" s="43">
        <v>20</v>
      </c>
      <c r="Y109" s="44">
        <v>183908</v>
      </c>
      <c r="Z109" s="52">
        <f>N109*$T109</f>
        <v>0</v>
      </c>
      <c r="AA109" s="52">
        <f>O109*$T109</f>
        <v>0</v>
      </c>
      <c r="AB109" s="52">
        <f>P109*$T109</f>
        <v>1874.9750751551633</v>
      </c>
    </row>
    <row r="110">
      <c r="B110" t="s" s="73">
        <v>107</v>
      </c>
      <c r="C110" t="s" s="73">
        <v>206</v>
      </c>
      <c r="D110" t="s" s="73">
        <v>242</v>
      </c>
      <c r="E110" s="43">
        <v>1133756.5</v>
      </c>
      <c r="F110" s="43">
        <v>0</v>
      </c>
      <c r="G110" s="52">
        <f>E110-F110</f>
        <v>1133756.5</v>
      </c>
      <c r="H110" s="43">
        <v>0</v>
      </c>
      <c r="I110" s="43">
        <v>0</v>
      </c>
      <c r="J110" s="43">
        <v>1133756.5</v>
      </c>
      <c r="K110" s="43">
        <v>0</v>
      </c>
      <c r="L110" s="43">
        <v>0</v>
      </c>
      <c r="M110" s="43">
        <v>0</v>
      </c>
      <c r="N110" s="14">
        <f>IF($G110&gt;0,MIN(1,MAX(0,(H110-K110)/$G110)),0)</f>
        <v>0</v>
      </c>
      <c r="O110" s="14">
        <f>IF($G110&gt;0,MIN(1,MAX(0,(I110-L110)/$G110)),0)</f>
        <v>0</v>
      </c>
      <c r="P110" s="14">
        <f>IF($G110&gt;0,MIN(1,MAX(0,(J110-M110)/$G110)),0)</f>
        <v>1</v>
      </c>
      <c r="Q110" s="68">
        <v>0</v>
      </c>
      <c r="R110" s="68">
        <v>0</v>
      </c>
      <c r="S110" s="68">
        <v>1</v>
      </c>
      <c r="T110" s="43">
        <v>2327</v>
      </c>
      <c r="U110" s="43">
        <v>790</v>
      </c>
      <c r="V110" s="44">
        <v>145345800</v>
      </c>
      <c r="W110" s="43">
        <v>1380</v>
      </c>
      <c r="X110" s="43">
        <v>68</v>
      </c>
      <c r="Y110" s="44">
        <v>183908</v>
      </c>
      <c r="Z110" s="52">
        <f>N110*$T110</f>
        <v>0</v>
      </c>
      <c r="AA110" s="52">
        <f>O110*$T110</f>
        <v>0</v>
      </c>
      <c r="AB110" s="52">
        <f>P110*$T110</f>
        <v>2327</v>
      </c>
    </row>
    <row r="111">
      <c r="B111" t="s" s="73">
        <v>108</v>
      </c>
      <c r="C111" t="s" s="73">
        <v>207</v>
      </c>
      <c r="D111" t="s" s="73">
        <v>242</v>
      </c>
      <c r="E111" s="43">
        <v>821280.9</v>
      </c>
      <c r="F111" s="43">
        <v>0</v>
      </c>
      <c r="G111" s="52">
        <f>E111-F111</f>
        <v>821280.9</v>
      </c>
      <c r="H111" s="43">
        <v>0</v>
      </c>
      <c r="I111" s="43">
        <v>0</v>
      </c>
      <c r="J111" s="43">
        <v>114533.7</v>
      </c>
      <c r="K111" s="43">
        <v>0</v>
      </c>
      <c r="L111" s="43">
        <v>0</v>
      </c>
      <c r="M111" s="43">
        <v>0</v>
      </c>
      <c r="N111" s="14">
        <f>IF($G111&gt;0,MIN(1,MAX(0,(H111-K111)/$G111)),0)</f>
        <v>0</v>
      </c>
      <c r="O111" s="14">
        <f>IF($G111&gt;0,MIN(1,MAX(0,(I111-L111)/$G111)),0)</f>
        <v>0</v>
      </c>
      <c r="P111" s="14">
        <f>IF($G111&gt;0,MIN(1,MAX(0,(J111-M111)/$G111)),0)</f>
        <v>0.13945740123750594</v>
      </c>
      <c r="Q111" s="68">
        <v>0</v>
      </c>
      <c r="R111" s="68">
        <v>0</v>
      </c>
      <c r="S111" s="68">
        <v>0</v>
      </c>
      <c r="T111" s="43">
        <v>1921</v>
      </c>
      <c r="U111" s="43">
        <v>757</v>
      </c>
      <c r="V111" s="44">
        <v>108803500</v>
      </c>
      <c r="W111" s="43">
        <v>1111</v>
      </c>
      <c r="X111" s="43">
        <v>57</v>
      </c>
      <c r="Y111" s="44">
        <v>136875</v>
      </c>
      <c r="Z111" s="52">
        <f>N111*$T111</f>
        <v>0</v>
      </c>
      <c r="AA111" s="52">
        <f>O111*$T111</f>
        <v>0</v>
      </c>
      <c r="AB111" s="52">
        <f>P111*$T111</f>
        <v>267.8976677772489</v>
      </c>
    </row>
    <row r="112">
      <c r="B112" t="s" s="73">
        <v>109</v>
      </c>
      <c r="C112" t="s" s="73">
        <v>207</v>
      </c>
      <c r="D112" t="s" s="73">
        <v>242</v>
      </c>
      <c r="E112" s="43">
        <v>999881.2</v>
      </c>
      <c r="F112" s="43">
        <v>1723.2</v>
      </c>
      <c r="G112" s="52">
        <f>E112-F112</f>
        <v>998158</v>
      </c>
      <c r="H112" s="43">
        <v>0</v>
      </c>
      <c r="I112" s="43">
        <v>0</v>
      </c>
      <c r="J112" s="43">
        <v>645823.9</v>
      </c>
      <c r="K112" s="43">
        <v>0</v>
      </c>
      <c r="L112" s="43">
        <v>0</v>
      </c>
      <c r="M112" s="43">
        <v>1723.2</v>
      </c>
      <c r="N112" s="14">
        <f>IF($G112&gt;0,MIN(1,MAX(0,(H112-K112)/$G112)),0)</f>
        <v>0</v>
      </c>
      <c r="O112" s="14">
        <f>IF($G112&gt;0,MIN(1,MAX(0,(I112-L112)/$G112)),0)</f>
        <v>0</v>
      </c>
      <c r="P112" s="14">
        <f>IF($G112&gt;0,MIN(1,MAX(0,(J112-M112)/$G112)),0)</f>
        <v>0.6452893229328424</v>
      </c>
      <c r="Q112" s="68">
        <v>0</v>
      </c>
      <c r="R112" s="68">
        <v>0</v>
      </c>
      <c r="S112" s="68">
        <v>1</v>
      </c>
      <c r="T112" s="43">
        <v>2095</v>
      </c>
      <c r="U112" s="43">
        <v>767</v>
      </c>
      <c r="V112" s="44">
        <v>108925500</v>
      </c>
      <c r="W112" s="43">
        <v>1214</v>
      </c>
      <c r="X112" s="43">
        <v>171</v>
      </c>
      <c r="Y112" s="44">
        <v>136875</v>
      </c>
      <c r="Z112" s="52">
        <f>N112*$T112</f>
        <v>0</v>
      </c>
      <c r="AA112" s="52">
        <f>O112*$T112</f>
        <v>0</v>
      </c>
      <c r="AB112" s="52">
        <f>P112*$T112</f>
        <v>1351.8811315443047</v>
      </c>
    </row>
    <row r="113">
      <c r="B113" t="s" s="73">
        <v>110</v>
      </c>
      <c r="C113" t="s" s="73">
        <v>208</v>
      </c>
      <c r="D113" t="s" s="73">
        <v>242</v>
      </c>
      <c r="E113" s="43">
        <v>809028.5</v>
      </c>
      <c r="F113" s="43">
        <v>25110.7</v>
      </c>
      <c r="G113" s="52">
        <f>E113-F113</f>
        <v>783917.8</v>
      </c>
      <c r="H113" s="43">
        <v>0</v>
      </c>
      <c r="I113" s="43">
        <v>0</v>
      </c>
      <c r="J113" s="43">
        <v>661530.2</v>
      </c>
      <c r="K113" s="43">
        <v>0</v>
      </c>
      <c r="L113" s="43">
        <v>0</v>
      </c>
      <c r="M113" s="43">
        <v>25110.7</v>
      </c>
      <c r="N113" s="14">
        <f>IF($G113&gt;0,MIN(1,MAX(0,(H113-K113)/$G113)),0)</f>
        <v>0</v>
      </c>
      <c r="O113" s="14">
        <f>IF($G113&gt;0,MIN(1,MAX(0,(I113-L113)/$G113)),0)</f>
        <v>0</v>
      </c>
      <c r="P113" s="14">
        <f>IF($G113&gt;0,MIN(1,MAX(0,(J113-M113)/$G113)),0)</f>
        <v>0.8118446857565933</v>
      </c>
      <c r="Q113" s="68">
        <v>0</v>
      </c>
      <c r="R113" s="68">
        <v>0</v>
      </c>
      <c r="S113" s="68">
        <v>1</v>
      </c>
      <c r="T113" s="43">
        <v>1722</v>
      </c>
      <c r="U113" s="43">
        <v>562</v>
      </c>
      <c r="V113" s="44">
        <v>82754800</v>
      </c>
      <c r="W113" s="43">
        <v>1008</v>
      </c>
      <c r="X113" s="43">
        <v>29</v>
      </c>
      <c r="Y113" s="44">
        <v>136419</v>
      </c>
      <c r="Z113" s="52">
        <f>N113*$T113</f>
        <v>0</v>
      </c>
      <c r="AA113" s="52">
        <f>O113*$T113</f>
        <v>0</v>
      </c>
      <c r="AB113" s="52">
        <f>P113*$T113</f>
        <v>1397.9965488728537</v>
      </c>
    </row>
    <row r="114">
      <c r="B114" t="s" s="73">
        <v>111</v>
      </c>
      <c r="C114" t="s" s="73">
        <v>208</v>
      </c>
      <c r="D114" t="s" s="73">
        <v>242</v>
      </c>
      <c r="E114" s="43">
        <v>699413.8</v>
      </c>
      <c r="F114" s="43">
        <v>0</v>
      </c>
      <c r="G114" s="52">
        <f>E114-F114</f>
        <v>699413.8</v>
      </c>
      <c r="H114" s="43">
        <v>0</v>
      </c>
      <c r="I114" s="43">
        <v>0</v>
      </c>
      <c r="J114" s="43">
        <v>699413.8</v>
      </c>
      <c r="K114" s="43">
        <v>0</v>
      </c>
      <c r="L114" s="43">
        <v>0</v>
      </c>
      <c r="M114" s="43">
        <v>0</v>
      </c>
      <c r="N114" s="14">
        <f>IF($G114&gt;0,MIN(1,MAX(0,(H114-K114)/$G114)),0)</f>
        <v>0</v>
      </c>
      <c r="O114" s="14">
        <f>IF($G114&gt;0,MIN(1,MAX(0,(I114-L114)/$G114)),0)</f>
        <v>0</v>
      </c>
      <c r="P114" s="14">
        <f>IF($G114&gt;0,MIN(1,MAX(0,(J114-M114)/$G114)),0)</f>
        <v>1</v>
      </c>
      <c r="Q114" s="68">
        <v>0</v>
      </c>
      <c r="R114" s="68">
        <v>0</v>
      </c>
      <c r="S114" s="68">
        <v>1</v>
      </c>
      <c r="T114" s="43">
        <v>1685</v>
      </c>
      <c r="U114" s="43">
        <v>566</v>
      </c>
      <c r="V114" s="44">
        <v>88547800</v>
      </c>
      <c r="W114" s="43">
        <v>851</v>
      </c>
      <c r="X114" s="43">
        <v>22</v>
      </c>
      <c r="Y114" s="44">
        <v>136419</v>
      </c>
      <c r="Z114" s="52">
        <f>N114*$T114</f>
        <v>0</v>
      </c>
      <c r="AA114" s="52">
        <f>O114*$T114</f>
        <v>0</v>
      </c>
      <c r="AB114" s="52">
        <f>P114*$T114</f>
        <v>1685</v>
      </c>
    </row>
    <row r="115">
      <c r="B115" t="s" s="73">
        <v>112</v>
      </c>
      <c r="C115" t="s" s="73">
        <v>209</v>
      </c>
      <c r="D115" t="s" s="73">
        <v>242</v>
      </c>
      <c r="E115" s="43">
        <v>4659823.6</v>
      </c>
      <c r="F115" s="43">
        <v>0</v>
      </c>
      <c r="G115" s="52">
        <f>E115-F115</f>
        <v>4659823.6</v>
      </c>
      <c r="H115" s="43">
        <v>0</v>
      </c>
      <c r="I115" s="43">
        <v>0</v>
      </c>
      <c r="J115" s="43">
        <v>4202865.8</v>
      </c>
      <c r="K115" s="43">
        <v>0</v>
      </c>
      <c r="L115" s="43">
        <v>0</v>
      </c>
      <c r="M115" s="43">
        <v>0</v>
      </c>
      <c r="N115" s="14">
        <f>IF($G115&gt;0,MIN(1,MAX(0,(H115-K115)/$G115)),0)</f>
        <v>0</v>
      </c>
      <c r="O115" s="14">
        <f>IF($G115&gt;0,MIN(1,MAX(0,(I115-L115)/$G115)),0)</f>
        <v>0</v>
      </c>
      <c r="P115" s="14">
        <f>IF($G115&gt;0,MIN(1,MAX(0,(J115-M115)/$G115)),0)</f>
        <v>0.9019366741693827</v>
      </c>
      <c r="Q115" s="68">
        <v>0</v>
      </c>
      <c r="R115" s="68">
        <v>0</v>
      </c>
      <c r="S115" s="68">
        <v>1</v>
      </c>
      <c r="T115" s="43">
        <v>2568</v>
      </c>
      <c r="U115" s="43">
        <v>858</v>
      </c>
      <c r="V115" s="44">
        <v>196456700</v>
      </c>
      <c r="W115" s="43">
        <v>1375</v>
      </c>
      <c r="X115" s="43">
        <v>19</v>
      </c>
      <c r="Y115" s="44">
        <v>197440</v>
      </c>
      <c r="Z115" s="52">
        <f>N115*$T115</f>
        <v>0</v>
      </c>
      <c r="AA115" s="52">
        <f>O115*$T115</f>
        <v>0</v>
      </c>
      <c r="AB115" s="52">
        <f>P115*$T115</f>
        <v>2316.1733792669747</v>
      </c>
    </row>
    <row r="116">
      <c r="B116" t="s" s="73">
        <v>113</v>
      </c>
      <c r="C116" t="s" s="73">
        <v>209</v>
      </c>
      <c r="D116" t="s" s="73">
        <v>242</v>
      </c>
      <c r="E116" s="43">
        <v>4513728.3</v>
      </c>
      <c r="F116" s="43">
        <v>2384.8</v>
      </c>
      <c r="G116" s="52">
        <f>E116-F116</f>
        <v>4511343.5</v>
      </c>
      <c r="H116" s="43">
        <v>0</v>
      </c>
      <c r="I116" s="43">
        <v>714670.1</v>
      </c>
      <c r="J116" s="43">
        <v>4513728.3</v>
      </c>
      <c r="K116" s="43">
        <v>0</v>
      </c>
      <c r="L116" s="43">
        <v>0</v>
      </c>
      <c r="M116" s="43">
        <v>2384.8</v>
      </c>
      <c r="N116" s="14">
        <f>IF($G116&gt;0,MIN(1,MAX(0,(H116-K116)/$G116)),0)</f>
        <v>0</v>
      </c>
      <c r="O116" s="14">
        <f>IF($G116&gt;0,MIN(1,MAX(0,(I116-L116)/$G116)),0)</f>
        <v>0.15841624562616435</v>
      </c>
      <c r="P116" s="14">
        <f>IF($G116&gt;0,MIN(1,MAX(0,(J116-M116)/$G116)),0)</f>
        <v>1</v>
      </c>
      <c r="Q116" s="68">
        <v>0</v>
      </c>
      <c r="R116" s="68">
        <v>0</v>
      </c>
      <c r="S116" s="68">
        <v>1</v>
      </c>
      <c r="T116" s="43">
        <v>2947</v>
      </c>
      <c r="U116" s="43">
        <v>1059</v>
      </c>
      <c r="V116" s="44">
        <v>264241000</v>
      </c>
      <c r="W116" s="43">
        <v>1410</v>
      </c>
      <c r="X116" s="43">
        <v>0</v>
      </c>
      <c r="Y116" s="44">
        <v>197440</v>
      </c>
      <c r="Z116" s="52">
        <f>N116*$T116</f>
        <v>0</v>
      </c>
      <c r="AA116" s="52">
        <f>O116*$T116</f>
        <v>466.85267586030636</v>
      </c>
      <c r="AB116" s="52">
        <f>P116*$T116</f>
        <v>2947</v>
      </c>
    </row>
    <row r="117">
      <c r="B117" t="s" s="73">
        <v>114</v>
      </c>
      <c r="C117" t="s" s="73">
        <v>210</v>
      </c>
      <c r="D117" t="s" s="73">
        <v>241</v>
      </c>
      <c r="E117" s="43">
        <v>4675411.4</v>
      </c>
      <c r="F117" s="43">
        <v>16810.4</v>
      </c>
      <c r="G117" s="52">
        <f>E117-F117</f>
        <v>4658601</v>
      </c>
      <c r="H117" s="43">
        <v>87564.5</v>
      </c>
      <c r="I117" s="43">
        <v>4671227.9</v>
      </c>
      <c r="J117" s="43">
        <v>4675411.4</v>
      </c>
      <c r="K117" s="43">
        <v>0</v>
      </c>
      <c r="L117" s="43">
        <v>16810.4</v>
      </c>
      <c r="M117" s="43">
        <v>16810.4</v>
      </c>
      <c r="N117" s="14">
        <f>IF($G117&gt;0,MIN(1,MAX(0,(H117-K117)/$G117)),0)</f>
        <v>0.018796308162042637</v>
      </c>
      <c r="O117" s="14">
        <f>IF($G117&gt;0,MIN(1,MAX(0,(I117-L117)/$G117)),0)</f>
        <v>0.9991019836212631</v>
      </c>
      <c r="P117" s="14">
        <f>IF($G117&gt;0,MIN(1,MAX(0,(J117-M117)/$G117)),0)</f>
        <v>1</v>
      </c>
      <c r="Q117" s="68">
        <v>0</v>
      </c>
      <c r="R117" s="68">
        <v>1</v>
      </c>
      <c r="S117" s="68">
        <v>1</v>
      </c>
      <c r="T117" s="43">
        <v>3567</v>
      </c>
      <c r="U117" s="43">
        <v>1818</v>
      </c>
      <c r="V117" s="44">
        <v>141914800</v>
      </c>
      <c r="W117" s="43">
        <v>2461</v>
      </c>
      <c r="X117" s="43">
        <v>105</v>
      </c>
      <c r="Y117" s="44">
        <v>63750</v>
      </c>
      <c r="Z117" s="52">
        <f>N117*$T117</f>
        <v>67.04643121400609</v>
      </c>
      <c r="AA117" s="52">
        <f>O117*$T117</f>
        <v>3563.7967755770455</v>
      </c>
      <c r="AB117" s="52">
        <f>P117*$T117</f>
        <v>3567</v>
      </c>
    </row>
    <row r="118">
      <c r="B118" t="s" s="73">
        <v>115</v>
      </c>
      <c r="C118" t="s" s="73">
        <v>211</v>
      </c>
      <c r="D118" t="s" s="73">
        <v>242</v>
      </c>
      <c r="E118" s="43">
        <v>579449.4</v>
      </c>
      <c r="F118" s="43">
        <v>0</v>
      </c>
      <c r="G118" s="52">
        <f>E118-F118</f>
        <v>579449.4</v>
      </c>
      <c r="H118" s="43">
        <v>0</v>
      </c>
      <c r="I118" s="43">
        <v>0</v>
      </c>
      <c r="J118" s="43">
        <v>579449.4</v>
      </c>
      <c r="K118" s="43">
        <v>0</v>
      </c>
      <c r="L118" s="43">
        <v>0</v>
      </c>
      <c r="M118" s="43">
        <v>0</v>
      </c>
      <c r="N118" s="14">
        <f>IF($G118&gt;0,MIN(1,MAX(0,(H118-K118)/$G118)),0)</f>
        <v>0</v>
      </c>
      <c r="O118" s="14">
        <f>IF($G118&gt;0,MIN(1,MAX(0,(I118-L118)/$G118)),0)</f>
        <v>0</v>
      </c>
      <c r="P118" s="14">
        <f>IF($G118&gt;0,MIN(1,MAX(0,(J118-M118)/$G118)),0)</f>
        <v>1</v>
      </c>
      <c r="Q118" s="68">
        <v>0</v>
      </c>
      <c r="R118" s="68">
        <v>0</v>
      </c>
      <c r="S118" s="68">
        <v>1</v>
      </c>
      <c r="T118" s="43">
        <v>1412</v>
      </c>
      <c r="U118" s="43">
        <v>589</v>
      </c>
      <c r="V118" s="44">
        <v>73559800</v>
      </c>
      <c r="W118" s="43">
        <v>630</v>
      </c>
      <c r="X118" s="43">
        <v>12</v>
      </c>
      <c r="Y118" s="44">
        <v>117269</v>
      </c>
      <c r="Z118" s="52">
        <f>N118*$T118</f>
        <v>0</v>
      </c>
      <c r="AA118" s="52">
        <f>O118*$T118</f>
        <v>0</v>
      </c>
      <c r="AB118" s="52">
        <f>P118*$T118</f>
        <v>1412</v>
      </c>
    </row>
    <row r="119">
      <c r="B119" t="s" s="73">
        <v>116</v>
      </c>
      <c r="C119" t="s" s="73">
        <v>211</v>
      </c>
      <c r="D119" t="s" s="73">
        <v>242</v>
      </c>
      <c r="E119" s="43">
        <v>829428.3</v>
      </c>
      <c r="F119" s="43">
        <v>0</v>
      </c>
      <c r="G119" s="52">
        <f>E119-F119</f>
        <v>829428.3</v>
      </c>
      <c r="H119" s="43">
        <v>0</v>
      </c>
      <c r="I119" s="43">
        <v>199588.4</v>
      </c>
      <c r="J119" s="43">
        <v>829428.3</v>
      </c>
      <c r="K119" s="43">
        <v>0</v>
      </c>
      <c r="L119" s="43">
        <v>0</v>
      </c>
      <c r="M119" s="43">
        <v>0</v>
      </c>
      <c r="N119" s="14">
        <f>IF($G119&gt;0,MIN(1,MAX(0,(H119-K119)/$G119)),0)</f>
        <v>0</v>
      </c>
      <c r="O119" s="14">
        <f>IF($G119&gt;0,MIN(1,MAX(0,(I119-L119)/$G119)),0)</f>
        <v>0.2406336991395157</v>
      </c>
      <c r="P119" s="14">
        <f>IF($G119&gt;0,MIN(1,MAX(0,(J119-M119)/$G119)),0)</f>
        <v>1</v>
      </c>
      <c r="Q119" s="68">
        <v>0</v>
      </c>
      <c r="R119" s="68">
        <v>0</v>
      </c>
      <c r="S119" s="68">
        <v>1</v>
      </c>
      <c r="T119" s="43">
        <v>1416</v>
      </c>
      <c r="U119" s="43">
        <v>583</v>
      </c>
      <c r="V119" s="44">
        <v>81776800</v>
      </c>
      <c r="W119" s="43">
        <v>804</v>
      </c>
      <c r="X119" s="43">
        <v>0</v>
      </c>
      <c r="Y119" s="44">
        <v>117269</v>
      </c>
      <c r="Z119" s="52">
        <f>N119*$T119</f>
        <v>0</v>
      </c>
      <c r="AA119" s="52">
        <f>O119*$T119</f>
        <v>340.73731798155427</v>
      </c>
      <c r="AB119" s="52">
        <f>P119*$T119</f>
        <v>1416</v>
      </c>
    </row>
    <row r="120">
      <c r="B120" t="s" s="73">
        <v>117</v>
      </c>
      <c r="C120" t="s" s="73">
        <v>212</v>
      </c>
      <c r="D120" t="s" s="73">
        <v>241</v>
      </c>
      <c r="E120" s="43">
        <v>520942</v>
      </c>
      <c r="F120" s="43">
        <v>0</v>
      </c>
      <c r="G120" s="52">
        <f>E120-F120</f>
        <v>520942</v>
      </c>
      <c r="H120" s="43">
        <v>0</v>
      </c>
      <c r="I120" s="43">
        <v>338595.7</v>
      </c>
      <c r="J120" s="43">
        <v>520942</v>
      </c>
      <c r="K120" s="43">
        <v>0</v>
      </c>
      <c r="L120" s="43">
        <v>0</v>
      </c>
      <c r="M120" s="43">
        <v>0</v>
      </c>
      <c r="N120" s="14">
        <f>IF($G120&gt;0,MIN(1,MAX(0,(H120-K120)/$G120)),0)</f>
        <v>0</v>
      </c>
      <c r="O120" s="14">
        <f>IF($G120&gt;0,MIN(1,MAX(0,(I120-L120)/$G120)),0)</f>
        <v>0.649968134648387</v>
      </c>
      <c r="P120" s="14">
        <f>IF($G120&gt;0,MIN(1,MAX(0,(J120-M120)/$G120)),0)</f>
        <v>1</v>
      </c>
      <c r="Q120" s="68">
        <v>0</v>
      </c>
      <c r="R120" s="68">
        <v>1</v>
      </c>
      <c r="S120" s="68">
        <v>1</v>
      </c>
      <c r="T120" s="43">
        <v>1330</v>
      </c>
      <c r="U120" s="43">
        <v>490</v>
      </c>
      <c r="V120" s="44">
        <v>70686900</v>
      </c>
      <c r="W120" s="43">
        <v>756</v>
      </c>
      <c r="X120" s="43">
        <v>20</v>
      </c>
      <c r="Y120" s="44">
        <v>135078</v>
      </c>
      <c r="Z120" s="52">
        <f>N120*$T120</f>
        <v>0</v>
      </c>
      <c r="AA120" s="52">
        <f>O120*$T120</f>
        <v>864.4576190823547</v>
      </c>
      <c r="AB120" s="52">
        <f>P120*$T120</f>
        <v>1330</v>
      </c>
    </row>
    <row r="121">
      <c r="B121" t="s" s="73">
        <v>118</v>
      </c>
      <c r="C121" t="s" s="73">
        <v>212</v>
      </c>
      <c r="D121" t="s" s="73">
        <v>241</v>
      </c>
      <c r="E121" s="43">
        <v>1279095</v>
      </c>
      <c r="F121" s="43">
        <v>0</v>
      </c>
      <c r="G121" s="52">
        <f>E121-F121</f>
        <v>1279095</v>
      </c>
      <c r="H121" s="43">
        <v>0</v>
      </c>
      <c r="I121" s="43">
        <v>1279095</v>
      </c>
      <c r="J121" s="43">
        <v>1279095</v>
      </c>
      <c r="K121" s="43">
        <v>0</v>
      </c>
      <c r="L121" s="43">
        <v>0</v>
      </c>
      <c r="M121" s="43">
        <v>0</v>
      </c>
      <c r="N121" s="14">
        <f>IF($G121&gt;0,MIN(1,MAX(0,(H121-K121)/$G121)),0)</f>
        <v>0</v>
      </c>
      <c r="O121" s="14">
        <f>IF($G121&gt;0,MIN(1,MAX(0,(I121-L121)/$G121)),0)</f>
        <v>1</v>
      </c>
      <c r="P121" s="14">
        <f>IF($G121&gt;0,MIN(1,MAX(0,(J121-M121)/$G121)),0)</f>
        <v>1</v>
      </c>
      <c r="Q121" s="68">
        <v>0</v>
      </c>
      <c r="R121" s="68">
        <v>1</v>
      </c>
      <c r="S121" s="68">
        <v>1</v>
      </c>
      <c r="T121" s="43">
        <v>1994</v>
      </c>
      <c r="U121" s="43">
        <v>694</v>
      </c>
      <c r="V121" s="44">
        <v>106826800</v>
      </c>
      <c r="W121" s="43">
        <v>1170</v>
      </c>
      <c r="X121" s="43">
        <v>73</v>
      </c>
      <c r="Y121" s="44">
        <v>135078</v>
      </c>
      <c r="Z121" s="52">
        <f>N121*$T121</f>
        <v>0</v>
      </c>
      <c r="AA121" s="52">
        <f>O121*$T121</f>
        <v>1994</v>
      </c>
      <c r="AB121" s="52">
        <f>P121*$T121</f>
        <v>1994</v>
      </c>
    </row>
    <row r="122">
      <c r="B122" t="s" s="73">
        <v>119</v>
      </c>
      <c r="C122" t="s" s="73">
        <v>213</v>
      </c>
      <c r="D122" t="s" s="73">
        <v>241</v>
      </c>
      <c r="E122" s="43">
        <v>912947.5</v>
      </c>
      <c r="F122" s="43">
        <v>0</v>
      </c>
      <c r="G122" s="52">
        <f>E122-F122</f>
        <v>912947.5</v>
      </c>
      <c r="H122" s="43">
        <v>0</v>
      </c>
      <c r="I122" s="43">
        <v>912947.5</v>
      </c>
      <c r="J122" s="43">
        <v>912947.5</v>
      </c>
      <c r="K122" s="43">
        <v>0</v>
      </c>
      <c r="L122" s="43">
        <v>0</v>
      </c>
      <c r="M122" s="43">
        <v>0</v>
      </c>
      <c r="N122" s="14">
        <f>IF($G122&gt;0,MIN(1,MAX(0,(H122-K122)/$G122)),0)</f>
        <v>0</v>
      </c>
      <c r="O122" s="14">
        <f>IF($G122&gt;0,MIN(1,MAX(0,(I122-L122)/$G122)),0)</f>
        <v>1</v>
      </c>
      <c r="P122" s="14">
        <f>IF($G122&gt;0,MIN(1,MAX(0,(J122-M122)/$G122)),0)</f>
        <v>1</v>
      </c>
      <c r="Q122" s="68">
        <v>0</v>
      </c>
      <c r="R122" s="68">
        <v>1</v>
      </c>
      <c r="S122" s="68">
        <v>1</v>
      </c>
      <c r="T122" s="43">
        <v>2462</v>
      </c>
      <c r="U122" s="43">
        <v>836</v>
      </c>
      <c r="V122" s="44">
        <v>146284400</v>
      </c>
      <c r="W122" s="43">
        <v>1727</v>
      </c>
      <c r="X122" s="43">
        <v>89</v>
      </c>
      <c r="Y122" s="44">
        <v>167054</v>
      </c>
      <c r="Z122" s="52">
        <f>N122*$T122</f>
        <v>0</v>
      </c>
      <c r="AA122" s="52">
        <f>O122*$T122</f>
        <v>2462</v>
      </c>
      <c r="AB122" s="52">
        <f>P122*$T122</f>
        <v>2462</v>
      </c>
    </row>
    <row r="123">
      <c r="B123" t="s" s="73">
        <v>120</v>
      </c>
      <c r="C123" t="s" s="73">
        <v>213</v>
      </c>
      <c r="D123" t="s" s="73">
        <v>241</v>
      </c>
      <c r="E123" s="43">
        <v>1024571.1</v>
      </c>
      <c r="F123" s="43">
        <v>0</v>
      </c>
      <c r="G123" s="52">
        <f>E123-F123</f>
        <v>1024571.1</v>
      </c>
      <c r="H123" s="43">
        <v>0</v>
      </c>
      <c r="I123" s="43">
        <v>1024571.1</v>
      </c>
      <c r="J123" s="43">
        <v>1024571.1</v>
      </c>
      <c r="K123" s="43">
        <v>0</v>
      </c>
      <c r="L123" s="43">
        <v>0</v>
      </c>
      <c r="M123" s="43">
        <v>0</v>
      </c>
      <c r="N123" s="14">
        <f>IF($G123&gt;0,MIN(1,MAX(0,(H123-K123)/$G123)),0)</f>
        <v>0</v>
      </c>
      <c r="O123" s="14">
        <f>IF($G123&gt;0,MIN(1,MAX(0,(I123-L123)/$G123)),0)</f>
        <v>1</v>
      </c>
      <c r="P123" s="14">
        <f>IF($G123&gt;0,MIN(1,MAX(0,(J123-M123)/$G123)),0)</f>
        <v>1</v>
      </c>
      <c r="Q123" s="68">
        <v>0</v>
      </c>
      <c r="R123" s="68">
        <v>1</v>
      </c>
      <c r="S123" s="68">
        <v>1</v>
      </c>
      <c r="T123" s="43">
        <v>1253</v>
      </c>
      <c r="U123" s="43">
        <v>427</v>
      </c>
      <c r="V123" s="44">
        <v>69748000</v>
      </c>
      <c r="W123" s="43">
        <v>796</v>
      </c>
      <c r="X123" s="43">
        <v>0</v>
      </c>
      <c r="Y123" s="44">
        <v>167054</v>
      </c>
      <c r="Z123" s="52">
        <f>N123*$T123</f>
        <v>0</v>
      </c>
      <c r="AA123" s="52">
        <f>O123*$T123</f>
        <v>1253</v>
      </c>
      <c r="AB123" s="52">
        <f>P123*$T123</f>
        <v>1253</v>
      </c>
    </row>
    <row r="124">
      <c r="B124" t="s" s="73">
        <v>121</v>
      </c>
      <c r="C124" t="s" s="73">
        <v>214</v>
      </c>
      <c r="D124" t="s" s="73">
        <v>241</v>
      </c>
      <c r="E124" s="43">
        <v>363932.6</v>
      </c>
      <c r="F124" s="43">
        <v>0</v>
      </c>
      <c r="G124" s="52">
        <f>E124-F124</f>
        <v>363932.6</v>
      </c>
      <c r="H124" s="43">
        <v>131246.1</v>
      </c>
      <c r="I124" s="43">
        <v>363932.6</v>
      </c>
      <c r="J124" s="43">
        <v>363932.6</v>
      </c>
      <c r="K124" s="43">
        <v>0</v>
      </c>
      <c r="L124" s="43">
        <v>0</v>
      </c>
      <c r="M124" s="43">
        <v>0</v>
      </c>
      <c r="N124" s="14">
        <f>IF($G124&gt;0,MIN(1,MAX(0,(H124-K124)/$G124)),0)</f>
        <v>0.360632985338494</v>
      </c>
      <c r="O124" s="14">
        <f>IF($G124&gt;0,MIN(1,MAX(0,(I124-L124)/$G124)),0)</f>
        <v>1</v>
      </c>
      <c r="P124" s="14">
        <f>IF($G124&gt;0,MIN(1,MAX(0,(J124-M124)/$G124)),0)</f>
        <v>1</v>
      </c>
      <c r="Q124" s="68">
        <v>0</v>
      </c>
      <c r="R124" s="68">
        <v>1</v>
      </c>
      <c r="S124" s="68">
        <v>1</v>
      </c>
      <c r="T124" s="43">
        <v>1403</v>
      </c>
      <c r="U124" s="43">
        <v>452</v>
      </c>
      <c r="V124" s="44">
        <v>48971700</v>
      </c>
      <c r="W124" s="43">
        <v>805</v>
      </c>
      <c r="X124" s="43">
        <v>38</v>
      </c>
      <c r="Y124" s="44">
        <v>93810</v>
      </c>
      <c r="Z124" s="52">
        <f>N124*$T124</f>
        <v>505.9680784299071</v>
      </c>
      <c r="AA124" s="52">
        <f>O124*$T124</f>
        <v>1403</v>
      </c>
      <c r="AB124" s="52">
        <f>P124*$T124</f>
        <v>1403</v>
      </c>
    </row>
    <row r="125">
      <c r="B125" t="s" s="73">
        <v>122</v>
      </c>
      <c r="C125" t="s" s="73">
        <v>214</v>
      </c>
      <c r="D125" t="s" s="73">
        <v>241</v>
      </c>
      <c r="E125" s="43">
        <v>391094.6</v>
      </c>
      <c r="F125" s="43">
        <v>0</v>
      </c>
      <c r="G125" s="52">
        <f>E125-F125</f>
        <v>391094.6</v>
      </c>
      <c r="H125" s="43">
        <v>165837.1</v>
      </c>
      <c r="I125" s="43">
        <v>391094.6</v>
      </c>
      <c r="J125" s="43">
        <v>391094.6</v>
      </c>
      <c r="K125" s="43">
        <v>0</v>
      </c>
      <c r="L125" s="43">
        <v>0</v>
      </c>
      <c r="M125" s="43">
        <v>0</v>
      </c>
      <c r="N125" s="14">
        <f>IF($G125&gt;0,MIN(1,MAX(0,(H125-K125)/$G125)),0)</f>
        <v>0.4240332134475905</v>
      </c>
      <c r="O125" s="14">
        <f>IF($G125&gt;0,MIN(1,MAX(0,(I125-L125)/$G125)),0)</f>
        <v>1</v>
      </c>
      <c r="P125" s="14">
        <f>IF($G125&gt;0,MIN(1,MAX(0,(J125-M125)/$G125)),0)</f>
        <v>1</v>
      </c>
      <c r="Q125" s="68">
        <v>0</v>
      </c>
      <c r="R125" s="68">
        <v>1</v>
      </c>
      <c r="S125" s="68">
        <v>1</v>
      </c>
      <c r="T125" s="43">
        <v>1094</v>
      </c>
      <c r="U125" s="43">
        <v>475</v>
      </c>
      <c r="V125" s="44">
        <v>55331900</v>
      </c>
      <c r="W125" s="43">
        <v>749</v>
      </c>
      <c r="X125" s="43">
        <v>44</v>
      </c>
      <c r="Y125" s="44">
        <v>93810</v>
      </c>
      <c r="Z125" s="52">
        <f>N125*$T125</f>
        <v>463.892335511664</v>
      </c>
      <c r="AA125" s="52">
        <f>O125*$T125</f>
        <v>1094</v>
      </c>
      <c r="AB125" s="52">
        <f>P125*$T125</f>
        <v>1094</v>
      </c>
    </row>
    <row r="126">
      <c r="B126" t="s" s="73">
        <v>123</v>
      </c>
      <c r="C126" t="s" s="73">
        <v>215</v>
      </c>
      <c r="D126" t="s" s="73">
        <v>241</v>
      </c>
      <c r="E126" s="43">
        <v>350487.6</v>
      </c>
      <c r="F126" s="43">
        <v>0</v>
      </c>
      <c r="G126" s="52">
        <f>E126-F126</f>
        <v>350487.6</v>
      </c>
      <c r="H126" s="43">
        <v>341738.8</v>
      </c>
      <c r="I126" s="43">
        <v>350487.6</v>
      </c>
      <c r="J126" s="43">
        <v>350487.6</v>
      </c>
      <c r="K126" s="43">
        <v>0</v>
      </c>
      <c r="L126" s="43">
        <v>0</v>
      </c>
      <c r="M126" s="43">
        <v>0</v>
      </c>
      <c r="N126" s="14">
        <f>IF($G126&gt;0,MIN(1,MAX(0,(H126-K126)/$G126)),0)</f>
        <v>0.9750382039193398</v>
      </c>
      <c r="O126" s="14">
        <f>IF($G126&gt;0,MIN(1,MAX(0,(I126-L126)/$G126)),0)</f>
        <v>1</v>
      </c>
      <c r="P126" s="14">
        <f>IF($G126&gt;0,MIN(1,MAX(0,(J126-M126)/$G126)),0)</f>
        <v>1</v>
      </c>
      <c r="Q126" s="68">
        <v>1</v>
      </c>
      <c r="R126" s="68">
        <v>1</v>
      </c>
      <c r="S126" s="68">
        <v>1</v>
      </c>
      <c r="T126" s="43">
        <v>1494</v>
      </c>
      <c r="U126" s="43">
        <v>676</v>
      </c>
      <c r="V126" s="44">
        <v>67092100</v>
      </c>
      <c r="W126" s="43">
        <v>972</v>
      </c>
      <c r="X126" s="43">
        <v>9</v>
      </c>
      <c r="Y126" s="44">
        <v>74144</v>
      </c>
      <c r="Z126" s="52">
        <f>N126*$T126</f>
        <v>1456.7070766554937</v>
      </c>
      <c r="AA126" s="52">
        <f>O126*$T126</f>
        <v>1494</v>
      </c>
      <c r="AB126" s="52">
        <f>P126*$T126</f>
        <v>1494</v>
      </c>
    </row>
    <row r="127">
      <c r="B127" t="s" s="73">
        <v>124</v>
      </c>
      <c r="C127" t="s" s="73">
        <v>215</v>
      </c>
      <c r="D127" t="s" s="73">
        <v>241</v>
      </c>
      <c r="E127" s="43">
        <v>433393</v>
      </c>
      <c r="F127" s="43">
        <v>0</v>
      </c>
      <c r="G127" s="52">
        <f>E127-F127</f>
        <v>433393</v>
      </c>
      <c r="H127" s="43">
        <v>41876.2</v>
      </c>
      <c r="I127" s="43">
        <v>433393</v>
      </c>
      <c r="J127" s="43">
        <v>433393</v>
      </c>
      <c r="K127" s="43">
        <v>0</v>
      </c>
      <c r="L127" s="43">
        <v>0</v>
      </c>
      <c r="M127" s="43">
        <v>0</v>
      </c>
      <c r="N127" s="14">
        <f>IF($G127&gt;0,MIN(1,MAX(0,(H127-K127)/$G127)),0)</f>
        <v>0.09662408022280009</v>
      </c>
      <c r="O127" s="14">
        <f>IF($G127&gt;0,MIN(1,MAX(0,(I127-L127)/$G127)),0)</f>
        <v>1</v>
      </c>
      <c r="P127" s="14">
        <f>IF($G127&gt;0,MIN(1,MAX(0,(J127-M127)/$G127)),0)</f>
        <v>1</v>
      </c>
      <c r="Q127" s="68">
        <v>0</v>
      </c>
      <c r="R127" s="68">
        <v>1</v>
      </c>
      <c r="S127" s="68">
        <v>1</v>
      </c>
      <c r="T127" s="43">
        <v>1319</v>
      </c>
      <c r="U127" s="43">
        <v>508</v>
      </c>
      <c r="V127" s="44">
        <v>46693500</v>
      </c>
      <c r="W127" s="43">
        <v>697</v>
      </c>
      <c r="X127" s="43">
        <v>0</v>
      </c>
      <c r="Y127" s="44">
        <v>74144</v>
      </c>
      <c r="Z127" s="52">
        <f>N127*$T127</f>
        <v>127.44716181387331</v>
      </c>
      <c r="AA127" s="52">
        <f>O127*$T127</f>
        <v>1319</v>
      </c>
      <c r="AB127" s="52">
        <f>P127*$T127</f>
        <v>1319</v>
      </c>
    </row>
    <row r="128">
      <c r="B128" t="s" s="73">
        <v>125</v>
      </c>
      <c r="C128" t="s" s="73">
        <v>216</v>
      </c>
      <c r="D128" t="s" s="73">
        <v>241</v>
      </c>
      <c r="E128" s="43">
        <v>200984.4</v>
      </c>
      <c r="F128" s="43">
        <v>0</v>
      </c>
      <c r="G128" s="52">
        <f>E128-F128</f>
        <v>200984.4</v>
      </c>
      <c r="H128" s="43">
        <v>200984.4</v>
      </c>
      <c r="I128" s="43">
        <v>200984.4</v>
      </c>
      <c r="J128" s="43">
        <v>200984.4</v>
      </c>
      <c r="K128" s="43">
        <v>0</v>
      </c>
      <c r="L128" s="43">
        <v>0</v>
      </c>
      <c r="M128" s="43">
        <v>0</v>
      </c>
      <c r="N128" s="14">
        <f>IF($G128&gt;0,MIN(1,MAX(0,(H128-K128)/$G128)),0)</f>
        <v>1</v>
      </c>
      <c r="O128" s="14">
        <f>IF($G128&gt;0,MIN(1,MAX(0,(I128-L128)/$G128)),0)</f>
        <v>1</v>
      </c>
      <c r="P128" s="14">
        <f>IF($G128&gt;0,MIN(1,MAX(0,(J128-M128)/$G128)),0)</f>
        <v>1</v>
      </c>
      <c r="Q128" s="68">
        <v>1</v>
      </c>
      <c r="R128" s="68">
        <v>1</v>
      </c>
      <c r="S128" s="68">
        <v>1</v>
      </c>
      <c r="T128" s="43">
        <v>1938</v>
      </c>
      <c r="U128" s="43">
        <v>895</v>
      </c>
      <c r="V128" s="44">
        <v>77149500</v>
      </c>
      <c r="W128" s="43">
        <v>1356</v>
      </c>
      <c r="X128" s="43">
        <v>94</v>
      </c>
      <c r="Y128" s="44">
        <v>52224</v>
      </c>
      <c r="Z128" s="52">
        <f>N128*$T128</f>
        <v>1938</v>
      </c>
      <c r="AA128" s="52">
        <f>O128*$T128</f>
        <v>1938</v>
      </c>
      <c r="AB128" s="52">
        <f>P128*$T128</f>
        <v>1938</v>
      </c>
    </row>
    <row r="129">
      <c r="B129" t="s" s="73">
        <v>126</v>
      </c>
      <c r="C129" t="s" s="73">
        <v>216</v>
      </c>
      <c r="D129" t="s" s="73">
        <v>241</v>
      </c>
      <c r="E129" s="43">
        <v>340630.2</v>
      </c>
      <c r="F129" s="43">
        <v>0</v>
      </c>
      <c r="G129" s="52">
        <f>E129-F129</f>
        <v>340630.2</v>
      </c>
      <c r="H129" s="43">
        <v>340630.2</v>
      </c>
      <c r="I129" s="43">
        <v>340630.2</v>
      </c>
      <c r="J129" s="43">
        <v>340630.2</v>
      </c>
      <c r="K129" s="43">
        <v>0</v>
      </c>
      <c r="L129" s="43">
        <v>0</v>
      </c>
      <c r="M129" s="43">
        <v>0</v>
      </c>
      <c r="N129" s="14">
        <f>IF($G129&gt;0,MIN(1,MAX(0,(H129-K129)/$G129)),0)</f>
        <v>1</v>
      </c>
      <c r="O129" s="14">
        <f>IF($G129&gt;0,MIN(1,MAX(0,(I129-L129)/$G129)),0)</f>
        <v>1</v>
      </c>
      <c r="P129" s="14">
        <f>IF($G129&gt;0,MIN(1,MAX(0,(J129-M129)/$G129)),0)</f>
        <v>1</v>
      </c>
      <c r="Q129" s="68">
        <v>1</v>
      </c>
      <c r="R129" s="68">
        <v>1</v>
      </c>
      <c r="S129" s="68">
        <v>1</v>
      </c>
      <c r="T129" s="43">
        <v>1840</v>
      </c>
      <c r="U129" s="43">
        <v>1068</v>
      </c>
      <c r="V129" s="44">
        <v>66920500</v>
      </c>
      <c r="W129" s="43">
        <v>1471</v>
      </c>
      <c r="X129" s="43">
        <v>146</v>
      </c>
      <c r="Y129" s="44">
        <v>52224</v>
      </c>
      <c r="Z129" s="52">
        <f>N129*$T129</f>
        <v>1840</v>
      </c>
      <c r="AA129" s="52">
        <f>O129*$T129</f>
        <v>1840</v>
      </c>
      <c r="AB129" s="52">
        <f>P129*$T129</f>
        <v>1840</v>
      </c>
    </row>
    <row r="130">
      <c r="B130" t="s" s="73">
        <v>127</v>
      </c>
      <c r="C130" t="s" s="73">
        <v>217</v>
      </c>
      <c r="D130" t="s" s="73">
        <v>241</v>
      </c>
      <c r="E130" s="43">
        <v>357670.4</v>
      </c>
      <c r="F130" s="43">
        <v>0</v>
      </c>
      <c r="G130" s="52">
        <f>E130-F130</f>
        <v>357670.4</v>
      </c>
      <c r="H130" s="43">
        <v>357670.4</v>
      </c>
      <c r="I130" s="43">
        <v>357670.4</v>
      </c>
      <c r="J130" s="43">
        <v>357670.4</v>
      </c>
      <c r="K130" s="43">
        <v>0</v>
      </c>
      <c r="L130" s="43">
        <v>0</v>
      </c>
      <c r="M130" s="43">
        <v>0</v>
      </c>
      <c r="N130" s="14">
        <f>IF($G130&gt;0,MIN(1,MAX(0,(H130-K130)/$G130)),0)</f>
        <v>1</v>
      </c>
      <c r="O130" s="14">
        <f>IF($G130&gt;0,MIN(1,MAX(0,(I130-L130)/$G130)),0)</f>
        <v>1</v>
      </c>
      <c r="P130" s="14">
        <f>IF($G130&gt;0,MIN(1,MAX(0,(J130-M130)/$G130)),0)</f>
        <v>1</v>
      </c>
      <c r="Q130" s="68">
        <v>1</v>
      </c>
      <c r="R130" s="68">
        <v>1</v>
      </c>
      <c r="S130" s="68">
        <v>1</v>
      </c>
      <c r="T130" s="43">
        <v>1582</v>
      </c>
      <c r="U130" s="43">
        <v>792</v>
      </c>
      <c r="V130" s="44">
        <v>59787700</v>
      </c>
      <c r="W130" s="43">
        <v>1171</v>
      </c>
      <c r="X130" s="43">
        <v>44</v>
      </c>
      <c r="Y130" s="44">
        <v>63944</v>
      </c>
      <c r="Z130" s="52">
        <f>N130*$T130</f>
        <v>1582</v>
      </c>
      <c r="AA130" s="52">
        <f>O130*$T130</f>
        <v>1582</v>
      </c>
      <c r="AB130" s="52">
        <f>P130*$T130</f>
        <v>1582</v>
      </c>
    </row>
    <row r="131">
      <c r="B131" t="s" s="73">
        <v>128</v>
      </c>
      <c r="C131" t="s" s="73">
        <v>217</v>
      </c>
      <c r="D131" t="s" s="73">
        <v>241</v>
      </c>
      <c r="E131" s="43">
        <v>634392.9</v>
      </c>
      <c r="F131" s="43">
        <v>0</v>
      </c>
      <c r="G131" s="52">
        <f>E131-F131</f>
        <v>634392.9</v>
      </c>
      <c r="H131" s="43">
        <v>634392.9</v>
      </c>
      <c r="I131" s="43">
        <v>634392.9</v>
      </c>
      <c r="J131" s="43">
        <v>634392.9</v>
      </c>
      <c r="K131" s="43">
        <v>0</v>
      </c>
      <c r="L131" s="43">
        <v>0</v>
      </c>
      <c r="M131" s="43">
        <v>0</v>
      </c>
      <c r="N131" s="14">
        <f>IF($G131&gt;0,MIN(1,MAX(0,(H131-K131)/$G131)),0)</f>
        <v>1</v>
      </c>
      <c r="O131" s="14">
        <f>IF($G131&gt;0,MIN(1,MAX(0,(I131-L131)/$G131)),0)</f>
        <v>1</v>
      </c>
      <c r="P131" s="14">
        <f>IF($G131&gt;0,MIN(1,MAX(0,(J131-M131)/$G131)),0)</f>
        <v>1</v>
      </c>
      <c r="Q131" s="68">
        <v>1</v>
      </c>
      <c r="R131" s="68">
        <v>1</v>
      </c>
      <c r="S131" s="68">
        <v>1</v>
      </c>
      <c r="T131" s="43">
        <v>517</v>
      </c>
      <c r="U131" s="43">
        <v>356</v>
      </c>
      <c r="V131" s="44">
        <v>34121800</v>
      </c>
      <c r="W131" s="43">
        <v>446</v>
      </c>
      <c r="X131" s="43">
        <v>0</v>
      </c>
      <c r="Y131" s="44">
        <v>63944</v>
      </c>
      <c r="Z131" s="52">
        <f>N131*$T131</f>
        <v>517</v>
      </c>
      <c r="AA131" s="52">
        <f>O131*$T131</f>
        <v>517</v>
      </c>
      <c r="AB131" s="52">
        <f>P131*$T131</f>
        <v>517</v>
      </c>
    </row>
    <row r="132">
      <c r="B132" t="s" s="73">
        <v>129</v>
      </c>
      <c r="C132" t="s" s="73">
        <v>217</v>
      </c>
      <c r="D132" t="s" s="73">
        <v>241</v>
      </c>
      <c r="E132" s="43">
        <v>239687</v>
      </c>
      <c r="F132" s="43">
        <v>0</v>
      </c>
      <c r="G132" s="52">
        <f>E132-F132</f>
        <v>239687</v>
      </c>
      <c r="H132" s="43">
        <v>239687</v>
      </c>
      <c r="I132" s="43">
        <v>239687</v>
      </c>
      <c r="J132" s="43">
        <v>239687</v>
      </c>
      <c r="K132" s="43">
        <v>0</v>
      </c>
      <c r="L132" s="43">
        <v>0</v>
      </c>
      <c r="M132" s="43">
        <v>0</v>
      </c>
      <c r="N132" s="14">
        <f>IF($G132&gt;0,MIN(1,MAX(0,(H132-K132)/$G132)),0)</f>
        <v>1</v>
      </c>
      <c r="O132" s="14">
        <f>IF($G132&gt;0,MIN(1,MAX(0,(I132-L132)/$G132)),0)</f>
        <v>1</v>
      </c>
      <c r="P132" s="14">
        <f>IF($G132&gt;0,MIN(1,MAX(0,(J132-M132)/$G132)),0)</f>
        <v>1</v>
      </c>
      <c r="Q132" s="68">
        <v>1</v>
      </c>
      <c r="R132" s="68">
        <v>1</v>
      </c>
      <c r="S132" s="68">
        <v>1</v>
      </c>
      <c r="T132" s="43">
        <v>1366</v>
      </c>
      <c r="U132" s="43">
        <v>726</v>
      </c>
      <c r="V132" s="44">
        <v>60766500</v>
      </c>
      <c r="W132" s="43">
        <v>1120</v>
      </c>
      <c r="X132" s="43">
        <v>87</v>
      </c>
      <c r="Y132" s="44">
        <v>63944</v>
      </c>
      <c r="Z132" s="52">
        <f>N132*$T132</f>
        <v>1366</v>
      </c>
      <c r="AA132" s="52">
        <f>O132*$T132</f>
        <v>1366</v>
      </c>
      <c r="AB132" s="52">
        <f>P132*$T132</f>
        <v>1366</v>
      </c>
    </row>
    <row r="133">
      <c r="B133" t="s" s="73">
        <v>130</v>
      </c>
      <c r="C133" t="s" s="73">
        <v>218</v>
      </c>
      <c r="D133" t="s" s="73">
        <v>241</v>
      </c>
      <c r="E133" s="43">
        <v>191314</v>
      </c>
      <c r="F133" s="43">
        <v>0</v>
      </c>
      <c r="G133" s="52">
        <f>E133-F133</f>
        <v>191314</v>
      </c>
      <c r="H133" s="43">
        <v>191314</v>
      </c>
      <c r="I133" s="43">
        <v>191314</v>
      </c>
      <c r="J133" s="43">
        <v>191314</v>
      </c>
      <c r="K133" s="43">
        <v>0</v>
      </c>
      <c r="L133" s="43">
        <v>0</v>
      </c>
      <c r="M133" s="43">
        <v>0</v>
      </c>
      <c r="N133" s="14">
        <f>IF($G133&gt;0,MIN(1,MAX(0,(H133-K133)/$G133)),0)</f>
        <v>1</v>
      </c>
      <c r="O133" s="14">
        <f>IF($G133&gt;0,MIN(1,MAX(0,(I133-L133)/$G133)),0)</f>
        <v>1</v>
      </c>
      <c r="P133" s="14">
        <f>IF($G133&gt;0,MIN(1,MAX(0,(J133-M133)/$G133)),0)</f>
        <v>1</v>
      </c>
      <c r="Q133" s="68">
        <v>1</v>
      </c>
      <c r="R133" s="68">
        <v>1</v>
      </c>
      <c r="S133" s="68">
        <v>1</v>
      </c>
      <c r="T133" s="43">
        <v>1407</v>
      </c>
      <c r="U133" s="43">
        <v>638</v>
      </c>
      <c r="V133" s="44">
        <v>59170100</v>
      </c>
      <c r="W133" s="43">
        <v>911</v>
      </c>
      <c r="X133" s="43">
        <v>0</v>
      </c>
      <c r="Y133" s="44">
        <v>84659</v>
      </c>
      <c r="Z133" s="52">
        <f>N133*$T133</f>
        <v>1407</v>
      </c>
      <c r="AA133" s="52">
        <f>O133*$T133</f>
        <v>1407</v>
      </c>
      <c r="AB133" s="52">
        <f>P133*$T133</f>
        <v>1407</v>
      </c>
    </row>
    <row r="134">
      <c r="B134" t="s" s="73">
        <v>131</v>
      </c>
      <c r="C134" t="s" s="73">
        <v>218</v>
      </c>
      <c r="D134" t="s" s="73">
        <v>241</v>
      </c>
      <c r="E134" s="43">
        <v>615398</v>
      </c>
      <c r="F134" s="43">
        <v>0</v>
      </c>
      <c r="G134" s="52">
        <f>E134-F134</f>
        <v>615398</v>
      </c>
      <c r="H134" s="43">
        <v>573960.2</v>
      </c>
      <c r="I134" s="43">
        <v>615398</v>
      </c>
      <c r="J134" s="43">
        <v>615398</v>
      </c>
      <c r="K134" s="43">
        <v>0</v>
      </c>
      <c r="L134" s="43">
        <v>0</v>
      </c>
      <c r="M134" s="43">
        <v>0</v>
      </c>
      <c r="N134" s="14">
        <f>IF($G134&gt;0,MIN(1,MAX(0,(H134-K134)/$G134)),0)</f>
        <v>0.93266503953539</v>
      </c>
      <c r="O134" s="14">
        <f>IF($G134&gt;0,MIN(1,MAX(0,(I134-L134)/$G134)),0)</f>
        <v>1</v>
      </c>
      <c r="P134" s="14">
        <f>IF($G134&gt;0,MIN(1,MAX(0,(J134-M134)/$G134)),0)</f>
        <v>1</v>
      </c>
      <c r="Q134" s="68">
        <v>1</v>
      </c>
      <c r="R134" s="68">
        <v>1</v>
      </c>
      <c r="S134" s="68">
        <v>1</v>
      </c>
      <c r="T134" s="43">
        <v>1233</v>
      </c>
      <c r="U134" s="43">
        <v>564</v>
      </c>
      <c r="V134" s="44">
        <v>52877900</v>
      </c>
      <c r="W134" s="43">
        <v>756</v>
      </c>
      <c r="X134" s="43">
        <v>0</v>
      </c>
      <c r="Y134" s="44">
        <v>84659</v>
      </c>
      <c r="Z134" s="52">
        <f>N134*$T134</f>
        <v>1149.9759937471358</v>
      </c>
      <c r="AA134" s="52">
        <f>O134*$T134</f>
        <v>1233</v>
      </c>
      <c r="AB134" s="52">
        <f>P134*$T134</f>
        <v>1233</v>
      </c>
    </row>
    <row r="135">
      <c r="B135" t="s" s="73">
        <v>132</v>
      </c>
      <c r="C135" t="s" s="73">
        <v>219</v>
      </c>
      <c r="D135" t="s" s="73">
        <v>241</v>
      </c>
      <c r="E135" s="43">
        <v>1431238.8</v>
      </c>
      <c r="F135" s="43">
        <v>0</v>
      </c>
      <c r="G135" s="52">
        <f>E135-F135</f>
        <v>1431238.8</v>
      </c>
      <c r="H135" s="43">
        <v>42890.1</v>
      </c>
      <c r="I135" s="43">
        <v>1431238.8</v>
      </c>
      <c r="J135" s="43">
        <v>1431238.8</v>
      </c>
      <c r="K135" s="43">
        <v>0</v>
      </c>
      <c r="L135" s="43">
        <v>0</v>
      </c>
      <c r="M135" s="43">
        <v>0</v>
      </c>
      <c r="N135" s="14">
        <f>IF($G135&gt;0,MIN(1,MAX(0,(H135-K135)/$G135)),0)</f>
        <v>0.02996711659857181</v>
      </c>
      <c r="O135" s="14">
        <f>IF($G135&gt;0,MIN(1,MAX(0,(I135-L135)/$G135)),0)</f>
        <v>1</v>
      </c>
      <c r="P135" s="14">
        <f>IF($G135&gt;0,MIN(1,MAX(0,(J135-M135)/$G135)),0)</f>
        <v>1</v>
      </c>
      <c r="Q135" s="68">
        <v>0</v>
      </c>
      <c r="R135" s="68">
        <v>1</v>
      </c>
      <c r="S135" s="68">
        <v>1</v>
      </c>
      <c r="T135" s="43">
        <v>2832</v>
      </c>
      <c r="U135" s="43">
        <v>1334</v>
      </c>
      <c r="V135" s="44">
        <v>159982000</v>
      </c>
      <c r="W135" s="43">
        <v>1920</v>
      </c>
      <c r="X135" s="43">
        <v>13</v>
      </c>
      <c r="Y135" s="44">
        <v>109552</v>
      </c>
      <c r="Z135" s="52">
        <f>N135*$T135</f>
        <v>84.86687420715536</v>
      </c>
      <c r="AA135" s="52">
        <f>O135*$T135</f>
        <v>2832</v>
      </c>
      <c r="AB135" s="52">
        <f>P135*$T135</f>
        <v>2832</v>
      </c>
    </row>
    <row r="136">
      <c r="B136" t="s" s="73">
        <v>133</v>
      </c>
      <c r="C136" t="s" s="73">
        <v>219</v>
      </c>
      <c r="D136" t="s" s="73">
        <v>241</v>
      </c>
      <c r="E136" s="43">
        <v>296457</v>
      </c>
      <c r="F136" s="43">
        <v>0</v>
      </c>
      <c r="G136" s="52">
        <f>E136-F136</f>
        <v>296457</v>
      </c>
      <c r="H136" s="43">
        <v>230301.8</v>
      </c>
      <c r="I136" s="43">
        <v>296457</v>
      </c>
      <c r="J136" s="43">
        <v>296457</v>
      </c>
      <c r="K136" s="43">
        <v>0</v>
      </c>
      <c r="L136" s="43">
        <v>0</v>
      </c>
      <c r="M136" s="43">
        <v>0</v>
      </c>
      <c r="N136" s="14">
        <f>IF($G136&gt;0,MIN(1,MAX(0,(H136-K136)/$G136)),0)</f>
        <v>0.7768472324822824</v>
      </c>
      <c r="O136" s="14">
        <f>IF($G136&gt;0,MIN(1,MAX(0,(I136-L136)/$G136)),0)</f>
        <v>1</v>
      </c>
      <c r="P136" s="14">
        <f>IF($G136&gt;0,MIN(1,MAX(0,(J136-M136)/$G136)),0)</f>
        <v>1</v>
      </c>
      <c r="Q136" s="68">
        <v>1</v>
      </c>
      <c r="R136" s="68">
        <v>1</v>
      </c>
      <c r="S136" s="68">
        <v>1</v>
      </c>
      <c r="T136" s="43">
        <v>1570</v>
      </c>
      <c r="U136" s="43">
        <v>574</v>
      </c>
      <c r="V136" s="44">
        <v>85919500</v>
      </c>
      <c r="W136" s="43">
        <v>847</v>
      </c>
      <c r="X136" s="43">
        <v>0</v>
      </c>
      <c r="Y136" s="44">
        <v>109552</v>
      </c>
      <c r="Z136" s="52">
        <f>N136*$T136</f>
        <v>1219.6501549971833</v>
      </c>
      <c r="AA136" s="52">
        <f>O136*$T136</f>
        <v>1570</v>
      </c>
      <c r="AB136" s="52">
        <f>P136*$T136</f>
        <v>1570</v>
      </c>
    </row>
    <row r="137">
      <c r="B137" t="s" s="73">
        <v>134</v>
      </c>
      <c r="C137" t="s" s="73">
        <v>219</v>
      </c>
      <c r="D137" t="s" s="73">
        <v>241</v>
      </c>
      <c r="E137" s="43">
        <v>689408.5</v>
      </c>
      <c r="F137" s="43">
        <v>0</v>
      </c>
      <c r="G137" s="52">
        <f>E137-F137</f>
        <v>689408.5</v>
      </c>
      <c r="H137" s="43">
        <v>25409.8</v>
      </c>
      <c r="I137" s="43">
        <v>689408.5</v>
      </c>
      <c r="J137" s="43">
        <v>689408.5</v>
      </c>
      <c r="K137" s="43">
        <v>0</v>
      </c>
      <c r="L137" s="43">
        <v>0</v>
      </c>
      <c r="M137" s="43">
        <v>0</v>
      </c>
      <c r="N137" s="14">
        <f>IF($G137&gt;0,MIN(1,MAX(0,(H137-K137)/$G137)),0)</f>
        <v>0.03685739296802984</v>
      </c>
      <c r="O137" s="14">
        <f>IF($G137&gt;0,MIN(1,MAX(0,(I137-L137)/$G137)),0)</f>
        <v>1</v>
      </c>
      <c r="P137" s="14">
        <f>IF($G137&gt;0,MIN(1,MAX(0,(J137-M137)/$G137)),0)</f>
        <v>1</v>
      </c>
      <c r="Q137" s="68">
        <v>0</v>
      </c>
      <c r="R137" s="68">
        <v>1</v>
      </c>
      <c r="S137" s="68">
        <v>1</v>
      </c>
      <c r="T137" s="43">
        <v>1090</v>
      </c>
      <c r="U137" s="43">
        <v>358</v>
      </c>
      <c r="V137" s="44">
        <v>46271500</v>
      </c>
      <c r="W137" s="43">
        <v>639</v>
      </c>
      <c r="X137" s="43">
        <v>79</v>
      </c>
      <c r="Y137" s="44">
        <v>109552</v>
      </c>
      <c r="Z137" s="52">
        <f>N137*$T137</f>
        <v>40.174558335152526</v>
      </c>
      <c r="AA137" s="52">
        <f>O137*$T137</f>
        <v>1090</v>
      </c>
      <c r="AB137" s="52">
        <f>P137*$T137</f>
        <v>1090</v>
      </c>
    </row>
    <row r="138">
      <c r="B138" t="s" s="73">
        <v>135</v>
      </c>
      <c r="C138" t="s" s="73">
        <v>220</v>
      </c>
      <c r="D138" t="s" s="73">
        <v>241</v>
      </c>
      <c r="E138" s="43">
        <v>2962087.8</v>
      </c>
      <c r="F138" s="43">
        <v>131993.5</v>
      </c>
      <c r="G138" s="52">
        <f>E138-F138</f>
        <v>2830094.3</v>
      </c>
      <c r="H138" s="43">
        <v>138428.3</v>
      </c>
      <c r="I138" s="43">
        <v>2962087.8</v>
      </c>
      <c r="J138" s="43">
        <v>2962087.8</v>
      </c>
      <c r="K138" s="43">
        <v>10257.9</v>
      </c>
      <c r="L138" s="43">
        <v>131993.5</v>
      </c>
      <c r="M138" s="43">
        <v>131993.5</v>
      </c>
      <c r="N138" s="14">
        <f>IF($G138&gt;0,MIN(1,MAX(0,(H138-K138)/$G138)),0)</f>
        <v>0.045288384913534506</v>
      </c>
      <c r="O138" s="14">
        <f>IF($G138&gt;0,MIN(1,MAX(0,(I138-L138)/$G138)),0)</f>
        <v>1</v>
      </c>
      <c r="P138" s="14">
        <f>IF($G138&gt;0,MIN(1,MAX(0,(J138-M138)/$G138)),0)</f>
        <v>1</v>
      </c>
      <c r="Q138" s="68">
        <v>0</v>
      </c>
      <c r="R138" s="68">
        <v>1</v>
      </c>
      <c r="S138" s="68">
        <v>1</v>
      </c>
      <c r="T138" s="43">
        <v>1479</v>
      </c>
      <c r="U138" s="43">
        <v>729</v>
      </c>
      <c r="V138" s="44">
        <v>84826400</v>
      </c>
      <c r="W138" s="43">
        <v>974</v>
      </c>
      <c r="X138" s="43">
        <v>45</v>
      </c>
      <c r="Y138" s="44">
        <v>89618</v>
      </c>
      <c r="Z138" s="52">
        <f>N138*$T138</f>
        <v>66.98152128711753</v>
      </c>
      <c r="AA138" s="52">
        <f>O138*$T138</f>
        <v>1479</v>
      </c>
      <c r="AB138" s="52">
        <f>P138*$T138</f>
        <v>1479</v>
      </c>
    </row>
    <row r="139">
      <c r="B139" t="s" s="73">
        <v>136</v>
      </c>
      <c r="C139" t="s" s="73">
        <v>220</v>
      </c>
      <c r="D139" t="s" s="73">
        <v>241</v>
      </c>
      <c r="E139" s="43">
        <v>1424342.9</v>
      </c>
      <c r="F139" s="43">
        <v>9281.2</v>
      </c>
      <c r="G139" s="52">
        <f>E139-F139</f>
        <v>1415061.7</v>
      </c>
      <c r="H139" s="43">
        <v>1177215.8</v>
      </c>
      <c r="I139" s="43">
        <v>1424342.9</v>
      </c>
      <c r="J139" s="43">
        <v>1424342.9</v>
      </c>
      <c r="K139" s="43">
        <v>9281.2</v>
      </c>
      <c r="L139" s="43">
        <v>9281.2</v>
      </c>
      <c r="M139" s="43">
        <v>9281.2</v>
      </c>
      <c r="N139" s="14">
        <f>IF($G139&gt;0,MIN(1,MAX(0,(H139-K139)/$G139)),0)</f>
        <v>0.8253594878583741</v>
      </c>
      <c r="O139" s="14">
        <f>IF($G139&gt;0,MIN(1,MAX(0,(I139-L139)/$G139)),0)</f>
        <v>1</v>
      </c>
      <c r="P139" s="14">
        <f>IF($G139&gt;0,MIN(1,MAX(0,(J139-M139)/$G139)),0)</f>
        <v>1</v>
      </c>
      <c r="Q139" s="68">
        <v>1</v>
      </c>
      <c r="R139" s="68">
        <v>1</v>
      </c>
      <c r="S139" s="68">
        <v>1</v>
      </c>
      <c r="T139" s="43">
        <v>1738</v>
      </c>
      <c r="U139" s="43">
        <v>876</v>
      </c>
      <c r="V139" s="44">
        <v>75913000</v>
      </c>
      <c r="W139" s="43">
        <v>1024</v>
      </c>
      <c r="X139" s="43">
        <v>52</v>
      </c>
      <c r="Y139" s="44">
        <v>89618</v>
      </c>
      <c r="Z139" s="52">
        <f>N139*$T139</f>
        <v>1434.4747898978542</v>
      </c>
      <c r="AA139" s="52">
        <f>O139*$T139</f>
        <v>1738</v>
      </c>
      <c r="AB139" s="52">
        <f>P139*$T139</f>
        <v>1738</v>
      </c>
    </row>
    <row r="140">
      <c r="B140" t="s" s="73">
        <v>137</v>
      </c>
      <c r="C140" t="s" s="73">
        <v>221</v>
      </c>
      <c r="D140" t="s" s="73">
        <v>241</v>
      </c>
      <c r="E140" s="43">
        <v>631953.2</v>
      </c>
      <c r="F140" s="43">
        <v>0</v>
      </c>
      <c r="G140" s="52">
        <f>E140-F140</f>
        <v>631953.2</v>
      </c>
      <c r="H140" s="43">
        <v>275201.1</v>
      </c>
      <c r="I140" s="43">
        <v>631953.2</v>
      </c>
      <c r="J140" s="43">
        <v>631953.2</v>
      </c>
      <c r="K140" s="43">
        <v>0</v>
      </c>
      <c r="L140" s="43">
        <v>0</v>
      </c>
      <c r="M140" s="43">
        <v>0</v>
      </c>
      <c r="N140" s="14">
        <f>IF($G140&gt;0,MIN(1,MAX(0,(H140-K140)/$G140)),0)</f>
        <v>0.43547702583039377</v>
      </c>
      <c r="O140" s="14">
        <f>IF($G140&gt;0,MIN(1,MAX(0,(I140-L140)/$G140)),0)</f>
        <v>1</v>
      </c>
      <c r="P140" s="14">
        <f>IF($G140&gt;0,MIN(1,MAX(0,(J140-M140)/$G140)),0)</f>
        <v>1</v>
      </c>
      <c r="Q140" s="68">
        <v>0</v>
      </c>
      <c r="R140" s="68">
        <v>1</v>
      </c>
      <c r="S140" s="68">
        <v>1</v>
      </c>
      <c r="T140" s="43">
        <v>1548</v>
      </c>
      <c r="U140" s="43">
        <v>775</v>
      </c>
      <c r="V140" s="44">
        <v>45969400</v>
      </c>
      <c r="W140" s="43">
        <v>943</v>
      </c>
      <c r="X140" s="43">
        <v>40</v>
      </c>
      <c r="Y140" s="44">
        <v>46197</v>
      </c>
      <c r="Z140" s="52">
        <f>N140*$T140</f>
        <v>674.1184359854495</v>
      </c>
      <c r="AA140" s="52">
        <f>O140*$T140</f>
        <v>1548</v>
      </c>
      <c r="AB140" s="52">
        <f>P140*$T140</f>
        <v>1548</v>
      </c>
    </row>
    <row r="141">
      <c r="B141" t="s" s="73">
        <v>138</v>
      </c>
      <c r="C141" t="s" s="73">
        <v>221</v>
      </c>
      <c r="D141" t="s" s="73">
        <v>241</v>
      </c>
      <c r="E141" s="43">
        <v>529846.4</v>
      </c>
      <c r="F141" s="43">
        <v>0</v>
      </c>
      <c r="G141" s="52">
        <f>E141-F141</f>
        <v>529846.4</v>
      </c>
      <c r="H141" s="43">
        <v>529846.4</v>
      </c>
      <c r="I141" s="43">
        <v>529846.4</v>
      </c>
      <c r="J141" s="43">
        <v>529846.4</v>
      </c>
      <c r="K141" s="43">
        <v>0</v>
      </c>
      <c r="L141" s="43">
        <v>0</v>
      </c>
      <c r="M141" s="43">
        <v>0</v>
      </c>
      <c r="N141" s="14">
        <f>IF($G141&gt;0,MIN(1,MAX(0,(H141-K141)/$G141)),0)</f>
        <v>1</v>
      </c>
      <c r="O141" s="14">
        <f>IF($G141&gt;0,MIN(1,MAX(0,(I141-L141)/$G141)),0)</f>
        <v>1</v>
      </c>
      <c r="P141" s="14">
        <f>IF($G141&gt;0,MIN(1,MAX(0,(J141-M141)/$G141)),0)</f>
        <v>1</v>
      </c>
      <c r="Q141" s="68">
        <v>1</v>
      </c>
      <c r="R141" s="68">
        <v>1</v>
      </c>
      <c r="S141" s="68">
        <v>1</v>
      </c>
      <c r="T141" s="43">
        <v>1695</v>
      </c>
      <c r="U141" s="43">
        <v>856</v>
      </c>
      <c r="V141" s="44">
        <v>47253800</v>
      </c>
      <c r="W141" s="43">
        <v>1103</v>
      </c>
      <c r="X141" s="43">
        <v>68</v>
      </c>
      <c r="Y141" s="44">
        <v>46197</v>
      </c>
      <c r="Z141" s="52">
        <f>N141*$T141</f>
        <v>1695</v>
      </c>
      <c r="AA141" s="52">
        <f>O141*$T141</f>
        <v>1695</v>
      </c>
      <c r="AB141" s="52">
        <f>P141*$T141</f>
        <v>1695</v>
      </c>
    </row>
    <row r="142">
      <c r="B142" t="s" s="73">
        <v>139</v>
      </c>
      <c r="C142" t="s" s="73">
        <v>222</v>
      </c>
      <c r="D142" t="s" s="73">
        <v>241</v>
      </c>
      <c r="E142" s="43">
        <v>290648.7</v>
      </c>
      <c r="F142" s="43">
        <v>0</v>
      </c>
      <c r="G142" s="52">
        <f>E142-F142</f>
        <v>290648.7</v>
      </c>
      <c r="H142" s="43">
        <v>0</v>
      </c>
      <c r="I142" s="43">
        <v>290648.7</v>
      </c>
      <c r="J142" s="43">
        <v>290648.7</v>
      </c>
      <c r="K142" s="43">
        <v>0</v>
      </c>
      <c r="L142" s="43">
        <v>0</v>
      </c>
      <c r="M142" s="43">
        <v>0</v>
      </c>
      <c r="N142" s="14">
        <f>IF($G142&gt;0,MIN(1,MAX(0,(H142-K142)/$G142)),0)</f>
        <v>0</v>
      </c>
      <c r="O142" s="14">
        <f>IF($G142&gt;0,MIN(1,MAX(0,(I142-L142)/$G142)),0)</f>
        <v>1</v>
      </c>
      <c r="P142" s="14">
        <f>IF($G142&gt;0,MIN(1,MAX(0,(J142-M142)/$G142)),0)</f>
        <v>1</v>
      </c>
      <c r="Q142" s="68">
        <v>0</v>
      </c>
      <c r="R142" s="68">
        <v>1</v>
      </c>
      <c r="S142" s="68">
        <v>1</v>
      </c>
      <c r="T142" s="43">
        <v>3426</v>
      </c>
      <c r="U142" s="43">
        <v>1347</v>
      </c>
      <c r="V142" s="44">
        <v>85631600</v>
      </c>
      <c r="W142" s="43">
        <v>2582</v>
      </c>
      <c r="X142" s="43">
        <v>75</v>
      </c>
      <c r="Y142" s="44">
        <v>64008</v>
      </c>
      <c r="Z142" s="52">
        <f>N142*$T142</f>
        <v>0</v>
      </c>
      <c r="AA142" s="52">
        <f>O142*$T142</f>
        <v>3426</v>
      </c>
      <c r="AB142" s="52">
        <f>P142*$T142</f>
        <v>3426</v>
      </c>
    </row>
    <row r="143">
      <c r="B143" t="s" s="73">
        <v>140</v>
      </c>
      <c r="C143" t="s" s="73">
        <v>222</v>
      </c>
      <c r="D143" t="s" s="73">
        <v>241</v>
      </c>
      <c r="E143" s="43">
        <v>547089.7</v>
      </c>
      <c r="F143" s="43">
        <v>0</v>
      </c>
      <c r="G143" s="52">
        <f>E143-F143</f>
        <v>547089.7</v>
      </c>
      <c r="H143" s="43">
        <v>23791</v>
      </c>
      <c r="I143" s="43">
        <v>547089.7</v>
      </c>
      <c r="J143" s="43">
        <v>547089.7</v>
      </c>
      <c r="K143" s="43">
        <v>0</v>
      </c>
      <c r="L143" s="43">
        <v>0</v>
      </c>
      <c r="M143" s="43">
        <v>0</v>
      </c>
      <c r="N143" s="14">
        <f>IF($G143&gt;0,MIN(1,MAX(0,(H143-K143)/$G143)),0)</f>
        <v>0.04348647031739037</v>
      </c>
      <c r="O143" s="14">
        <f>IF($G143&gt;0,MIN(1,MAX(0,(I143-L143)/$G143)),0)</f>
        <v>1</v>
      </c>
      <c r="P143" s="14">
        <f>IF($G143&gt;0,MIN(1,MAX(0,(J143-M143)/$G143)),0)</f>
        <v>1</v>
      </c>
      <c r="Q143" s="68">
        <v>0</v>
      </c>
      <c r="R143" s="68">
        <v>1</v>
      </c>
      <c r="S143" s="68">
        <v>1</v>
      </c>
      <c r="T143" s="43">
        <v>812</v>
      </c>
      <c r="U143" s="43">
        <v>355</v>
      </c>
      <c r="V143" s="44">
        <v>34783100</v>
      </c>
      <c r="W143" s="43">
        <v>491</v>
      </c>
      <c r="X143" s="43">
        <v>0</v>
      </c>
      <c r="Y143" s="44">
        <v>64008</v>
      </c>
      <c r="Z143" s="52">
        <f>N143*$T143</f>
        <v>35.31101389772098</v>
      </c>
      <c r="AA143" s="52">
        <f>O143*$T143</f>
        <v>812</v>
      </c>
      <c r="AB143" s="52">
        <f>P143*$T143</f>
        <v>812</v>
      </c>
    </row>
    <row r="144">
      <c r="B144" t="s" s="73">
        <v>141</v>
      </c>
      <c r="C144" t="s" s="73">
        <v>222</v>
      </c>
      <c r="D144" t="s" s="73">
        <v>241</v>
      </c>
      <c r="E144" s="43">
        <v>1008755</v>
      </c>
      <c r="F144" s="43">
        <v>0</v>
      </c>
      <c r="G144" s="52">
        <f>E144-F144</f>
        <v>1008755</v>
      </c>
      <c r="H144" s="43">
        <v>0</v>
      </c>
      <c r="I144" s="43">
        <v>1008755</v>
      </c>
      <c r="J144" s="43">
        <v>1008755</v>
      </c>
      <c r="K144" s="43">
        <v>0</v>
      </c>
      <c r="L144" s="43">
        <v>0</v>
      </c>
      <c r="M144" s="43">
        <v>0</v>
      </c>
      <c r="N144" s="14">
        <f>IF($G144&gt;0,MIN(1,MAX(0,(H144-K144)/$G144)),0)</f>
        <v>0</v>
      </c>
      <c r="O144" s="14">
        <f>IF($G144&gt;0,MIN(1,MAX(0,(I144-L144)/$G144)),0)</f>
        <v>1</v>
      </c>
      <c r="P144" s="14">
        <f>IF($G144&gt;0,MIN(1,MAX(0,(J144-M144)/$G144)),0)</f>
        <v>1</v>
      </c>
      <c r="Q144" s="68">
        <v>0</v>
      </c>
      <c r="R144" s="68">
        <v>1</v>
      </c>
      <c r="S144" s="68">
        <v>1</v>
      </c>
      <c r="T144" s="43">
        <v>1200</v>
      </c>
      <c r="U144" s="43">
        <v>385</v>
      </c>
      <c r="V144" s="44">
        <v>46213000</v>
      </c>
      <c r="W144" s="43">
        <v>582</v>
      </c>
      <c r="X144" s="43">
        <v>20</v>
      </c>
      <c r="Y144" s="44">
        <v>64008</v>
      </c>
      <c r="Z144" s="52">
        <f>N144*$T144</f>
        <v>0</v>
      </c>
      <c r="AA144" s="52">
        <f>O144*$T144</f>
        <v>1200</v>
      </c>
      <c r="AB144" s="52">
        <f>P144*$T144</f>
        <v>1200</v>
      </c>
    </row>
    <row r="145">
      <c r="B145" t="s" s="73">
        <v>142</v>
      </c>
      <c r="C145" t="s" s="73">
        <v>223</v>
      </c>
      <c r="D145" t="s" s="73">
        <v>241</v>
      </c>
      <c r="E145" s="43">
        <v>1321554.9</v>
      </c>
      <c r="F145" s="43">
        <v>0</v>
      </c>
      <c r="G145" s="52">
        <f>E145-F145</f>
        <v>1321554.9</v>
      </c>
      <c r="H145" s="43">
        <v>0</v>
      </c>
      <c r="I145" s="43">
        <v>1321554.9</v>
      </c>
      <c r="J145" s="43">
        <v>1321554.9</v>
      </c>
      <c r="K145" s="43">
        <v>0</v>
      </c>
      <c r="L145" s="43">
        <v>0</v>
      </c>
      <c r="M145" s="43">
        <v>0</v>
      </c>
      <c r="N145" s="14">
        <f>IF($G145&gt;0,MIN(1,MAX(0,(H145-K145)/$G145)),0)</f>
        <v>0</v>
      </c>
      <c r="O145" s="14">
        <f>IF($G145&gt;0,MIN(1,MAX(0,(I145-L145)/$G145)),0)</f>
        <v>1</v>
      </c>
      <c r="P145" s="14">
        <f>IF($G145&gt;0,MIN(1,MAX(0,(J145-M145)/$G145)),0)</f>
        <v>1</v>
      </c>
      <c r="Q145" s="68">
        <v>0</v>
      </c>
      <c r="R145" s="68">
        <v>1</v>
      </c>
      <c r="S145" s="68">
        <v>1</v>
      </c>
      <c r="T145" s="43">
        <v>2294</v>
      </c>
      <c r="U145" s="43">
        <v>756</v>
      </c>
      <c r="V145" s="44">
        <v>88910700</v>
      </c>
      <c r="W145" s="43">
        <v>1277</v>
      </c>
      <c r="X145" s="43">
        <v>53</v>
      </c>
      <c r="Y145" s="44">
        <v>99167</v>
      </c>
      <c r="Z145" s="52">
        <f>N145*$T145</f>
        <v>0</v>
      </c>
      <c r="AA145" s="52">
        <f>O145*$T145</f>
        <v>2294</v>
      </c>
      <c r="AB145" s="52">
        <f>P145*$T145</f>
        <v>2294</v>
      </c>
    </row>
    <row r="146">
      <c r="B146" t="s" s="73">
        <v>143</v>
      </c>
      <c r="C146" t="s" s="73">
        <v>224</v>
      </c>
      <c r="D146" t="s" s="73">
        <v>241</v>
      </c>
      <c r="E146" s="43">
        <v>782581.5</v>
      </c>
      <c r="F146" s="43">
        <v>0</v>
      </c>
      <c r="G146" s="52">
        <f>E146-F146</f>
        <v>782581.5</v>
      </c>
      <c r="H146" s="43">
        <v>0</v>
      </c>
      <c r="I146" s="43">
        <v>21374.5</v>
      </c>
      <c r="J146" s="43">
        <v>782581.5</v>
      </c>
      <c r="K146" s="43">
        <v>0</v>
      </c>
      <c r="L146" s="43">
        <v>0</v>
      </c>
      <c r="M146" s="43">
        <v>0</v>
      </c>
      <c r="N146" s="14">
        <f>IF($G146&gt;0,MIN(1,MAX(0,(H146-K146)/$G146)),0)</f>
        <v>0</v>
      </c>
      <c r="O146" s="14">
        <f>IF($G146&gt;0,MIN(1,MAX(0,(I146-L146)/$G146)),0)</f>
        <v>0.027312810231266648</v>
      </c>
      <c r="P146" s="14">
        <f>IF($G146&gt;0,MIN(1,MAX(0,(J146-M146)/$G146)),0)</f>
        <v>1</v>
      </c>
      <c r="Q146" s="68">
        <v>0</v>
      </c>
      <c r="R146" s="68">
        <v>0</v>
      </c>
      <c r="S146" s="68">
        <v>1</v>
      </c>
      <c r="T146" s="43">
        <v>2490</v>
      </c>
      <c r="U146" s="43">
        <v>776</v>
      </c>
      <c r="V146" s="44">
        <v>113303300</v>
      </c>
      <c r="W146" s="43">
        <v>1773</v>
      </c>
      <c r="X146" s="43">
        <v>181</v>
      </c>
      <c r="Y146" s="44">
        <v>98672</v>
      </c>
      <c r="Z146" s="52">
        <f>N146*$T146</f>
        <v>0</v>
      </c>
      <c r="AA146" s="52">
        <f>O146*$T146</f>
        <v>68.00889747585396</v>
      </c>
      <c r="AB146" s="52">
        <f>P146*$T146</f>
        <v>2490</v>
      </c>
    </row>
    <row r="147">
      <c r="B147" t="s" s="73">
        <v>144</v>
      </c>
      <c r="C147" t="s" s="73">
        <v>224</v>
      </c>
      <c r="D147" t="s" s="73">
        <v>241</v>
      </c>
      <c r="E147" s="43">
        <v>652463.4</v>
      </c>
      <c r="F147" s="43">
        <v>0</v>
      </c>
      <c r="G147" s="52">
        <f>E147-F147</f>
        <v>652463.4</v>
      </c>
      <c r="H147" s="43">
        <v>0</v>
      </c>
      <c r="I147" s="43">
        <v>491692.7</v>
      </c>
      <c r="J147" s="43">
        <v>652463.4</v>
      </c>
      <c r="K147" s="43">
        <v>0</v>
      </c>
      <c r="L147" s="43">
        <v>0</v>
      </c>
      <c r="M147" s="43">
        <v>0</v>
      </c>
      <c r="N147" s="14">
        <f>IF($G147&gt;0,MIN(1,MAX(0,(H147-K147)/$G147)),0)</f>
        <v>0</v>
      </c>
      <c r="O147" s="14">
        <f>IF($G147&gt;0,MIN(1,MAX(0,(I147-L147)/$G147)),0)</f>
        <v>0.7535943012282375</v>
      </c>
      <c r="P147" s="14">
        <f>IF($G147&gt;0,MIN(1,MAX(0,(J147-M147)/$G147)),0)</f>
        <v>1</v>
      </c>
      <c r="Q147" s="68">
        <v>0</v>
      </c>
      <c r="R147" s="68">
        <v>1</v>
      </c>
      <c r="S147" s="68">
        <v>1</v>
      </c>
      <c r="T147" s="43">
        <v>2320</v>
      </c>
      <c r="U147" s="43">
        <v>783</v>
      </c>
      <c r="V147" s="44">
        <v>44633000</v>
      </c>
      <c r="W147" s="43">
        <v>1137</v>
      </c>
      <c r="X147" s="43">
        <v>24</v>
      </c>
      <c r="Y147" s="44">
        <v>98672</v>
      </c>
      <c r="Z147" s="52">
        <f>N147*$T147</f>
        <v>0</v>
      </c>
      <c r="AA147" s="52">
        <f>O147*$T147</f>
        <v>1748.3387788495108</v>
      </c>
      <c r="AB147" s="52">
        <f>P147*$T147</f>
        <v>2320</v>
      </c>
    </row>
    <row r="148">
      <c r="B148" t="s" s="73">
        <v>145</v>
      </c>
      <c r="C148" t="s" s="73">
        <v>224</v>
      </c>
      <c r="D148" t="s" s="73">
        <v>242</v>
      </c>
      <c r="E148" s="43">
        <v>1367388</v>
      </c>
      <c r="F148" s="43">
        <v>0</v>
      </c>
      <c r="G148" s="52">
        <f>E148-F148</f>
        <v>1367388</v>
      </c>
      <c r="H148" s="43">
        <v>0</v>
      </c>
      <c r="I148" s="43">
        <v>0</v>
      </c>
      <c r="J148" s="43">
        <v>1367388</v>
      </c>
      <c r="K148" s="43">
        <v>0</v>
      </c>
      <c r="L148" s="43">
        <v>0</v>
      </c>
      <c r="M148" s="43">
        <v>0</v>
      </c>
      <c r="N148" s="14">
        <f>IF($G148&gt;0,MIN(1,MAX(0,(H148-K148)/$G148)),0)</f>
        <v>0</v>
      </c>
      <c r="O148" s="14">
        <f>IF($G148&gt;0,MIN(1,MAX(0,(I148-L148)/$G148)),0)</f>
        <v>0</v>
      </c>
      <c r="P148" s="14">
        <f>IF($G148&gt;0,MIN(1,MAX(0,(J148-M148)/$G148)),0)</f>
        <v>1</v>
      </c>
      <c r="Q148" s="68">
        <v>0</v>
      </c>
      <c r="R148" s="68">
        <v>0</v>
      </c>
      <c r="S148" s="68">
        <v>1</v>
      </c>
      <c r="T148" s="43">
        <v>2539</v>
      </c>
      <c r="U148" s="43">
        <v>1132</v>
      </c>
      <c r="V148" s="44">
        <v>154606600</v>
      </c>
      <c r="W148" s="43">
        <v>1463</v>
      </c>
      <c r="X148" s="43">
        <v>38</v>
      </c>
      <c r="Y148" s="44">
        <v>98672</v>
      </c>
      <c r="Z148" s="52">
        <f>N148*$T148</f>
        <v>0</v>
      </c>
      <c r="AA148" s="52">
        <f>O148*$T148</f>
        <v>0</v>
      </c>
      <c r="AB148" s="52">
        <f>P148*$T148</f>
        <v>2539</v>
      </c>
    </row>
    <row r="149">
      <c r="B149" t="s" s="73">
        <v>146</v>
      </c>
      <c r="C149" t="s" s="73">
        <v>225</v>
      </c>
      <c r="D149" t="s" s="73">
        <v>241</v>
      </c>
      <c r="E149" s="43">
        <v>528290.9</v>
      </c>
      <c r="F149" s="43">
        <v>0</v>
      </c>
      <c r="G149" s="52">
        <f>E149-F149</f>
        <v>528290.9</v>
      </c>
      <c r="H149" s="43">
        <v>0</v>
      </c>
      <c r="I149" s="43">
        <v>70381.1</v>
      </c>
      <c r="J149" s="43">
        <v>528290.9</v>
      </c>
      <c r="K149" s="43">
        <v>0</v>
      </c>
      <c r="L149" s="43">
        <v>0</v>
      </c>
      <c r="M149" s="43">
        <v>0</v>
      </c>
      <c r="N149" s="14">
        <f>IF($G149&gt;0,MIN(1,MAX(0,(H149-K149)/$G149)),0)</f>
        <v>0</v>
      </c>
      <c r="O149" s="14">
        <f>IF($G149&gt;0,MIN(1,MAX(0,(I149-L149)/$G149)),0)</f>
        <v>0.13322413844342199</v>
      </c>
      <c r="P149" s="14">
        <f>IF($G149&gt;0,MIN(1,MAX(0,(J149-M149)/$G149)),0)</f>
        <v>1</v>
      </c>
      <c r="Q149" s="68">
        <v>0</v>
      </c>
      <c r="R149" s="68">
        <v>0</v>
      </c>
      <c r="S149" s="68">
        <v>1</v>
      </c>
      <c r="T149" s="43">
        <v>768</v>
      </c>
      <c r="U149" s="43">
        <v>301</v>
      </c>
      <c r="V149" s="44">
        <v>27255800</v>
      </c>
      <c r="W149" s="43">
        <v>465</v>
      </c>
      <c r="X149" s="43">
        <v>19</v>
      </c>
      <c r="Y149" s="44">
        <v>63750</v>
      </c>
      <c r="Z149" s="52">
        <f>N149*$T149</f>
        <v>0</v>
      </c>
      <c r="AA149" s="52">
        <f>O149*$T149</f>
        <v>102.31613832454809</v>
      </c>
      <c r="AB149" s="52">
        <f>P149*$T149</f>
        <v>768</v>
      </c>
    </row>
    <row r="150">
      <c r="B150" t="s" s="73">
        <v>147</v>
      </c>
      <c r="C150" t="s" s="73">
        <v>225</v>
      </c>
      <c r="D150" t="s" s="73">
        <v>241</v>
      </c>
      <c r="E150" s="43">
        <v>577637</v>
      </c>
      <c r="F150" s="43">
        <v>0</v>
      </c>
      <c r="G150" s="52">
        <f>E150-F150</f>
        <v>577637</v>
      </c>
      <c r="H150" s="43">
        <v>0</v>
      </c>
      <c r="I150" s="43">
        <v>0</v>
      </c>
      <c r="J150" s="43">
        <v>577637</v>
      </c>
      <c r="K150" s="43">
        <v>0</v>
      </c>
      <c r="L150" s="43">
        <v>0</v>
      </c>
      <c r="M150" s="43">
        <v>0</v>
      </c>
      <c r="N150" s="14">
        <f>IF($G150&gt;0,MIN(1,MAX(0,(H150-K150)/$G150)),0)</f>
        <v>0</v>
      </c>
      <c r="O150" s="14">
        <f>IF($G150&gt;0,MIN(1,MAX(0,(I150-L150)/$G150)),0)</f>
        <v>0</v>
      </c>
      <c r="P150" s="14">
        <f>IF($G150&gt;0,MIN(1,MAX(0,(J150-M150)/$G150)),0)</f>
        <v>1</v>
      </c>
      <c r="Q150" s="68">
        <v>0</v>
      </c>
      <c r="R150" s="68">
        <v>0</v>
      </c>
      <c r="S150" s="68">
        <v>1</v>
      </c>
      <c r="T150" s="43">
        <v>2143</v>
      </c>
      <c r="U150" s="43">
        <v>1096</v>
      </c>
      <c r="V150" s="44">
        <v>90273000</v>
      </c>
      <c r="W150" s="43">
        <v>1057</v>
      </c>
      <c r="X150" s="43">
        <v>18</v>
      </c>
      <c r="Y150" s="44">
        <v>63750</v>
      </c>
      <c r="Z150" s="52">
        <f>N150*$T150</f>
        <v>0</v>
      </c>
      <c r="AA150" s="52">
        <f>O150*$T150</f>
        <v>0</v>
      </c>
      <c r="AB150" s="52">
        <f>P150*$T150</f>
        <v>2143</v>
      </c>
    </row>
    <row r="151">
      <c r="B151" t="s" s="73">
        <v>148</v>
      </c>
      <c r="C151" t="s" s="73">
        <v>226</v>
      </c>
      <c r="D151" t="s" s="73">
        <v>241</v>
      </c>
      <c r="E151" s="43">
        <v>703412.8</v>
      </c>
      <c r="F151" s="43">
        <v>0</v>
      </c>
      <c r="G151" s="52">
        <f>E151-F151</f>
        <v>703412.8</v>
      </c>
      <c r="H151" s="43">
        <v>0</v>
      </c>
      <c r="I151" s="43">
        <v>628577.3</v>
      </c>
      <c r="J151" s="43">
        <v>703412.8</v>
      </c>
      <c r="K151" s="43">
        <v>0</v>
      </c>
      <c r="L151" s="43">
        <v>0</v>
      </c>
      <c r="M151" s="43">
        <v>0</v>
      </c>
      <c r="N151" s="14">
        <f>IF($G151&gt;0,MIN(1,MAX(0,(H151-K151)/$G151)),0)</f>
        <v>0</v>
      </c>
      <c r="O151" s="14">
        <f>IF($G151&gt;0,MIN(1,MAX(0,(I151-L151)/$G151)),0)</f>
        <v>0.8936108356288086</v>
      </c>
      <c r="P151" s="14">
        <f>IF($G151&gt;0,MIN(1,MAX(0,(J151-M151)/$G151)),0)</f>
        <v>1</v>
      </c>
      <c r="Q151" s="68">
        <v>0</v>
      </c>
      <c r="R151" s="68">
        <v>1</v>
      </c>
      <c r="S151" s="68">
        <v>1</v>
      </c>
      <c r="T151" s="43">
        <v>1077</v>
      </c>
      <c r="U151" s="43">
        <v>393</v>
      </c>
      <c r="V151" s="44">
        <v>37020800</v>
      </c>
      <c r="W151" s="43">
        <v>701</v>
      </c>
      <c r="X151" s="43">
        <v>104</v>
      </c>
      <c r="Y151" s="44">
        <v>77051</v>
      </c>
      <c r="Z151" s="52">
        <f>N151*$T151</f>
        <v>0</v>
      </c>
      <c r="AA151" s="52">
        <f>O151*$T151</f>
        <v>962.4188699722268</v>
      </c>
      <c r="AB151" s="52">
        <f>P151*$T151</f>
        <v>1077</v>
      </c>
    </row>
    <row r="152">
      <c r="B152" t="s" s="73">
        <v>149</v>
      </c>
      <c r="C152" t="s" s="73">
        <v>226</v>
      </c>
      <c r="D152" t="s" s="73">
        <v>241</v>
      </c>
      <c r="E152" s="43">
        <v>795007.8</v>
      </c>
      <c r="F152" s="43">
        <v>0</v>
      </c>
      <c r="G152" s="52">
        <f>E152-F152</f>
        <v>795007.8</v>
      </c>
      <c r="H152" s="43">
        <v>0</v>
      </c>
      <c r="I152" s="43">
        <v>607752.7</v>
      </c>
      <c r="J152" s="43">
        <v>795007.8</v>
      </c>
      <c r="K152" s="43">
        <v>0</v>
      </c>
      <c r="L152" s="43">
        <v>0</v>
      </c>
      <c r="M152" s="43">
        <v>0</v>
      </c>
      <c r="N152" s="14">
        <f>IF($G152&gt;0,MIN(1,MAX(0,(H152-K152)/$G152)),0)</f>
        <v>0</v>
      </c>
      <c r="O152" s="14">
        <f>IF($G152&gt;0,MIN(1,MAX(0,(I152-L152)/$G152)),0)</f>
        <v>0.7644613046563818</v>
      </c>
      <c r="P152" s="14">
        <f>IF($G152&gt;0,MIN(1,MAX(0,(J152-M152)/$G152)),0)</f>
        <v>1</v>
      </c>
      <c r="Q152" s="68">
        <v>0</v>
      </c>
      <c r="R152" s="68">
        <v>1</v>
      </c>
      <c r="S152" s="68">
        <v>1</v>
      </c>
      <c r="T152" s="43">
        <v>2366</v>
      </c>
      <c r="U152" s="43">
        <v>767</v>
      </c>
      <c r="V152" s="44">
        <v>56968700</v>
      </c>
      <c r="W152" s="43">
        <v>1111</v>
      </c>
      <c r="X152" s="43">
        <v>0</v>
      </c>
      <c r="Y152" s="44">
        <v>77051</v>
      </c>
      <c r="Z152" s="52">
        <f>N152*$T152</f>
        <v>0</v>
      </c>
      <c r="AA152" s="52">
        <f>O152*$T152</f>
        <v>1808.7154468169995</v>
      </c>
      <c r="AB152" s="52">
        <f>P152*$T152</f>
        <v>2366</v>
      </c>
    </row>
    <row r="153">
      <c r="B153" t="s" s="73">
        <v>150</v>
      </c>
      <c r="C153" t="s" s="73">
        <v>227</v>
      </c>
      <c r="D153" t="s" s="73">
        <v>241</v>
      </c>
      <c r="E153" s="43">
        <v>760759.8</v>
      </c>
      <c r="F153" s="43">
        <v>0</v>
      </c>
      <c r="G153" s="52">
        <f>E153-F153</f>
        <v>760759.8</v>
      </c>
      <c r="H153" s="43">
        <v>0</v>
      </c>
      <c r="I153" s="43">
        <v>760759.8</v>
      </c>
      <c r="J153" s="43">
        <v>760759.8</v>
      </c>
      <c r="K153" s="43">
        <v>0</v>
      </c>
      <c r="L153" s="43">
        <v>0</v>
      </c>
      <c r="M153" s="43">
        <v>0</v>
      </c>
      <c r="N153" s="14">
        <f>IF($G153&gt;0,MIN(1,MAX(0,(H153-K153)/$G153)),0)</f>
        <v>0</v>
      </c>
      <c r="O153" s="14">
        <f>IF($G153&gt;0,MIN(1,MAX(0,(I153-L153)/$G153)),0)</f>
        <v>1</v>
      </c>
      <c r="P153" s="14">
        <f>IF($G153&gt;0,MIN(1,MAX(0,(J153-M153)/$G153)),0)</f>
        <v>1</v>
      </c>
      <c r="Q153" s="68">
        <v>0</v>
      </c>
      <c r="R153" s="68">
        <v>1</v>
      </c>
      <c r="S153" s="68">
        <v>1</v>
      </c>
      <c r="T153" s="43">
        <v>1088</v>
      </c>
      <c r="U153" s="43">
        <v>355</v>
      </c>
      <c r="V153" s="44">
        <v>29697600</v>
      </c>
      <c r="W153" s="43">
        <v>496</v>
      </c>
      <c r="X153" s="43">
        <v>0</v>
      </c>
      <c r="Y153" s="44">
        <v>83607</v>
      </c>
      <c r="Z153" s="52">
        <f>N153*$T153</f>
        <v>0</v>
      </c>
      <c r="AA153" s="52">
        <f>O153*$T153</f>
        <v>1088</v>
      </c>
      <c r="AB153" s="52">
        <f>P153*$T153</f>
        <v>1088</v>
      </c>
    </row>
    <row r="154">
      <c r="B154" t="s" s="73">
        <v>151</v>
      </c>
      <c r="C154" t="s" s="73">
        <v>227</v>
      </c>
      <c r="D154" t="s" s="73">
        <v>241</v>
      </c>
      <c r="E154" s="43">
        <v>587442.8</v>
      </c>
      <c r="F154" s="43">
        <v>0</v>
      </c>
      <c r="G154" s="52">
        <f>E154-F154</f>
        <v>587442.8</v>
      </c>
      <c r="H154" s="43">
        <v>0</v>
      </c>
      <c r="I154" s="43">
        <v>587442.8</v>
      </c>
      <c r="J154" s="43">
        <v>587442.8</v>
      </c>
      <c r="K154" s="43">
        <v>0</v>
      </c>
      <c r="L154" s="43">
        <v>0</v>
      </c>
      <c r="M154" s="43">
        <v>0</v>
      </c>
      <c r="N154" s="14">
        <f>IF($G154&gt;0,MIN(1,MAX(0,(H154-K154)/$G154)),0)</f>
        <v>0</v>
      </c>
      <c r="O154" s="14">
        <f>IF($G154&gt;0,MIN(1,MAX(0,(I154-L154)/$G154)),0)</f>
        <v>1</v>
      </c>
      <c r="P154" s="14">
        <f>IF($G154&gt;0,MIN(1,MAX(0,(J154-M154)/$G154)),0)</f>
        <v>1</v>
      </c>
      <c r="Q154" s="68">
        <v>0</v>
      </c>
      <c r="R154" s="68">
        <v>1</v>
      </c>
      <c r="S154" s="68">
        <v>1</v>
      </c>
      <c r="T154" s="43">
        <v>1416</v>
      </c>
      <c r="U154" s="43">
        <v>445</v>
      </c>
      <c r="V154" s="44">
        <v>58878100</v>
      </c>
      <c r="W154" s="43">
        <v>995</v>
      </c>
      <c r="X154" s="43">
        <v>70</v>
      </c>
      <c r="Y154" s="44">
        <v>83607</v>
      </c>
      <c r="Z154" s="52">
        <f>N154*$T154</f>
        <v>0</v>
      </c>
      <c r="AA154" s="52">
        <f>O154*$T154</f>
        <v>1416</v>
      </c>
      <c r="AB154" s="52">
        <f>P154*$T154</f>
        <v>1416</v>
      </c>
    </row>
    <row r="155">
      <c r="B155" t="s" s="73">
        <v>152</v>
      </c>
      <c r="C155" t="s" s="73">
        <v>227</v>
      </c>
      <c r="D155" t="s" s="73">
        <v>241</v>
      </c>
      <c r="E155" s="43">
        <v>653929.5</v>
      </c>
      <c r="F155" s="43">
        <v>0</v>
      </c>
      <c r="G155" s="52">
        <f>E155-F155</f>
        <v>653929.5</v>
      </c>
      <c r="H155" s="43">
        <v>0</v>
      </c>
      <c r="I155" s="43">
        <v>653929.5</v>
      </c>
      <c r="J155" s="43">
        <v>653929.5</v>
      </c>
      <c r="K155" s="43">
        <v>0</v>
      </c>
      <c r="L155" s="43">
        <v>0</v>
      </c>
      <c r="M155" s="43">
        <v>0</v>
      </c>
      <c r="N155" s="14">
        <f>IF($G155&gt;0,MIN(1,MAX(0,(H155-K155)/$G155)),0)</f>
        <v>0</v>
      </c>
      <c r="O155" s="14">
        <f>IF($G155&gt;0,MIN(1,MAX(0,(I155-L155)/$G155)),0)</f>
        <v>1</v>
      </c>
      <c r="P155" s="14">
        <f>IF($G155&gt;0,MIN(1,MAX(0,(J155-M155)/$G155)),0)</f>
        <v>1</v>
      </c>
      <c r="Q155" s="68">
        <v>0</v>
      </c>
      <c r="R155" s="68">
        <v>1</v>
      </c>
      <c r="S155" s="68">
        <v>1</v>
      </c>
      <c r="T155" s="43">
        <v>2963</v>
      </c>
      <c r="U155" s="43">
        <v>879</v>
      </c>
      <c r="V155" s="44">
        <v>74842500</v>
      </c>
      <c r="W155" s="43">
        <v>1237</v>
      </c>
      <c r="X155" s="43">
        <v>20</v>
      </c>
      <c r="Y155" s="44">
        <v>83607</v>
      </c>
      <c r="Z155" s="52">
        <f>N155*$T155</f>
        <v>0</v>
      </c>
      <c r="AA155" s="52">
        <f>O155*$T155</f>
        <v>2963</v>
      </c>
      <c r="AB155" s="52">
        <f>P155*$T155</f>
        <v>2963</v>
      </c>
    </row>
    <row r="156">
      <c r="B156" t="s" s="73">
        <v>153</v>
      </c>
      <c r="C156" t="s" s="73">
        <v>228</v>
      </c>
      <c r="D156" t="s" s="73">
        <v>243</v>
      </c>
      <c r="E156" s="43">
        <v>401236.1</v>
      </c>
      <c r="F156" s="43">
        <v>0</v>
      </c>
      <c r="G156" s="52">
        <f>E156-F156</f>
        <v>401236.1</v>
      </c>
      <c r="H156" s="43">
        <v>0</v>
      </c>
      <c r="I156" s="43">
        <v>0</v>
      </c>
      <c r="J156" s="43">
        <v>104584.3</v>
      </c>
      <c r="K156" s="43">
        <v>0</v>
      </c>
      <c r="L156" s="43">
        <v>0</v>
      </c>
      <c r="M156" s="43">
        <v>0</v>
      </c>
      <c r="N156" s="14">
        <f>IF($G156&gt;0,MIN(1,MAX(0,(H156-K156)/$G156)),0)</f>
        <v>0</v>
      </c>
      <c r="O156" s="14">
        <f>IF($G156&gt;0,MIN(1,MAX(0,(I156-L156)/$G156)),0)</f>
        <v>0</v>
      </c>
      <c r="P156" s="14">
        <f>IF($G156&gt;0,MIN(1,MAX(0,(J156-M156)/$G156)),0)</f>
        <v>0.26065526008253</v>
      </c>
      <c r="Q156" s="68">
        <v>0</v>
      </c>
      <c r="R156" s="68">
        <v>0</v>
      </c>
      <c r="S156" s="68">
        <v>0</v>
      </c>
      <c r="T156" s="43">
        <v>1784</v>
      </c>
      <c r="U156" s="43">
        <v>1042</v>
      </c>
      <c r="V156" s="44">
        <v>156996500</v>
      </c>
      <c r="W156" s="43">
        <v>1092</v>
      </c>
      <c r="X156" s="43">
        <v>15</v>
      </c>
      <c r="Y156" s="44">
        <v>136228</v>
      </c>
      <c r="Z156" s="52">
        <f>N156*$T156</f>
        <v>0</v>
      </c>
      <c r="AA156" s="52">
        <f>O156*$T156</f>
        <v>0</v>
      </c>
      <c r="AB156" s="52">
        <f>P156*$T156</f>
        <v>465.0089839872335</v>
      </c>
    </row>
    <row r="157">
      <c r="B157" t="s" s="73">
        <v>154</v>
      </c>
      <c r="C157" t="s" s="73">
        <v>228</v>
      </c>
      <c r="D157" t="s" s="73">
        <v>243</v>
      </c>
      <c r="E157" s="43">
        <v>2012584.5</v>
      </c>
      <c r="F157" s="43">
        <v>21194.3</v>
      </c>
      <c r="G157" s="52">
        <f>E157-F157</f>
        <v>1991390.2</v>
      </c>
      <c r="H157" s="43">
        <v>0</v>
      </c>
      <c r="I157" s="43">
        <v>0</v>
      </c>
      <c r="J157" s="43">
        <v>59796.9</v>
      </c>
      <c r="K157" s="43">
        <v>0</v>
      </c>
      <c r="L157" s="43">
        <v>0</v>
      </c>
      <c r="M157" s="43">
        <v>0</v>
      </c>
      <c r="N157" s="14">
        <f>IF($G157&gt;0,MIN(1,MAX(0,(H157-K157)/$G157)),0)</f>
        <v>0</v>
      </c>
      <c r="O157" s="14">
        <f>IF($G157&gt;0,MIN(1,MAX(0,(I157-L157)/$G157)),0)</f>
        <v>0</v>
      </c>
      <c r="P157" s="14">
        <f>IF($G157&gt;0,MIN(1,MAX(0,(J157-M157)/$G157)),0)</f>
        <v>0.030027716315968615</v>
      </c>
      <c r="Q157" s="68">
        <v>0</v>
      </c>
      <c r="R157" s="68">
        <v>0</v>
      </c>
      <c r="S157" s="68">
        <v>0</v>
      </c>
      <c r="T157" s="43">
        <v>2069</v>
      </c>
      <c r="U157" s="43">
        <v>776</v>
      </c>
      <c r="V157" s="44">
        <v>161620100</v>
      </c>
      <c r="W157" s="43">
        <v>1367</v>
      </c>
      <c r="X157" s="43">
        <v>26</v>
      </c>
      <c r="Y157" s="44">
        <v>136228</v>
      </c>
      <c r="Z157" s="52">
        <f>N157*$T157</f>
        <v>0</v>
      </c>
      <c r="AA157" s="52">
        <f>O157*$T157</f>
        <v>0</v>
      </c>
      <c r="AB157" s="52">
        <f>P157*$T157</f>
        <v>62.12734505773906</v>
      </c>
    </row>
    <row r="158">
      <c r="B158" t="s" s="73">
        <v>155</v>
      </c>
      <c r="C158" t="s" s="73">
        <v>229</v>
      </c>
      <c r="D158" t="s" s="73">
        <v>244</v>
      </c>
      <c r="E158" s="43">
        <v>2530118.5</v>
      </c>
      <c r="F158" s="43">
        <v>32109.8</v>
      </c>
      <c r="G158" s="52">
        <f>E158-F158</f>
        <v>2498008.7</v>
      </c>
      <c r="H158" s="43">
        <v>0</v>
      </c>
      <c r="I158" s="43">
        <v>0</v>
      </c>
      <c r="J158" s="43">
        <v>1278920.5</v>
      </c>
      <c r="K158" s="43">
        <v>0</v>
      </c>
      <c r="L158" s="43">
        <v>0</v>
      </c>
      <c r="M158" s="43">
        <v>0</v>
      </c>
      <c r="N158" s="14">
        <f>IF($G158&gt;0,MIN(1,MAX(0,(H158-K158)/$G158)),0)</f>
        <v>0</v>
      </c>
      <c r="O158" s="14">
        <f>IF($G158&gt;0,MIN(1,MAX(0,(I158-L158)/$G158)),0)</f>
        <v>0</v>
      </c>
      <c r="P158" s="14">
        <f>IF($G158&gt;0,MIN(1,MAX(0,(J158-M158)/$G158)),0)</f>
        <v>0.5119759991228213</v>
      </c>
      <c r="Q158" s="68">
        <v>0</v>
      </c>
      <c r="R158" s="68">
        <v>0</v>
      </c>
      <c r="S158" s="68">
        <v>1</v>
      </c>
      <c r="T158" s="43">
        <v>2710</v>
      </c>
      <c r="U158" s="43">
        <v>1869</v>
      </c>
      <c r="V158" s="44">
        <v>219612400</v>
      </c>
      <c r="W158" s="43">
        <v>2489</v>
      </c>
      <c r="X158" s="43">
        <v>159</v>
      </c>
      <c r="Y158" s="44">
        <v>105888</v>
      </c>
      <c r="Z158" s="52">
        <f>N158*$T158</f>
        <v>0</v>
      </c>
      <c r="AA158" s="52">
        <f>O158*$T158</f>
        <v>0</v>
      </c>
      <c r="AB158" s="52">
        <f>P158*$T158</f>
        <v>1387.4549576228458</v>
      </c>
    </row>
    <row r="159">
      <c r="B159" t="s" s="73">
        <v>156</v>
      </c>
      <c r="C159" t="s" s="73">
        <v>229</v>
      </c>
      <c r="D159" t="s" s="73">
        <v>244</v>
      </c>
      <c r="E159" s="43">
        <v>873398.4</v>
      </c>
      <c r="F159" s="43">
        <v>0</v>
      </c>
      <c r="G159" s="52">
        <f>E159-F159</f>
        <v>873398.4</v>
      </c>
      <c r="H159" s="43">
        <v>0</v>
      </c>
      <c r="I159" s="43">
        <v>0</v>
      </c>
      <c r="J159" s="43">
        <v>859260.4</v>
      </c>
      <c r="K159" s="43">
        <v>0</v>
      </c>
      <c r="L159" s="43">
        <v>0</v>
      </c>
      <c r="M159" s="43">
        <v>0</v>
      </c>
      <c r="N159" s="14">
        <f>IF($G159&gt;0,MIN(1,MAX(0,(H159-K159)/$G159)),0)</f>
        <v>0</v>
      </c>
      <c r="O159" s="14">
        <f>IF($G159&gt;0,MIN(1,MAX(0,(I159-L159)/$G159)),0)</f>
        <v>0</v>
      </c>
      <c r="P159" s="14">
        <f>IF($G159&gt;0,MIN(1,MAX(0,(J159-M159)/$G159)),0)</f>
        <v>0.9838126564005613</v>
      </c>
      <c r="Q159" s="68">
        <v>0</v>
      </c>
      <c r="R159" s="68">
        <v>0</v>
      </c>
      <c r="S159" s="68">
        <v>1</v>
      </c>
      <c r="T159" s="43">
        <v>0</v>
      </c>
      <c r="U159" s="43">
        <v>0</v>
      </c>
      <c r="V159" s="53"/>
      <c r="W159" s="43">
        <v>0</v>
      </c>
      <c r="X159" s="43">
        <v>0</v>
      </c>
      <c r="Y159" s="44">
        <v>105888</v>
      </c>
      <c r="Z159" s="52">
        <f>N159*$T159</f>
        <v>0</v>
      </c>
      <c r="AA159" s="52">
        <f>O159*$T159</f>
        <v>0</v>
      </c>
      <c r="AB159" s="52">
        <f>P159*$T159</f>
        <v>0</v>
      </c>
    </row>
    <row r="160">
      <c r="B160" t="s" s="73">
        <v>157</v>
      </c>
      <c r="C160" t="s" s="73">
        <v>229</v>
      </c>
      <c r="D160" t="s" s="73">
        <v>243</v>
      </c>
      <c r="E160" s="43">
        <v>12866323.9</v>
      </c>
      <c r="F160" s="43">
        <v>5167643.9</v>
      </c>
      <c r="G160" s="52">
        <f>E160-F160</f>
        <v>7698680</v>
      </c>
      <c r="H160" s="43">
        <v>0</v>
      </c>
      <c r="I160" s="43">
        <v>0</v>
      </c>
      <c r="J160" s="43">
        <v>6169795.1</v>
      </c>
      <c r="K160" s="43">
        <v>0</v>
      </c>
      <c r="L160" s="43">
        <v>0</v>
      </c>
      <c r="M160" s="43">
        <v>58879</v>
      </c>
      <c r="N160" s="14">
        <f>IF($G160&gt;0,MIN(1,MAX(0,(H160-K160)/$G160)),0)</f>
        <v>0</v>
      </c>
      <c r="O160" s="14">
        <f>IF($G160&gt;0,MIN(1,MAX(0,(I160-L160)/$G160)),0)</f>
        <v>0</v>
      </c>
      <c r="P160" s="14">
        <f>IF($G160&gt;0,MIN(1,MAX(0,(J160-M160)/$G160)),0)</f>
        <v>0.7937615409394857</v>
      </c>
      <c r="Q160" s="68">
        <v>0</v>
      </c>
      <c r="R160" s="68">
        <v>0</v>
      </c>
      <c r="S160" s="68">
        <v>0</v>
      </c>
      <c r="T160" s="43">
        <v>3528</v>
      </c>
      <c r="U160" s="43">
        <v>1838</v>
      </c>
      <c r="V160" s="44">
        <v>246624100</v>
      </c>
      <c r="W160" s="43">
        <v>2516</v>
      </c>
      <c r="X160" s="43">
        <v>26</v>
      </c>
      <c r="Y160" s="44">
        <v>105888</v>
      </c>
      <c r="Z160" s="52">
        <f>N160*$T160</f>
        <v>0</v>
      </c>
      <c r="AA160" s="52">
        <f>O160*$T160</f>
        <v>0</v>
      </c>
      <c r="AB160" s="52">
        <f>P160*$T160</f>
        <v>2800.3907164345055</v>
      </c>
    </row>
    <row r="161">
      <c r="B161" t="s" s="73">
        <v>158</v>
      </c>
      <c r="C161" t="s" s="73">
        <v>230</v>
      </c>
      <c r="D161" t="s" s="73">
        <v>245</v>
      </c>
      <c r="E161" s="43">
        <v>46295917.8</v>
      </c>
      <c r="F161" s="43">
        <v>16031.1</v>
      </c>
      <c r="G161" s="52">
        <f>E161-F161</f>
        <v>46279886.699999996</v>
      </c>
      <c r="H161" s="43">
        <v>0</v>
      </c>
      <c r="I161" s="43">
        <v>0</v>
      </c>
      <c r="J161" s="43">
        <v>189755.6</v>
      </c>
      <c r="K161" s="43">
        <v>0</v>
      </c>
      <c r="L161" s="43">
        <v>0</v>
      </c>
      <c r="M161" s="43">
        <v>12155.1</v>
      </c>
      <c r="N161" s="14">
        <f>IF($G161&gt;0,MIN(1,MAX(0,(H161-K161)/$G161)),0)</f>
        <v>0</v>
      </c>
      <c r="O161" s="14">
        <f>IF($G161&gt;0,MIN(1,MAX(0,(I161-L161)/$G161)),0)</f>
        <v>0</v>
      </c>
      <c r="P161" s="14">
        <f>IF($G161&gt;0,MIN(1,MAX(0,(J161-M161)/$G161)),0)</f>
        <v>0.0038375310024257258</v>
      </c>
      <c r="Q161" s="68">
        <v>0</v>
      </c>
      <c r="R161" s="68">
        <v>0</v>
      </c>
      <c r="S161" s="68">
        <v>0</v>
      </c>
      <c r="T161" s="43">
        <v>0</v>
      </c>
      <c r="U161" s="43">
        <v>0</v>
      </c>
      <c r="V161" s="53"/>
      <c r="W161" s="43">
        <v>0</v>
      </c>
      <c r="X161" s="43">
        <v>0</v>
      </c>
      <c r="Y161" s="53"/>
      <c r="Z161" s="52">
        <f>N161*$T161</f>
        <v>0</v>
      </c>
      <c r="AA161" s="52">
        <f>O161*$T161</f>
        <v>0</v>
      </c>
      <c r="AB161" s="52">
        <f>P161*$T161</f>
        <v>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AX27"/>
  <sheetViews>
    <sheetView showGridLines="0" workbookViewId="0">
      <pane xSplit="3" ySplit="6" topLeftCell="D7" activePane="bottomRight" state="frozen"/>
      <selection pane="topRight" activeCell="D1" sqref="D1"/>
      <selection pane="bottomLeft" activeCell="A7" sqref="A7"/>
      <selection pane="bottomRight" activeCell="A1" sqref="A1"/>
    </sheetView>
  </sheetViews>
  <cols>
    <col min="1" max="1" width="2.21875" customWidth="1"/>
    <col min="2" max="2" width="41.7890625" customWidth="1"/>
    <col min="3" max="3" width="12.359375" customWidth="1"/>
    <col min="4" max="50" width="14.7890625" customWidth="1"/>
  </cols>
  <sheetData>
    <row r="2">
      <c r="B2" t="s" s="4">
        <v>270</v>
      </c>
    </row>
    <row r="3">
      <c r="B3" t="s" s="6">
        <v>271</v>
      </c>
    </row>
    <row r="4">
      <c r="B4" s="6"/>
      <c r="Y4" t="s" s="75">
        <v>342</v>
      </c>
      <c r="Z4" s="78">
        <v>2.5</v>
      </c>
      <c r="AA4" s="78">
        <v>7</v>
      </c>
      <c r="AB4" s="78">
        <v>12</v>
      </c>
      <c r="AC4" s="78">
        <v>17</v>
      </c>
      <c r="AD4" s="78">
        <v>22</v>
      </c>
      <c r="AE4" s="78">
        <v>27</v>
      </c>
      <c r="AF4" s="78">
        <v>32</v>
      </c>
      <c r="AG4" s="78">
        <v>37</v>
      </c>
      <c r="AH4" s="78">
        <v>42</v>
      </c>
      <c r="AI4" s="78">
        <v>52</v>
      </c>
      <c r="AJ4" s="78">
        <v>74.5</v>
      </c>
      <c r="AK4" s="78">
        <v>105</v>
      </c>
    </row>
    <row r="5" ht="56" customHeight="1">
      <c r="B5" t="s" s="7">
        <v>272</v>
      </c>
      <c r="C5" t="s" s="7">
        <v>294</v>
      </c>
      <c r="D5" t="s" s="7">
        <v>300</v>
      </c>
      <c r="E5" t="s" s="7">
        <v>302</v>
      </c>
      <c r="F5" t="s" s="7">
        <v>304</v>
      </c>
      <c r="G5" t="s" s="7">
        <v>306</v>
      </c>
      <c r="H5" t="s" s="7">
        <v>308</v>
      </c>
      <c r="I5" t="s" s="7">
        <v>310</v>
      </c>
      <c r="J5" t="s" s="7">
        <v>312</v>
      </c>
      <c r="K5" t="s" s="7">
        <v>314</v>
      </c>
      <c r="L5" t="s" s="7">
        <v>316</v>
      </c>
      <c r="M5" t="s" s="7">
        <v>318</v>
      </c>
      <c r="N5" t="s" s="7">
        <v>320</v>
      </c>
      <c r="O5" t="s" s="7">
        <v>322</v>
      </c>
      <c r="P5" t="s" s="7">
        <v>324</v>
      </c>
      <c r="Q5" t="s" s="7">
        <v>326</v>
      </c>
      <c r="R5" t="s" s="7">
        <v>328</v>
      </c>
      <c r="S5" t="s" s="7">
        <v>330</v>
      </c>
      <c r="T5" t="s" s="7">
        <v>332</v>
      </c>
      <c r="U5" t="s" s="7">
        <v>334</v>
      </c>
      <c r="V5" t="s" s="7">
        <v>336</v>
      </c>
      <c r="W5" t="s" s="7">
        <v>338</v>
      </c>
      <c r="X5" t="s" s="7">
        <v>340</v>
      </c>
      <c r="Y5" t="s" s="7">
        <v>343</v>
      </c>
      <c r="Z5" t="s" s="7">
        <v>345</v>
      </c>
      <c r="AA5" t="s" s="7">
        <v>347</v>
      </c>
      <c r="AB5" t="s" s="7">
        <v>349</v>
      </c>
      <c r="AC5" t="s" s="7">
        <v>351</v>
      </c>
      <c r="AD5" t="s" s="7">
        <v>353</v>
      </c>
      <c r="AE5" t="s" s="7">
        <v>355</v>
      </c>
      <c r="AF5" t="s" s="7">
        <v>357</v>
      </c>
      <c r="AG5" t="s" s="7">
        <v>359</v>
      </c>
      <c r="AH5" t="s" s="7">
        <v>361</v>
      </c>
      <c r="AI5" t="s" s="7">
        <v>363</v>
      </c>
      <c r="AJ5" t="s" s="7">
        <v>365</v>
      </c>
      <c r="AK5" t="s" s="7">
        <v>367</v>
      </c>
      <c r="AL5" t="s" s="7">
        <v>369</v>
      </c>
      <c r="AM5" t="s" s="7">
        <v>371</v>
      </c>
      <c r="AN5" t="s" s="7">
        <v>373</v>
      </c>
      <c r="AO5" t="s" s="7">
        <v>375</v>
      </c>
      <c r="AP5" t="s" s="7">
        <v>377</v>
      </c>
      <c r="AQ5" t="s" s="7">
        <v>378</v>
      </c>
      <c r="AR5" t="s" s="7">
        <v>379</v>
      </c>
      <c r="AS5" t="s" s="7">
        <v>380</v>
      </c>
      <c r="AT5" t="s" s="7">
        <v>381</v>
      </c>
      <c r="AU5" t="s" s="7">
        <v>382</v>
      </c>
      <c r="AV5" t="s" s="7">
        <v>383</v>
      </c>
      <c r="AW5" t="s" s="7">
        <v>384</v>
      </c>
      <c r="AX5" t="s" s="7">
        <v>385</v>
      </c>
    </row>
    <row r="6">
      <c r="B6" t="s" s="74">
        <v>273</v>
      </c>
      <c r="C6" s="74"/>
      <c r="D6" t="s" s="74">
        <v>301</v>
      </c>
      <c r="E6" t="s" s="74">
        <v>303</v>
      </c>
      <c r="F6" t="s" s="74">
        <v>305</v>
      </c>
      <c r="G6" t="s" s="74">
        <v>307</v>
      </c>
      <c r="H6" t="s" s="74">
        <v>309</v>
      </c>
      <c r="I6" t="s" s="74">
        <v>311</v>
      </c>
      <c r="J6" t="s" s="74">
        <v>313</v>
      </c>
      <c r="K6" t="s" s="74">
        <v>315</v>
      </c>
      <c r="L6" t="s" s="74">
        <v>317</v>
      </c>
      <c r="M6" t="s" s="74">
        <v>319</v>
      </c>
      <c r="N6" t="s" s="74">
        <v>321</v>
      </c>
      <c r="O6" t="s" s="74">
        <v>323</v>
      </c>
      <c r="P6" t="s" s="74">
        <v>325</v>
      </c>
      <c r="Q6" t="s" s="74">
        <v>327</v>
      </c>
      <c r="R6" t="s" s="74">
        <v>329</v>
      </c>
      <c r="S6" t="s" s="74">
        <v>331</v>
      </c>
      <c r="T6" t="s" s="74">
        <v>333</v>
      </c>
      <c r="U6" t="s" s="74">
        <v>335</v>
      </c>
      <c r="V6" t="s" s="74">
        <v>337</v>
      </c>
      <c r="W6" t="s" s="74">
        <v>339</v>
      </c>
      <c r="X6" t="s" s="74">
        <v>341</v>
      </c>
      <c r="Y6" t="s" s="74">
        <v>344</v>
      </c>
      <c r="Z6" t="s" s="74">
        <v>346</v>
      </c>
      <c r="AA6" t="s" s="74">
        <v>348</v>
      </c>
      <c r="AB6" t="s" s="74">
        <v>350</v>
      </c>
      <c r="AC6" t="s" s="74">
        <v>352</v>
      </c>
      <c r="AD6" t="s" s="74">
        <v>354</v>
      </c>
      <c r="AE6" t="s" s="74">
        <v>356</v>
      </c>
      <c r="AF6" t="s" s="74">
        <v>358</v>
      </c>
      <c r="AG6" t="s" s="74">
        <v>360</v>
      </c>
      <c r="AH6" t="s" s="74">
        <v>362</v>
      </c>
      <c r="AI6" t="s" s="74">
        <v>364</v>
      </c>
      <c r="AJ6" t="s" s="74">
        <v>366</v>
      </c>
      <c r="AK6" t="s" s="74">
        <v>368</v>
      </c>
      <c r="AL6" t="s" s="74">
        <v>370</v>
      </c>
      <c r="AM6" t="s" s="74">
        <v>372</v>
      </c>
      <c r="AN6" t="s" s="74">
        <v>374</v>
      </c>
      <c r="AO6" t="s" s="74">
        <v>376</v>
      </c>
      <c r="AP6" s="74"/>
      <c r="AQ6" s="74"/>
      <c r="AR6" s="74"/>
      <c r="AS6" s="74"/>
      <c r="AT6" s="74"/>
      <c r="AU6" s="74"/>
      <c r="AV6" s="74"/>
      <c r="AW6" s="74"/>
      <c r="AX6" s="74"/>
    </row>
    <row r="7">
      <c r="B7" t="s">
        <v>274</v>
      </c>
      <c r="C7" t="s" s="1">
        <v>232</v>
      </c>
      <c r="D7" s="43">
        <v>47807</v>
      </c>
      <c r="E7" s="43">
        <v>18774</v>
      </c>
      <c r="F7" s="44">
        <v>84815</v>
      </c>
      <c r="G7" s="44">
        <v>2090098500</v>
      </c>
      <c r="H7" s="43">
        <v>28619</v>
      </c>
      <c r="I7" s="43">
        <v>736</v>
      </c>
      <c r="J7" s="43">
        <v>33334</v>
      </c>
      <c r="K7" s="43">
        <v>6136</v>
      </c>
      <c r="L7" s="43">
        <v>888</v>
      </c>
      <c r="M7" s="43">
        <v>2214</v>
      </c>
      <c r="N7" s="43">
        <v>4262</v>
      </c>
      <c r="O7" s="43">
        <v>2077</v>
      </c>
      <c r="P7" s="43">
        <v>7966</v>
      </c>
      <c r="Q7" s="43">
        <v>2843</v>
      </c>
      <c r="R7" s="43">
        <v>571</v>
      </c>
      <c r="S7" s="43">
        <v>280</v>
      </c>
      <c r="T7" s="43">
        <v>27248</v>
      </c>
      <c r="U7" s="43">
        <v>18835</v>
      </c>
      <c r="V7" s="43">
        <v>3532</v>
      </c>
      <c r="W7" s="43">
        <v>169</v>
      </c>
      <c r="X7" s="43">
        <v>4143</v>
      </c>
      <c r="Y7" s="43">
        <v>23105</v>
      </c>
      <c r="Z7" s="43">
        <v>210</v>
      </c>
      <c r="AA7" s="43">
        <v>1788</v>
      </c>
      <c r="AB7" s="43">
        <v>3194</v>
      </c>
      <c r="AC7" s="43">
        <v>4160</v>
      </c>
      <c r="AD7" s="43">
        <v>4941</v>
      </c>
      <c r="AE7" s="43">
        <v>1721</v>
      </c>
      <c r="AF7" s="43">
        <v>3723</v>
      </c>
      <c r="AG7" s="43">
        <v>719</v>
      </c>
      <c r="AH7" s="43">
        <v>551</v>
      </c>
      <c r="AI7" s="43">
        <v>1517</v>
      </c>
      <c r="AJ7" s="43">
        <v>502</v>
      </c>
      <c r="AK7" s="43">
        <v>79</v>
      </c>
      <c r="AL7" s="44">
        <v>328500</v>
      </c>
      <c r="AM7" s="44">
        <v>1654</v>
      </c>
      <c r="AN7" s="43">
        <v>9672</v>
      </c>
      <c r="AO7" s="43">
        <v>9102</v>
      </c>
      <c r="AP7" s="52">
        <f>SUM(K7:S7)</f>
        <v>27237</v>
      </c>
      <c r="AQ7" s="52">
        <f>SUM(P7:S7)</f>
        <v>11660</v>
      </c>
      <c r="AR7" s="52">
        <f>SUMPRODUCT(Z7:AK7,$Z$4:$AK$4)</f>
        <v>570717</v>
      </c>
      <c r="AS7" s="11">
        <f>SUMIFS('BG Data'!$Z$6:$Z$161,'BG Data'!$D$6:$D$161,$C7)</f>
        <v>0</v>
      </c>
      <c r="AT7" s="11">
        <f>SUMIFS('BG Data'!$AA$6:$AA$161,'BG Data'!$D$6:$D$161,$C7)</f>
        <v>30.13643062019642</v>
      </c>
      <c r="AU7" s="11">
        <f>SUMIFS('BG Data'!$AB$6:$AB$161,'BG Data'!$D$6:$D$161,$C7)</f>
        <v>3389.449964373418</v>
      </c>
      <c r="AV7" s="14">
        <f>IF($D7&gt;0,MIN(1,AS7/$D7),0)</f>
        <v>0</v>
      </c>
      <c r="AW7" s="14">
        <f>IF($D7&gt;0,MIN(1,AT7/$D7),0)</f>
        <v>0.0006303769452213362</v>
      </c>
      <c r="AX7" s="14">
        <f>IF($D7&gt;0,MIN(1,AU7/$D7),0)</f>
        <v>0.07089861242858615</v>
      </c>
    </row>
    <row r="8">
      <c r="B8" t="s">
        <v>275</v>
      </c>
      <c r="C8" t="s" s="1">
        <v>233</v>
      </c>
      <c r="D8" s="43">
        <v>54646</v>
      </c>
      <c r="E8" s="43">
        <v>20788</v>
      </c>
      <c r="F8" s="44">
        <v>111521</v>
      </c>
      <c r="G8" s="44">
        <v>2787856400</v>
      </c>
      <c r="H8" s="43">
        <v>33219</v>
      </c>
      <c r="I8" s="43">
        <v>1164</v>
      </c>
      <c r="J8" s="43">
        <v>40501</v>
      </c>
      <c r="K8" s="43">
        <v>6238</v>
      </c>
      <c r="L8" s="43">
        <v>922</v>
      </c>
      <c r="M8" s="43">
        <v>2779</v>
      </c>
      <c r="N8" s="43">
        <v>5953</v>
      </c>
      <c r="O8" s="43">
        <v>2937</v>
      </c>
      <c r="P8" s="43">
        <v>11189</v>
      </c>
      <c r="Q8" s="43">
        <v>5032</v>
      </c>
      <c r="R8" s="43">
        <v>811</v>
      </c>
      <c r="S8" s="43">
        <v>767</v>
      </c>
      <c r="T8" s="43">
        <v>31558</v>
      </c>
      <c r="U8" s="43">
        <v>20358</v>
      </c>
      <c r="V8" s="43">
        <v>2747</v>
      </c>
      <c r="W8" s="43">
        <v>416</v>
      </c>
      <c r="X8" s="43">
        <v>7279</v>
      </c>
      <c r="Y8" s="43">
        <v>24279</v>
      </c>
      <c r="Z8" s="43">
        <v>497</v>
      </c>
      <c r="AA8" s="43">
        <v>1194</v>
      </c>
      <c r="AB8" s="43">
        <v>2069</v>
      </c>
      <c r="AC8" s="43">
        <v>3782</v>
      </c>
      <c r="AD8" s="43">
        <v>5185</v>
      </c>
      <c r="AE8" s="43">
        <v>2161</v>
      </c>
      <c r="AF8" s="43">
        <v>4677</v>
      </c>
      <c r="AG8" s="43">
        <v>1115</v>
      </c>
      <c r="AH8" s="43">
        <v>1422</v>
      </c>
      <c r="AI8" s="43">
        <v>1471</v>
      </c>
      <c r="AJ8" s="43">
        <v>591</v>
      </c>
      <c r="AK8" s="43">
        <v>115</v>
      </c>
      <c r="AL8" s="44">
        <v>381100</v>
      </c>
      <c r="AM8" s="44">
        <v>1668</v>
      </c>
      <c r="AN8" s="43">
        <v>14002</v>
      </c>
      <c r="AO8" s="43">
        <v>6786</v>
      </c>
      <c r="AP8" s="52">
        <f>SUM(K8:S8)</f>
        <v>36628</v>
      </c>
      <c r="AQ8" s="52">
        <f>SUM(P8:S8)</f>
        <v>17799</v>
      </c>
      <c r="AR8" s="52">
        <f>SUMPRODUCT(Z8:AK8,$Z$4:$AK$4)</f>
        <v>654379</v>
      </c>
      <c r="AS8" s="11">
        <f>SUMIFS('BG Data'!$Z$6:$Z$161,'BG Data'!$D$6:$D$161,$C8)</f>
        <v>0</v>
      </c>
      <c r="AT8" s="11">
        <f>SUMIFS('BG Data'!$AA$6:$AA$161,'BG Data'!$D$6:$D$161,$C8)</f>
        <v>1822.1302359882516</v>
      </c>
      <c r="AU8" s="11">
        <f>SUMIFS('BG Data'!$AB$6:$AB$161,'BG Data'!$D$6:$D$161,$C8)</f>
        <v>25921.726745238244</v>
      </c>
      <c r="AV8" s="14">
        <f>IF($D8&gt;0,MIN(1,AS8/$D8),0)</f>
        <v>0</v>
      </c>
      <c r="AW8" s="14">
        <f>IF($D8&gt;0,MIN(1,AT8/$D8),0)</f>
        <v>0.03334425641379518</v>
      </c>
      <c r="AX8" s="14">
        <f>IF($D8&gt;0,MIN(1,AU8/$D8),0)</f>
        <v>0.4743572584496257</v>
      </c>
    </row>
    <row r="9">
      <c r="B9" t="s">
        <v>276</v>
      </c>
      <c r="C9" t="s" s="1">
        <v>240</v>
      </c>
      <c r="D9" s="43">
        <v>33326</v>
      </c>
      <c r="E9" s="43">
        <v>13516</v>
      </c>
      <c r="F9" s="44">
        <v>107317</v>
      </c>
      <c r="G9" s="44">
        <v>1986112600</v>
      </c>
      <c r="H9" s="43">
        <v>20797</v>
      </c>
      <c r="I9" s="43">
        <v>880</v>
      </c>
      <c r="J9" s="43">
        <v>24326</v>
      </c>
      <c r="K9" s="43">
        <v>2255</v>
      </c>
      <c r="L9" s="43">
        <v>302</v>
      </c>
      <c r="M9" s="43">
        <v>1173</v>
      </c>
      <c r="N9" s="43">
        <v>3085</v>
      </c>
      <c r="O9" s="43">
        <v>1682</v>
      </c>
      <c r="P9" s="43">
        <v>9217</v>
      </c>
      <c r="Q9" s="43">
        <v>3960</v>
      </c>
      <c r="R9" s="43">
        <v>930</v>
      </c>
      <c r="S9" s="43">
        <v>513</v>
      </c>
      <c r="T9" s="43">
        <v>19779</v>
      </c>
      <c r="U9" s="43">
        <v>11851</v>
      </c>
      <c r="V9" s="43">
        <v>1656</v>
      </c>
      <c r="W9" s="43">
        <v>15</v>
      </c>
      <c r="X9" s="43">
        <v>5585</v>
      </c>
      <c r="Y9" s="43">
        <v>14194</v>
      </c>
      <c r="Z9" s="43">
        <v>538</v>
      </c>
      <c r="AA9" s="43">
        <v>713</v>
      </c>
      <c r="AB9" s="43">
        <v>1273</v>
      </c>
      <c r="AC9" s="43">
        <v>2458</v>
      </c>
      <c r="AD9" s="43">
        <v>1914</v>
      </c>
      <c r="AE9" s="43">
        <v>1718</v>
      </c>
      <c r="AF9" s="43">
        <v>2818</v>
      </c>
      <c r="AG9" s="43">
        <v>483</v>
      </c>
      <c r="AH9" s="43">
        <v>456</v>
      </c>
      <c r="AI9" s="43">
        <v>1293</v>
      </c>
      <c r="AJ9" s="43">
        <v>376</v>
      </c>
      <c r="AK9" s="43">
        <v>154</v>
      </c>
      <c r="AL9" s="44">
        <v>484800</v>
      </c>
      <c r="AM9" s="44">
        <v>1854</v>
      </c>
      <c r="AN9" s="43">
        <v>6984</v>
      </c>
      <c r="AO9" s="43">
        <v>6532</v>
      </c>
      <c r="AP9" s="52">
        <f>SUM(K9:S9)</f>
        <v>23117</v>
      </c>
      <c r="AQ9" s="52">
        <f>SUM(P9:S9)</f>
        <v>14620</v>
      </c>
      <c r="AR9" s="52">
        <f>SUMPRODUCT(Z9:AK9,$Z$4:$AK$4)</f>
        <v>390509</v>
      </c>
      <c r="AS9" s="11">
        <f>SUMIFS('BG Data'!$Z$6:$Z$161,'BG Data'!$D$6:$D$161,$C9)</f>
        <v>0</v>
      </c>
      <c r="AT9" s="11">
        <f>SUMIFS('BG Data'!$AA$6:$AA$161,'BG Data'!$D$6:$D$161,$C9)</f>
        <v>6375.242929717375</v>
      </c>
      <c r="AU9" s="11">
        <f>SUMIFS('BG Data'!$AB$6:$AB$161,'BG Data'!$D$6:$D$161,$C9)</f>
        <v>13380.280756931865</v>
      </c>
      <c r="AV9" s="14">
        <f>IF($D9&gt;0,MIN(1,AS9/$D9),0)</f>
        <v>0</v>
      </c>
      <c r="AW9" s="14">
        <f>IF($D9&gt;0,MIN(1,AT9/$D9),0)</f>
        <v>0.19129937375374706</v>
      </c>
      <c r="AX9" s="14">
        <f>IF($D9&gt;0,MIN(1,AU9/$D9),0)</f>
        <v>0.40149675199339446</v>
      </c>
    </row>
    <row r="10">
      <c r="B10" t="s">
        <v>277</v>
      </c>
      <c r="C10" t="s" s="1">
        <v>234</v>
      </c>
      <c r="D10" s="43">
        <v>44917</v>
      </c>
      <c r="E10" s="43">
        <v>16954</v>
      </c>
      <c r="F10" s="44">
        <v>141923</v>
      </c>
      <c r="G10" s="44">
        <v>3213952000</v>
      </c>
      <c r="H10" s="43">
        <v>25609</v>
      </c>
      <c r="I10" s="43">
        <v>660</v>
      </c>
      <c r="J10" s="43">
        <v>30495</v>
      </c>
      <c r="K10" s="43">
        <v>2349</v>
      </c>
      <c r="L10" s="43">
        <v>629</v>
      </c>
      <c r="M10" s="43">
        <v>1183</v>
      </c>
      <c r="N10" s="43">
        <v>2788</v>
      </c>
      <c r="O10" s="43">
        <v>1599</v>
      </c>
      <c r="P10" s="43">
        <v>11738</v>
      </c>
      <c r="Q10" s="43">
        <v>7151</v>
      </c>
      <c r="R10" s="43">
        <v>1476</v>
      </c>
      <c r="S10" s="43">
        <v>842</v>
      </c>
      <c r="T10" s="43">
        <v>24516</v>
      </c>
      <c r="U10" s="43">
        <v>15201</v>
      </c>
      <c r="V10" s="43">
        <v>1289</v>
      </c>
      <c r="W10" s="43">
        <v>24</v>
      </c>
      <c r="X10" s="43">
        <v>7344</v>
      </c>
      <c r="Y10" s="43">
        <v>17172</v>
      </c>
      <c r="Z10" s="43">
        <v>770</v>
      </c>
      <c r="AA10" s="43">
        <v>1567</v>
      </c>
      <c r="AB10" s="43">
        <v>1892</v>
      </c>
      <c r="AC10" s="43">
        <v>2315</v>
      </c>
      <c r="AD10" s="43">
        <v>3507</v>
      </c>
      <c r="AE10" s="43">
        <v>1754</v>
      </c>
      <c r="AF10" s="43">
        <v>2720</v>
      </c>
      <c r="AG10" s="43">
        <v>448</v>
      </c>
      <c r="AH10" s="43">
        <v>682</v>
      </c>
      <c r="AI10" s="43">
        <v>1050</v>
      </c>
      <c r="AJ10" s="43">
        <v>232</v>
      </c>
      <c r="AK10" s="43">
        <v>235</v>
      </c>
      <c r="AL10" s="44">
        <v>559500</v>
      </c>
      <c r="AM10" s="44">
        <v>1977</v>
      </c>
      <c r="AN10" s="43">
        <v>10736</v>
      </c>
      <c r="AO10" s="43">
        <v>6218</v>
      </c>
      <c r="AP10" s="52">
        <f>SUM(K10:S10)</f>
        <v>29755</v>
      </c>
      <c r="AQ10" s="52">
        <f>SUM(P10:S10)</f>
        <v>21207</v>
      </c>
      <c r="AR10" s="52">
        <f>SUMPRODUCT(Z10:AK10,$Z$4:$AK$4)</f>
        <v>428284</v>
      </c>
      <c r="AS10" s="11">
        <f>SUMIFS('BG Data'!$Z$6:$Z$161,'BG Data'!$D$6:$D$161,$C10)</f>
        <v>0</v>
      </c>
      <c r="AT10" s="11">
        <f>SUMIFS('BG Data'!$AA$6:$AA$161,'BG Data'!$D$6:$D$161,$C10)</f>
        <v>20014.797106508347</v>
      </c>
      <c r="AU10" s="11">
        <f>SUMIFS('BG Data'!$AB$6:$AB$161,'BG Data'!$D$6:$D$161,$C10)</f>
        <v>42992.39385969403</v>
      </c>
      <c r="AV10" s="14">
        <f>IF($D10&gt;0,MIN(1,AS10/$D10),0)</f>
        <v>0</v>
      </c>
      <c r="AW10" s="14">
        <f>IF($D10&gt;0,MIN(1,AT10/$D10),0)</f>
        <v>0.4455951445223044</v>
      </c>
      <c r="AX10" s="14">
        <f>IF($D10&gt;0,MIN(1,AU10/$D10),0)</f>
        <v>0.9571519438006552</v>
      </c>
    </row>
    <row r="11">
      <c r="B11" t="s">
        <v>278</v>
      </c>
      <c r="C11" t="s" s="1">
        <v>243</v>
      </c>
      <c r="D11" s="43">
        <v>26090</v>
      </c>
      <c r="E11" s="43">
        <v>9046</v>
      </c>
      <c r="F11" s="44">
        <v>177357</v>
      </c>
      <c r="G11" s="44">
        <v>2142644100</v>
      </c>
      <c r="H11" s="43">
        <v>13452</v>
      </c>
      <c r="I11" s="43">
        <v>324</v>
      </c>
      <c r="J11" s="43">
        <v>17289</v>
      </c>
      <c r="K11" s="43">
        <v>1586</v>
      </c>
      <c r="L11" s="43">
        <v>236</v>
      </c>
      <c r="M11" s="43">
        <v>615</v>
      </c>
      <c r="N11" s="43">
        <v>1436</v>
      </c>
      <c r="O11" s="43">
        <v>935</v>
      </c>
      <c r="P11" s="43">
        <v>7465</v>
      </c>
      <c r="Q11" s="43">
        <v>3487</v>
      </c>
      <c r="R11" s="43">
        <v>587</v>
      </c>
      <c r="S11" s="43">
        <v>407</v>
      </c>
      <c r="T11" s="43">
        <v>13051</v>
      </c>
      <c r="U11" s="43">
        <v>7851</v>
      </c>
      <c r="V11" s="43">
        <v>557</v>
      </c>
      <c r="W11" s="43">
        <v>58</v>
      </c>
      <c r="X11" s="43">
        <v>4284</v>
      </c>
      <c r="Y11" s="43">
        <v>8767</v>
      </c>
      <c r="Z11" s="43">
        <v>201</v>
      </c>
      <c r="AA11" s="43">
        <v>548</v>
      </c>
      <c r="AB11" s="43">
        <v>1096</v>
      </c>
      <c r="AC11" s="43">
        <v>1006</v>
      </c>
      <c r="AD11" s="43">
        <v>1258</v>
      </c>
      <c r="AE11" s="43">
        <v>687</v>
      </c>
      <c r="AF11" s="43">
        <v>1605</v>
      </c>
      <c r="AG11" s="43">
        <v>539</v>
      </c>
      <c r="AH11" s="43">
        <v>688</v>
      </c>
      <c r="AI11" s="43">
        <v>759</v>
      </c>
      <c r="AJ11" s="43">
        <v>257</v>
      </c>
      <c r="AK11" s="43">
        <v>123</v>
      </c>
      <c r="AL11" s="44">
        <v>657400</v>
      </c>
      <c r="AM11" s="44">
        <v>2123</v>
      </c>
      <c r="AN11" s="43">
        <v>7662</v>
      </c>
      <c r="AO11" s="43">
        <v>1384</v>
      </c>
      <c r="AP11" s="52">
        <f>SUM(K11:S11)</f>
        <v>16754</v>
      </c>
      <c r="AQ11" s="52">
        <f>SUM(P11:S11)</f>
        <v>11946</v>
      </c>
      <c r="AR11" s="52">
        <f>SUMPRODUCT(Z11:AK11,$Z$4:$AK$4)</f>
        <v>252546</v>
      </c>
      <c r="AS11" s="11">
        <f>SUMIFS('BG Data'!$Z$6:$Z$161,'BG Data'!$D$6:$D$161,$C11)</f>
        <v>0</v>
      </c>
      <c r="AT11" s="11">
        <f>SUMIFS('BG Data'!$AA$6:$AA$161,'BG Data'!$D$6:$D$161,$C11)</f>
        <v>0</v>
      </c>
      <c r="AU11" s="11">
        <f>SUMIFS('BG Data'!$AB$6:$AB$161,'BG Data'!$D$6:$D$161,$C11)</f>
        <v>3327.527045479478</v>
      </c>
      <c r="AV11" s="14">
        <f>IF($D11&gt;0,MIN(1,AS11/$D11),0)</f>
        <v>0</v>
      </c>
      <c r="AW11" s="14">
        <f>IF($D11&gt;0,MIN(1,AT11/$D11),0)</f>
        <v>0</v>
      </c>
      <c r="AX11" s="14">
        <f>IF($D11&gt;0,MIN(1,AU11/$D11),0)</f>
        <v>0.12754032370561433</v>
      </c>
    </row>
    <row r="12">
      <c r="B12" t="s">
        <v>279</v>
      </c>
      <c r="C12" t="s" s="1">
        <v>242</v>
      </c>
      <c r="D12" s="43">
        <v>49094</v>
      </c>
      <c r="E12" s="43">
        <v>18107</v>
      </c>
      <c r="F12" s="44">
        <v>149436</v>
      </c>
      <c r="G12" s="44">
        <v>3296481300</v>
      </c>
      <c r="H12" s="43">
        <v>27826</v>
      </c>
      <c r="I12" s="43">
        <v>1031</v>
      </c>
      <c r="J12" s="43">
        <v>34479</v>
      </c>
      <c r="K12" s="43">
        <v>3453</v>
      </c>
      <c r="L12" s="43">
        <v>376</v>
      </c>
      <c r="M12" s="43">
        <v>2016</v>
      </c>
      <c r="N12" s="43">
        <v>3669</v>
      </c>
      <c r="O12" s="43">
        <v>2296</v>
      </c>
      <c r="P12" s="43">
        <v>14442</v>
      </c>
      <c r="Q12" s="43">
        <v>5805</v>
      </c>
      <c r="R12" s="43">
        <v>958</v>
      </c>
      <c r="S12" s="43">
        <v>642</v>
      </c>
      <c r="T12" s="43">
        <v>26537</v>
      </c>
      <c r="U12" s="43">
        <v>17557</v>
      </c>
      <c r="V12" s="43">
        <v>1192</v>
      </c>
      <c r="W12" s="43">
        <v>0</v>
      </c>
      <c r="X12" s="43">
        <v>7215</v>
      </c>
      <c r="Y12" s="43">
        <v>19322</v>
      </c>
      <c r="Z12" s="43">
        <v>753</v>
      </c>
      <c r="AA12" s="43">
        <v>1839</v>
      </c>
      <c r="AB12" s="43">
        <v>2040</v>
      </c>
      <c r="AC12" s="43">
        <v>2044</v>
      </c>
      <c r="AD12" s="43">
        <v>2451</v>
      </c>
      <c r="AE12" s="43">
        <v>2139</v>
      </c>
      <c r="AF12" s="43">
        <v>3454</v>
      </c>
      <c r="AG12" s="43">
        <v>1060</v>
      </c>
      <c r="AH12" s="43">
        <v>1065</v>
      </c>
      <c r="AI12" s="43">
        <v>1783</v>
      </c>
      <c r="AJ12" s="43">
        <v>610</v>
      </c>
      <c r="AK12" s="43">
        <v>84</v>
      </c>
      <c r="AL12" s="44">
        <v>488700</v>
      </c>
      <c r="AM12" s="44">
        <v>2271</v>
      </c>
      <c r="AN12" s="43">
        <v>14534</v>
      </c>
      <c r="AO12" s="43">
        <v>3573</v>
      </c>
      <c r="AP12" s="52">
        <f>SUM(K12:S12)</f>
        <v>33657</v>
      </c>
      <c r="AQ12" s="52">
        <f>SUM(P12:S12)</f>
        <v>21847</v>
      </c>
      <c r="AR12" s="52">
        <f>SUMPRODUCT(Z12:AK12,$Z$4:$AK$4)</f>
        <v>527117.5</v>
      </c>
      <c r="AS12" s="11">
        <f>SUMIFS('BG Data'!$Z$6:$Z$161,'BG Data'!$D$6:$D$161,$C12)</f>
        <v>0</v>
      </c>
      <c r="AT12" s="11">
        <f>SUMIFS('BG Data'!$AA$6:$AA$161,'BG Data'!$D$6:$D$161,$C12)</f>
        <v>807.5899938418606</v>
      </c>
      <c r="AU12" s="11">
        <f>SUMIFS('BG Data'!$AB$6:$AB$161,'BG Data'!$D$6:$D$161,$C12)</f>
        <v>22904.037861198954</v>
      </c>
      <c r="AV12" s="14">
        <f>IF($D12&gt;0,MIN(1,AS12/$D12),0)</f>
        <v>0</v>
      </c>
      <c r="AW12" s="14">
        <f>IF($D12&gt;0,MIN(1,AT12/$D12),0)</f>
        <v>0.016449871549310723</v>
      </c>
      <c r="AX12" s="14">
        <f>IF($D12&gt;0,MIN(1,AU12/$D12),0)</f>
        <v>0.4665343598239898</v>
      </c>
    </row>
    <row r="13">
      <c r="B13" t="s">
        <v>280</v>
      </c>
      <c r="C13" t="s" s="1">
        <v>239</v>
      </c>
      <c r="D13" s="43">
        <v>69628</v>
      </c>
      <c r="E13" s="43">
        <v>28020</v>
      </c>
      <c r="F13" s="44">
        <v>119682</v>
      </c>
      <c r="G13" s="44">
        <v>4284490800</v>
      </c>
      <c r="H13" s="43">
        <v>43928</v>
      </c>
      <c r="I13" s="43">
        <v>1909</v>
      </c>
      <c r="J13" s="43">
        <v>50375</v>
      </c>
      <c r="K13" s="43">
        <v>6700</v>
      </c>
      <c r="L13" s="43">
        <v>842</v>
      </c>
      <c r="M13" s="43">
        <v>3769</v>
      </c>
      <c r="N13" s="43">
        <v>5433</v>
      </c>
      <c r="O13" s="43">
        <v>4289</v>
      </c>
      <c r="P13" s="43">
        <v>18411</v>
      </c>
      <c r="Q13" s="43">
        <v>6402</v>
      </c>
      <c r="R13" s="43">
        <v>1501</v>
      </c>
      <c r="S13" s="43">
        <v>816</v>
      </c>
      <c r="T13" s="43">
        <v>41205</v>
      </c>
      <c r="U13" s="43">
        <v>27200</v>
      </c>
      <c r="V13" s="43">
        <v>2360</v>
      </c>
      <c r="W13" s="43">
        <v>42</v>
      </c>
      <c r="X13" s="43">
        <v>10635</v>
      </c>
      <c r="Y13" s="43">
        <v>30570</v>
      </c>
      <c r="Z13" s="43">
        <v>511</v>
      </c>
      <c r="AA13" s="43">
        <v>1546</v>
      </c>
      <c r="AB13" s="43">
        <v>3006</v>
      </c>
      <c r="AC13" s="43">
        <v>4635</v>
      </c>
      <c r="AD13" s="43">
        <v>4787</v>
      </c>
      <c r="AE13" s="43">
        <v>3330</v>
      </c>
      <c r="AF13" s="43">
        <v>5674</v>
      </c>
      <c r="AG13" s="43">
        <v>1396</v>
      </c>
      <c r="AH13" s="43">
        <v>1489</v>
      </c>
      <c r="AI13" s="43">
        <v>2843</v>
      </c>
      <c r="AJ13" s="43">
        <v>955</v>
      </c>
      <c r="AK13" s="43">
        <v>398</v>
      </c>
      <c r="AL13" s="44">
        <v>458200</v>
      </c>
      <c r="AM13" s="44">
        <v>1902</v>
      </c>
      <c r="AN13" s="43">
        <v>16633</v>
      </c>
      <c r="AO13" s="43">
        <v>11387</v>
      </c>
      <c r="AP13" s="52">
        <f>SUM(K13:S13)</f>
        <v>48163</v>
      </c>
      <c r="AQ13" s="52">
        <f>SUM(P13:S13)</f>
        <v>27130</v>
      </c>
      <c r="AR13" s="52">
        <f>SUMPRODUCT(Z13:AK13,$Z$4:$AK$4)</f>
        <v>878722</v>
      </c>
      <c r="AS13" s="11">
        <f>SUMIFS('BG Data'!$Z$6:$Z$161,'BG Data'!$D$6:$D$161,$C13)</f>
        <v>0</v>
      </c>
      <c r="AT13" s="11">
        <f>SUMIFS('BG Data'!$AA$6:$AA$161,'BG Data'!$D$6:$D$161,$C13)</f>
        <v>471.9144048975232</v>
      </c>
      <c r="AU13" s="11">
        <f>SUMIFS('BG Data'!$AB$6:$AB$161,'BG Data'!$D$6:$D$161,$C13)</f>
        <v>11034.451746504274</v>
      </c>
      <c r="AV13" s="14">
        <f>IF($D13&gt;0,MIN(1,AS13/$D13),0)</f>
        <v>0</v>
      </c>
      <c r="AW13" s="14">
        <f>IF($D13&gt;0,MIN(1,AT13/$D13),0)</f>
        <v>0.006777652738805124</v>
      </c>
      <c r="AX13" s="14">
        <f>IF($D13&gt;0,MIN(1,AU13/$D13),0)</f>
        <v>0.15847721816660357</v>
      </c>
    </row>
    <row r="14">
      <c r="B14" t="s">
        <v>281</v>
      </c>
      <c r="C14" t="s" s="1">
        <v>237</v>
      </c>
      <c r="D14" s="43">
        <v>17958</v>
      </c>
      <c r="E14" s="43">
        <v>7060</v>
      </c>
      <c r="F14" s="44">
        <v>82803</v>
      </c>
      <c r="G14" s="44">
        <v>652435800</v>
      </c>
      <c r="H14" s="43">
        <v>10516</v>
      </c>
      <c r="I14" s="43">
        <v>429</v>
      </c>
      <c r="J14" s="43">
        <v>11807</v>
      </c>
      <c r="K14" s="43">
        <v>2576</v>
      </c>
      <c r="L14" s="43">
        <v>428</v>
      </c>
      <c r="M14" s="43">
        <v>1374</v>
      </c>
      <c r="N14" s="43">
        <v>1145</v>
      </c>
      <c r="O14" s="43">
        <v>982</v>
      </c>
      <c r="P14" s="43">
        <v>2539</v>
      </c>
      <c r="Q14" s="43">
        <v>915</v>
      </c>
      <c r="R14" s="43">
        <v>68</v>
      </c>
      <c r="S14" s="43">
        <v>79</v>
      </c>
      <c r="T14" s="43">
        <v>9867</v>
      </c>
      <c r="U14" s="43">
        <v>7374</v>
      </c>
      <c r="V14" s="43">
        <v>959</v>
      </c>
      <c r="W14" s="43">
        <v>106</v>
      </c>
      <c r="X14" s="43">
        <v>1079</v>
      </c>
      <c r="Y14" s="43">
        <v>8788</v>
      </c>
      <c r="Z14" s="43">
        <v>88</v>
      </c>
      <c r="AA14" s="43">
        <v>1234</v>
      </c>
      <c r="AB14" s="43">
        <v>1034</v>
      </c>
      <c r="AC14" s="43">
        <v>1484</v>
      </c>
      <c r="AD14" s="43">
        <v>1188</v>
      </c>
      <c r="AE14" s="43">
        <v>632</v>
      </c>
      <c r="AF14" s="43">
        <v>1494</v>
      </c>
      <c r="AG14" s="43">
        <v>225</v>
      </c>
      <c r="AH14" s="43">
        <v>304</v>
      </c>
      <c r="AI14" s="43">
        <v>425</v>
      </c>
      <c r="AJ14" s="43">
        <v>510</v>
      </c>
      <c r="AK14" s="43">
        <v>170</v>
      </c>
      <c r="AL14" s="44">
        <v>238400</v>
      </c>
      <c r="AM14" s="44">
        <v>1735</v>
      </c>
      <c r="AN14" s="43">
        <v>2517</v>
      </c>
      <c r="AO14" s="43">
        <v>4543</v>
      </c>
      <c r="AP14" s="52">
        <f>SUM(K14:S14)</f>
        <v>10106</v>
      </c>
      <c r="AQ14" s="52">
        <f>SUM(P14:S14)</f>
        <v>3601</v>
      </c>
      <c r="AR14" s="52">
        <f>SUMPRODUCT(Z14:AK14,$Z$4:$AK$4)</f>
        <v>236540</v>
      </c>
      <c r="AS14" s="11">
        <f>SUMIFS('BG Data'!$Z$6:$Z$161,'BG Data'!$D$6:$D$161,$C14)</f>
        <v>990.2929950187944</v>
      </c>
      <c r="AT14" s="11">
        <f>SUMIFS('BG Data'!$AA$6:$AA$161,'BG Data'!$D$6:$D$161,$C14)</f>
        <v>11700.418541866642</v>
      </c>
      <c r="AU14" s="11">
        <f>SUMIFS('BG Data'!$AB$6:$AB$161,'BG Data'!$D$6:$D$161,$C14)</f>
        <v>16359.190920254128</v>
      </c>
      <c r="AV14" s="14">
        <f>IF($D14&gt;0,MIN(1,AS14/$D14),0)</f>
        <v>0.05514494904882472</v>
      </c>
      <c r="AW14" s="14">
        <f>IF($D14&gt;0,MIN(1,AT14/$D14),0)</f>
        <v>0.6515435205405191</v>
      </c>
      <c r="AX14" s="14">
        <f>IF($D14&gt;0,MIN(1,AU14/$D14),0)</f>
        <v>0.9109695355971783</v>
      </c>
    </row>
    <row r="15">
      <c r="B15" t="s">
        <v>282</v>
      </c>
      <c r="C15" t="s" s="1">
        <v>235</v>
      </c>
      <c r="D15" s="43">
        <v>45849</v>
      </c>
      <c r="E15" s="43">
        <v>17708</v>
      </c>
      <c r="F15" s="44">
        <v>117133</v>
      </c>
      <c r="G15" s="44">
        <v>2661993900</v>
      </c>
      <c r="H15" s="43">
        <v>24826</v>
      </c>
      <c r="I15" s="43">
        <v>1145</v>
      </c>
      <c r="J15" s="43">
        <v>30588</v>
      </c>
      <c r="K15" s="43">
        <v>2006</v>
      </c>
      <c r="L15" s="43">
        <v>141</v>
      </c>
      <c r="M15" s="43">
        <v>856</v>
      </c>
      <c r="N15" s="43">
        <v>2414</v>
      </c>
      <c r="O15" s="43">
        <v>1167</v>
      </c>
      <c r="P15" s="43">
        <v>11837</v>
      </c>
      <c r="Q15" s="43">
        <v>9527</v>
      </c>
      <c r="R15" s="43">
        <v>1094</v>
      </c>
      <c r="S15" s="43">
        <v>504</v>
      </c>
      <c r="T15" s="43">
        <v>23314</v>
      </c>
      <c r="U15" s="43">
        <v>12813</v>
      </c>
      <c r="V15" s="43">
        <v>1834</v>
      </c>
      <c r="W15" s="43">
        <v>70</v>
      </c>
      <c r="X15" s="43">
        <v>8135</v>
      </c>
      <c r="Y15" s="43">
        <v>15179</v>
      </c>
      <c r="Z15" s="43">
        <v>70</v>
      </c>
      <c r="AA15" s="43">
        <v>923</v>
      </c>
      <c r="AB15" s="43">
        <v>2345</v>
      </c>
      <c r="AC15" s="43">
        <v>2876</v>
      </c>
      <c r="AD15" s="43">
        <v>2865</v>
      </c>
      <c r="AE15" s="43">
        <v>1478</v>
      </c>
      <c r="AF15" s="43">
        <v>2528</v>
      </c>
      <c r="AG15" s="43">
        <v>314</v>
      </c>
      <c r="AH15" s="43">
        <v>499</v>
      </c>
      <c r="AI15" s="43">
        <v>1007</v>
      </c>
      <c r="AJ15" s="43">
        <v>178</v>
      </c>
      <c r="AK15" s="43">
        <v>96</v>
      </c>
      <c r="AL15" s="44">
        <v>559900</v>
      </c>
      <c r="AM15" s="44">
        <v>1785</v>
      </c>
      <c r="AN15" s="43">
        <v>6675</v>
      </c>
      <c r="AO15" s="43">
        <v>11033</v>
      </c>
      <c r="AP15" s="52">
        <f>SUM(K15:S15)</f>
        <v>29546</v>
      </c>
      <c r="AQ15" s="52">
        <f>SUM(P15:S15)</f>
        <v>22962</v>
      </c>
      <c r="AR15" s="52">
        <f>SUMPRODUCT(Z15:AK15,$Z$4:$AK$4)</f>
        <v>375781</v>
      </c>
      <c r="AS15" s="11">
        <f>SUMIFS('BG Data'!$Z$6:$Z$161,'BG Data'!$D$6:$D$161,$C15)</f>
        <v>0</v>
      </c>
      <c r="AT15" s="11">
        <f>SUMIFS('BG Data'!$AA$6:$AA$161,'BG Data'!$D$6:$D$161,$C15)</f>
        <v>0</v>
      </c>
      <c r="AU15" s="11">
        <f>SUMIFS('BG Data'!$AB$6:$AB$161,'BG Data'!$D$6:$D$161,$C15)</f>
        <v>10372.44932504832</v>
      </c>
      <c r="AV15" s="14">
        <f>IF($D15&gt;0,MIN(1,AS15/$D15),0)</f>
        <v>0</v>
      </c>
      <c r="AW15" s="14">
        <f>IF($D15&gt;0,MIN(1,AT15/$D15),0)</f>
        <v>0</v>
      </c>
      <c r="AX15" s="14">
        <f>IF($D15&gt;0,MIN(1,AU15/$D15),0)</f>
        <v>0.2262306555224393</v>
      </c>
    </row>
    <row r="16">
      <c r="B16" t="s">
        <v>283</v>
      </c>
      <c r="C16" t="s" s="1">
        <v>236</v>
      </c>
      <c r="D16" s="43">
        <v>13657</v>
      </c>
      <c r="E16" s="43">
        <v>5158</v>
      </c>
      <c r="F16" s="44">
        <v>102597</v>
      </c>
      <c r="G16" s="44">
        <v>655177800</v>
      </c>
      <c r="H16" s="43">
        <v>8234</v>
      </c>
      <c r="I16" s="43">
        <v>166</v>
      </c>
      <c r="J16" s="43">
        <v>9489</v>
      </c>
      <c r="K16" s="43">
        <v>1341</v>
      </c>
      <c r="L16" s="43">
        <v>631</v>
      </c>
      <c r="M16" s="43">
        <v>793</v>
      </c>
      <c r="N16" s="43">
        <v>1389</v>
      </c>
      <c r="O16" s="43">
        <v>671</v>
      </c>
      <c r="P16" s="43">
        <v>2701</v>
      </c>
      <c r="Q16" s="43">
        <v>801</v>
      </c>
      <c r="R16" s="43">
        <v>64</v>
      </c>
      <c r="S16" s="43">
        <v>98</v>
      </c>
      <c r="T16" s="43">
        <v>7673</v>
      </c>
      <c r="U16" s="43">
        <v>5724</v>
      </c>
      <c r="V16" s="43">
        <v>257</v>
      </c>
      <c r="W16" s="43">
        <v>30</v>
      </c>
      <c r="X16" s="43">
        <v>1286</v>
      </c>
      <c r="Y16" s="43">
        <v>6387</v>
      </c>
      <c r="Z16" s="43">
        <v>51</v>
      </c>
      <c r="AA16" s="43">
        <v>193</v>
      </c>
      <c r="AB16" s="43">
        <v>525</v>
      </c>
      <c r="AC16" s="43">
        <v>845</v>
      </c>
      <c r="AD16" s="43">
        <v>1422</v>
      </c>
      <c r="AE16" s="43">
        <v>369</v>
      </c>
      <c r="AF16" s="43">
        <v>1057</v>
      </c>
      <c r="AG16" s="43">
        <v>527</v>
      </c>
      <c r="AH16" s="43">
        <v>235</v>
      </c>
      <c r="AI16" s="43">
        <v>913</v>
      </c>
      <c r="AJ16" s="43">
        <v>174</v>
      </c>
      <c r="AK16" s="43">
        <v>76</v>
      </c>
      <c r="AL16" s="44">
        <v>334400</v>
      </c>
      <c r="AM16" s="44">
        <v>1665</v>
      </c>
      <c r="AN16" s="43">
        <v>3807</v>
      </c>
      <c r="AO16" s="43">
        <v>1351</v>
      </c>
      <c r="AP16" s="52">
        <f>SUM(K16:S16)</f>
        <v>8489</v>
      </c>
      <c r="AQ16" s="52">
        <f>SUM(P16:S16)</f>
        <v>3664</v>
      </c>
      <c r="AR16" s="52">
        <f>SUMPRODUCT(Z16:AK16,$Z$4:$AK$4)</f>
        <v>195002.5</v>
      </c>
      <c r="AS16" s="11">
        <f>SUMIFS('BG Data'!$Z$6:$Z$161,'BG Data'!$D$6:$D$161,$C16)</f>
        <v>0</v>
      </c>
      <c r="AT16" s="11">
        <f>SUMIFS('BG Data'!$AA$6:$AA$161,'BG Data'!$D$6:$D$161,$C16)</f>
        <v>0</v>
      </c>
      <c r="AU16" s="11">
        <f>SUMIFS('BG Data'!$AB$6:$AB$161,'BG Data'!$D$6:$D$161,$C16)</f>
        <v>0</v>
      </c>
      <c r="AV16" s="14">
        <f>IF($D16&gt;0,MIN(1,AS16/$D16),0)</f>
        <v>0</v>
      </c>
      <c r="AW16" s="14">
        <f>IF($D16&gt;0,MIN(1,AT16/$D16),0)</f>
        <v>0</v>
      </c>
      <c r="AX16" s="14">
        <f>IF($D16&gt;0,MIN(1,AU16/$D16),0)</f>
        <v>0</v>
      </c>
    </row>
    <row r="17">
      <c r="B17" t="s">
        <v>284</v>
      </c>
      <c r="C17" t="s" s="1">
        <v>241</v>
      </c>
      <c r="D17" s="43">
        <v>66913</v>
      </c>
      <c r="E17" s="43">
        <v>27473</v>
      </c>
      <c r="F17" s="44">
        <v>78752</v>
      </c>
      <c r="G17" s="44">
        <v>2705253800</v>
      </c>
      <c r="H17" s="43">
        <v>41331</v>
      </c>
      <c r="I17" s="43">
        <v>1713</v>
      </c>
      <c r="J17" s="43">
        <v>46494</v>
      </c>
      <c r="K17" s="43">
        <v>8940</v>
      </c>
      <c r="L17" s="43">
        <v>2100</v>
      </c>
      <c r="M17" s="43">
        <v>3854</v>
      </c>
      <c r="N17" s="43">
        <v>6629</v>
      </c>
      <c r="O17" s="43">
        <v>3570</v>
      </c>
      <c r="P17" s="43">
        <v>11198</v>
      </c>
      <c r="Q17" s="43">
        <v>3816</v>
      </c>
      <c r="R17" s="43">
        <v>439</v>
      </c>
      <c r="S17" s="43">
        <v>206</v>
      </c>
      <c r="T17" s="43">
        <v>38871</v>
      </c>
      <c r="U17" s="43">
        <v>27124</v>
      </c>
      <c r="V17" s="43">
        <v>3392</v>
      </c>
      <c r="W17" s="43">
        <v>48</v>
      </c>
      <c r="X17" s="43">
        <v>7059</v>
      </c>
      <c r="Y17" s="43">
        <v>31812</v>
      </c>
      <c r="Z17" s="43">
        <v>826</v>
      </c>
      <c r="AA17" s="43">
        <v>2715</v>
      </c>
      <c r="AB17" s="43">
        <v>4003</v>
      </c>
      <c r="AC17" s="43">
        <v>5840</v>
      </c>
      <c r="AD17" s="43">
        <v>5207</v>
      </c>
      <c r="AE17" s="43">
        <v>2341</v>
      </c>
      <c r="AF17" s="43">
        <v>5638</v>
      </c>
      <c r="AG17" s="43">
        <v>1166</v>
      </c>
      <c r="AH17" s="43">
        <v>1272</v>
      </c>
      <c r="AI17" s="43">
        <v>1600</v>
      </c>
      <c r="AJ17" s="43">
        <v>828</v>
      </c>
      <c r="AK17" s="43">
        <v>376</v>
      </c>
      <c r="AL17" s="44">
        <v>343900</v>
      </c>
      <c r="AM17" s="44">
        <v>1573</v>
      </c>
      <c r="AN17" s="43">
        <v>10922</v>
      </c>
      <c r="AO17" s="43">
        <v>16551</v>
      </c>
      <c r="AP17" s="52">
        <f>SUM(K17:S17)</f>
        <v>40752</v>
      </c>
      <c r="AQ17" s="52">
        <f>SUM(P17:S17)</f>
        <v>15659</v>
      </c>
      <c r="AR17" s="52">
        <f>SUMPRODUCT(Z17:AK17,$Z$4:$AK$4)</f>
        <v>807495</v>
      </c>
      <c r="AS17" s="11">
        <f>SUMIFS('BG Data'!$Z$6:$Z$161,'BG Data'!$D$6:$D$161,$C17)</f>
        <v>17671.614425979715</v>
      </c>
      <c r="AT17" s="11">
        <f>SUMIFS('BG Data'!$AA$6:$AA$161,'BG Data'!$D$6:$D$161,$C17)</f>
        <v>55499.543038905744</v>
      </c>
      <c r="AU17" s="11">
        <f>SUMIFS('BG Data'!$AB$6:$AB$161,'BG Data'!$D$6:$D$161,$C17)</f>
        <v>68275</v>
      </c>
      <c r="AV17" s="14">
        <f>IF($D17&gt;0,MIN(1,AS17/$D17),0)</f>
        <v>0.2640983729018235</v>
      </c>
      <c r="AW17" s="14">
        <f>IF($D17&gt;0,MIN(1,AT17/$D17),0)</f>
        <v>0.8294284076174397</v>
      </c>
      <c r="AX17" s="14">
        <f>IF($D17&gt;0,MIN(1,AU17/$D17),0)</f>
        <v>1</v>
      </c>
    </row>
    <row r="18">
      <c r="B18" t="s">
        <v>285</v>
      </c>
      <c r="C18" t="s" s="1">
        <v>238</v>
      </c>
      <c r="D18" s="43">
        <v>42950</v>
      </c>
      <c r="E18" s="43">
        <v>15147</v>
      </c>
      <c r="F18" s="44">
        <v>127211</v>
      </c>
      <c r="G18" s="44">
        <v>2318478200</v>
      </c>
      <c r="H18" s="43">
        <v>23470</v>
      </c>
      <c r="I18" s="43">
        <v>974</v>
      </c>
      <c r="J18" s="43">
        <v>29491</v>
      </c>
      <c r="K18" s="43">
        <v>3750</v>
      </c>
      <c r="L18" s="43">
        <v>711</v>
      </c>
      <c r="M18" s="43">
        <v>2108</v>
      </c>
      <c r="N18" s="43">
        <v>4393</v>
      </c>
      <c r="O18" s="43">
        <v>2794</v>
      </c>
      <c r="P18" s="43">
        <v>10335</v>
      </c>
      <c r="Q18" s="43">
        <v>3703</v>
      </c>
      <c r="R18" s="43">
        <v>347</v>
      </c>
      <c r="S18" s="43">
        <v>345</v>
      </c>
      <c r="T18" s="43">
        <v>22113</v>
      </c>
      <c r="U18" s="43">
        <v>15152</v>
      </c>
      <c r="V18" s="43">
        <v>1396</v>
      </c>
      <c r="W18" s="43">
        <v>67</v>
      </c>
      <c r="X18" s="43">
        <v>5108</v>
      </c>
      <c r="Y18" s="43">
        <v>17005</v>
      </c>
      <c r="Z18" s="43">
        <v>760</v>
      </c>
      <c r="AA18" s="43">
        <v>1225</v>
      </c>
      <c r="AB18" s="43">
        <v>2038</v>
      </c>
      <c r="AC18" s="43">
        <v>2192</v>
      </c>
      <c r="AD18" s="43">
        <v>2274</v>
      </c>
      <c r="AE18" s="43">
        <v>1392</v>
      </c>
      <c r="AF18" s="43">
        <v>3140</v>
      </c>
      <c r="AG18" s="43">
        <v>547</v>
      </c>
      <c r="AH18" s="43">
        <v>926</v>
      </c>
      <c r="AI18" s="43">
        <v>1379</v>
      </c>
      <c r="AJ18" s="43">
        <v>749</v>
      </c>
      <c r="AK18" s="43">
        <v>383</v>
      </c>
      <c r="AL18" s="44">
        <v>464000</v>
      </c>
      <c r="AM18" s="44">
        <v>2098</v>
      </c>
      <c r="AN18" s="43">
        <v>11767</v>
      </c>
      <c r="AO18" s="43">
        <v>3380</v>
      </c>
      <c r="AP18" s="52">
        <f>SUM(K18:S18)</f>
        <v>28486</v>
      </c>
      <c r="AQ18" s="52">
        <f>SUM(P18:S18)</f>
        <v>14730</v>
      </c>
      <c r="AR18" s="52">
        <f>SUMPRODUCT(Z18:AK18,$Z$4:$AK$4)</f>
        <v>487141.5</v>
      </c>
      <c r="AS18" s="11">
        <f>SUMIFS('BG Data'!$Z$6:$Z$161,'BG Data'!$D$6:$D$161,$C18)</f>
        <v>0</v>
      </c>
      <c r="AT18" s="11">
        <f>SUMIFS('BG Data'!$AA$6:$AA$161,'BG Data'!$D$6:$D$161,$C18)</f>
        <v>0</v>
      </c>
      <c r="AU18" s="11">
        <f>SUMIFS('BG Data'!$AB$6:$AB$161,'BG Data'!$D$6:$D$161,$C18)</f>
        <v>11641.870502260781</v>
      </c>
      <c r="AV18" s="14">
        <f>IF($D18&gt;0,MIN(1,AS18/$D18),0)</f>
        <v>0</v>
      </c>
      <c r="AW18" s="14">
        <f>IF($D18&gt;0,MIN(1,AT18/$D18),0)</f>
        <v>0</v>
      </c>
      <c r="AX18" s="14">
        <f>IF($D18&gt;0,MIN(1,AU18/$D18),0)</f>
        <v>0.2710563562808098</v>
      </c>
    </row>
    <row r="19">
      <c r="B19" t="s">
        <v>286</v>
      </c>
      <c r="C19" t="s" s="1">
        <v>245</v>
      </c>
      <c r="D19" s="43">
        <v>0</v>
      </c>
      <c r="E19" s="43">
        <v>0</v>
      </c>
      <c r="F19" s="53"/>
      <c r="G19" s="53"/>
      <c r="H19" s="43">
        <v>0</v>
      </c>
      <c r="I19" s="43">
        <v>0</v>
      </c>
      <c r="J19" s="43">
        <v>0</v>
      </c>
      <c r="K19" s="43">
        <v>0</v>
      </c>
      <c r="L19" s="43">
        <v>0</v>
      </c>
      <c r="M19" s="43">
        <v>0</v>
      </c>
      <c r="N19" s="43">
        <v>0</v>
      </c>
      <c r="O19" s="43">
        <v>0</v>
      </c>
      <c r="P19" s="43">
        <v>0</v>
      </c>
      <c r="Q19" s="43">
        <v>0</v>
      </c>
      <c r="R19" s="43">
        <v>0</v>
      </c>
      <c r="S19" s="43">
        <v>0</v>
      </c>
      <c r="T19" s="43">
        <v>0</v>
      </c>
      <c r="U19" s="43">
        <v>0</v>
      </c>
      <c r="V19" s="43">
        <v>0</v>
      </c>
      <c r="W19" s="43">
        <v>0</v>
      </c>
      <c r="X19" s="43">
        <v>0</v>
      </c>
      <c r="Y19" s="43">
        <v>0</v>
      </c>
      <c r="Z19" s="43">
        <v>0</v>
      </c>
      <c r="AA19" s="43">
        <v>0</v>
      </c>
      <c r="AB19" s="43">
        <v>0</v>
      </c>
      <c r="AC19" s="43">
        <v>0</v>
      </c>
      <c r="AD19" s="43">
        <v>0</v>
      </c>
      <c r="AE19" s="43">
        <v>0</v>
      </c>
      <c r="AF19" s="43">
        <v>0</v>
      </c>
      <c r="AG19" s="43">
        <v>0</v>
      </c>
      <c r="AH19" s="43">
        <v>0</v>
      </c>
      <c r="AI19" s="43">
        <v>0</v>
      </c>
      <c r="AJ19" s="43">
        <v>0</v>
      </c>
      <c r="AK19" s="43">
        <v>0</v>
      </c>
      <c r="AL19" s="53"/>
      <c r="AM19" s="53"/>
      <c r="AN19" s="43">
        <v>0</v>
      </c>
      <c r="AO19" s="43">
        <v>0</v>
      </c>
      <c r="AP19" s="52">
        <f>SUM(K19:S19)</f>
        <v>0</v>
      </c>
      <c r="AQ19" s="52">
        <f>SUM(P19:S19)</f>
        <v>0</v>
      </c>
      <c r="AR19" s="52">
        <f>SUMPRODUCT(Z19:AK19,$Z$4:$AK$4)</f>
        <v>0</v>
      </c>
      <c r="AS19" s="11">
        <f>SUMIFS('BG Data'!$Z$6:$Z$161,'BG Data'!$D$6:$D$161,$C19)</f>
        <v>0</v>
      </c>
      <c r="AT19" s="11">
        <f>SUMIFS('BG Data'!$AA$6:$AA$161,'BG Data'!$D$6:$D$161,$C19)</f>
        <v>0</v>
      </c>
      <c r="AU19" s="11">
        <f>SUMIFS('BG Data'!$AB$6:$AB$161,'BG Data'!$D$6:$D$161,$C19)</f>
        <v>0</v>
      </c>
      <c r="AV19" s="14">
        <f>IF($D19&gt;0,MIN(1,AS19/$D19),0)</f>
        <v>0</v>
      </c>
      <c r="AW19" s="14">
        <f>IF($D19&gt;0,MIN(1,AT19/$D19),0)</f>
        <v>0</v>
      </c>
      <c r="AX19" s="14">
        <f>IF($D19&gt;0,MIN(1,AU19/$D19),0)</f>
        <v>0</v>
      </c>
    </row>
    <row r="20">
      <c r="B20" t="s">
        <v>287</v>
      </c>
      <c r="C20" t="s" s="1">
        <v>244</v>
      </c>
      <c r="D20" s="43">
        <v>50618</v>
      </c>
      <c r="E20" s="43">
        <v>21347</v>
      </c>
      <c r="F20" s="44">
        <v>111160</v>
      </c>
      <c r="G20" s="44">
        <v>3107900000</v>
      </c>
      <c r="H20" s="43">
        <v>30408</v>
      </c>
      <c r="I20" s="43">
        <v>1425</v>
      </c>
      <c r="J20" s="43">
        <v>35765</v>
      </c>
      <c r="K20" s="43">
        <v>4903</v>
      </c>
      <c r="L20" s="43">
        <v>668</v>
      </c>
      <c r="M20" s="43">
        <v>1426</v>
      </c>
      <c r="N20" s="43">
        <v>4423</v>
      </c>
      <c r="O20" s="43">
        <v>1888</v>
      </c>
      <c r="P20" s="43">
        <v>12868</v>
      </c>
      <c r="Q20" s="43">
        <v>5765</v>
      </c>
      <c r="R20" s="43">
        <v>1144</v>
      </c>
      <c r="S20" s="43">
        <v>723</v>
      </c>
      <c r="T20" s="43">
        <v>28345</v>
      </c>
      <c r="U20" s="43">
        <v>19831</v>
      </c>
      <c r="V20" s="43">
        <v>1549</v>
      </c>
      <c r="W20" s="43">
        <v>53</v>
      </c>
      <c r="X20" s="43">
        <v>6185</v>
      </c>
      <c r="Y20" s="43">
        <v>22160</v>
      </c>
      <c r="Z20" s="43">
        <v>435</v>
      </c>
      <c r="AA20" s="43">
        <v>2634</v>
      </c>
      <c r="AB20" s="43">
        <v>3627</v>
      </c>
      <c r="AC20" s="43">
        <v>3854</v>
      </c>
      <c r="AD20" s="43">
        <v>3164</v>
      </c>
      <c r="AE20" s="43">
        <v>2198</v>
      </c>
      <c r="AF20" s="43">
        <v>2840</v>
      </c>
      <c r="AG20" s="43">
        <v>731</v>
      </c>
      <c r="AH20" s="43">
        <v>836</v>
      </c>
      <c r="AI20" s="43">
        <v>1244</v>
      </c>
      <c r="AJ20" s="43">
        <v>324</v>
      </c>
      <c r="AK20" s="43">
        <v>273</v>
      </c>
      <c r="AL20" s="44">
        <v>489400</v>
      </c>
      <c r="AM20" s="44">
        <v>1862</v>
      </c>
      <c r="AN20" s="43">
        <v>11186</v>
      </c>
      <c r="AO20" s="43">
        <v>10161</v>
      </c>
      <c r="AP20" s="52">
        <f>SUM(K20:S20)</f>
        <v>33808</v>
      </c>
      <c r="AQ20" s="52">
        <f>SUM(P20:S20)</f>
        <v>20500</v>
      </c>
      <c r="AR20" s="52">
        <f>SUMPRODUCT(Z20:AK20,$Z$4:$AK$4)</f>
        <v>528051.5</v>
      </c>
      <c r="AS20" s="11">
        <f>SUMIFS('BG Data'!$Z$6:$Z$161,'BG Data'!$D$6:$D$161,$C20)</f>
        <v>0</v>
      </c>
      <c r="AT20" s="11">
        <f>SUMIFS('BG Data'!$AA$6:$AA$161,'BG Data'!$D$6:$D$161,$C20)</f>
        <v>0</v>
      </c>
      <c r="AU20" s="11">
        <f>SUMIFS('BG Data'!$AB$6:$AB$161,'BG Data'!$D$6:$D$161,$C20)</f>
        <v>1387.4549576228458</v>
      </c>
      <c r="AV20" s="14">
        <f>IF($D20&gt;0,MIN(1,AS20/$D20),0)</f>
        <v>0</v>
      </c>
      <c r="AW20" s="14">
        <f>IF($D20&gt;0,MIN(1,AT20/$D20),0)</f>
        <v>0</v>
      </c>
      <c r="AX20" s="14">
        <f>IF($D20&gt;0,MIN(1,AU20/$D20),0)</f>
        <v>0.02741030774868319</v>
      </c>
    </row>
    <row r="21">
      <c r="D21" s="52"/>
      <c r="E21" s="52"/>
      <c r="F21" s="53"/>
      <c r="G21" s="53"/>
      <c r="H21" s="52"/>
      <c r="I21" s="52"/>
      <c r="J21" s="52"/>
      <c r="K21" s="52"/>
      <c r="L21" s="52"/>
      <c r="M21" s="52"/>
      <c r="N21" s="52"/>
      <c r="O21" s="52"/>
      <c r="P21" s="52"/>
      <c r="Q21" s="52"/>
      <c r="R21" s="52"/>
      <c r="S21" s="52"/>
      <c r="T21" s="52"/>
      <c r="U21" s="52"/>
      <c r="V21" s="52"/>
      <c r="W21" s="52"/>
      <c r="X21" s="52"/>
      <c r="Y21" s="52"/>
      <c r="Z21" s="52"/>
      <c r="AA21" s="52"/>
      <c r="AB21" s="52"/>
      <c r="AC21" s="52"/>
      <c r="AD21" s="52"/>
      <c r="AE21" s="52"/>
      <c r="AF21" s="52"/>
      <c r="AG21" s="52"/>
      <c r="AH21" s="52"/>
      <c r="AI21" s="52"/>
      <c r="AJ21" s="52"/>
      <c r="AK21" s="52"/>
      <c r="AL21" s="53"/>
      <c r="AM21" s="53"/>
      <c r="AN21" s="52"/>
      <c r="AO21" s="52"/>
      <c r="AP21" s="52"/>
      <c r="AQ21" s="52"/>
      <c r="AR21" s="52"/>
    </row>
    <row r="22">
      <c r="B22" t="s" s="7">
        <v>288</v>
      </c>
      <c r="C22" s="7"/>
      <c r="D22" s="76"/>
      <c r="E22" s="76"/>
      <c r="F22" s="77"/>
      <c r="G22" s="77"/>
      <c r="H22" s="76"/>
      <c r="I22" s="76"/>
      <c r="J22" s="76"/>
      <c r="K22" s="76"/>
      <c r="L22" s="76"/>
      <c r="M22" s="76"/>
      <c r="N22" s="76"/>
      <c r="O22" s="76"/>
      <c r="P22" s="76"/>
      <c r="Q22" s="76"/>
      <c r="R22" s="76"/>
      <c r="S22" s="76"/>
      <c r="T22" s="76"/>
      <c r="U22" s="76"/>
      <c r="V22" s="76"/>
      <c r="W22" s="76"/>
      <c r="X22" s="76"/>
      <c r="Y22" s="76"/>
      <c r="Z22" s="76"/>
      <c r="AA22" s="76"/>
      <c r="AB22" s="76"/>
      <c r="AC22" s="76"/>
      <c r="AD22" s="76"/>
      <c r="AE22" s="76"/>
      <c r="AF22" s="76"/>
      <c r="AG22" s="76"/>
      <c r="AH22" s="76"/>
      <c r="AI22" s="76"/>
      <c r="AJ22" s="76"/>
      <c r="AK22" s="76"/>
      <c r="AL22" s="77"/>
      <c r="AM22" s="77"/>
      <c r="AN22" s="76"/>
      <c r="AO22" s="76"/>
      <c r="AP22" s="76"/>
      <c r="AQ22" s="76"/>
      <c r="AR22" s="76"/>
      <c r="AS22" s="7"/>
      <c r="AT22" s="7"/>
      <c r="AU22" s="7"/>
      <c r="AV22" s="7"/>
      <c r="AW22" s="7"/>
      <c r="AX22" s="7"/>
    </row>
    <row r="23">
      <c r="B23" t="s">
        <v>289</v>
      </c>
      <c r="C23" t="s" s="1">
        <v>295</v>
      </c>
      <c r="D23" s="43">
        <v>131080</v>
      </c>
      <c r="E23" s="43">
        <v>51915</v>
      </c>
      <c r="F23" s="44">
        <v>89233</v>
      </c>
      <c r="G23" s="44">
        <v>5957229000</v>
      </c>
      <c r="H23" s="43">
        <v>79227</v>
      </c>
      <c r="I23" s="43">
        <v>3426</v>
      </c>
      <c r="J23" s="43">
        <v>89710</v>
      </c>
      <c r="K23" s="43">
        <v>14886</v>
      </c>
      <c r="L23" s="43">
        <v>3177</v>
      </c>
      <c r="M23" s="43">
        <v>7772</v>
      </c>
      <c r="N23" s="43">
        <v>11710</v>
      </c>
      <c r="O23" s="43">
        <v>7069</v>
      </c>
      <c r="P23" s="43">
        <v>24672</v>
      </c>
      <c r="Q23" s="43">
        <v>9436</v>
      </c>
      <c r="R23" s="43">
        <v>1471</v>
      </c>
      <c r="S23" s="43">
        <v>931</v>
      </c>
      <c r="T23" s="43">
        <v>74128</v>
      </c>
      <c r="U23" s="43">
        <v>51540</v>
      </c>
      <c r="V23" s="43">
        <v>6072</v>
      </c>
      <c r="W23" s="43">
        <v>258</v>
      </c>
      <c r="X23" s="43">
        <v>14303</v>
      </c>
      <c r="Y23" s="43">
        <v>59825</v>
      </c>
      <c r="Z23" s="43">
        <v>1658</v>
      </c>
      <c r="AA23" s="43">
        <v>4967</v>
      </c>
      <c r="AB23" s="43">
        <v>7137</v>
      </c>
      <c r="AC23" s="43">
        <v>10365</v>
      </c>
      <c r="AD23" s="43">
        <v>9333</v>
      </c>
      <c r="AE23" s="43">
        <v>4719</v>
      </c>
      <c r="AF23" s="43">
        <v>10493</v>
      </c>
      <c r="AG23" s="43">
        <v>2177</v>
      </c>
      <c r="AH23" s="43">
        <v>2499</v>
      </c>
      <c r="AI23" s="43">
        <v>3540</v>
      </c>
      <c r="AJ23" s="43">
        <v>2000</v>
      </c>
      <c r="AK23" s="43">
        <v>937</v>
      </c>
      <c r="AL23" s="44">
        <v>378500</v>
      </c>
      <c r="AM23" s="44">
        <v>1670</v>
      </c>
      <c r="AN23" s="43">
        <v>24041</v>
      </c>
      <c r="AO23" s="43">
        <v>27874</v>
      </c>
      <c r="AP23" s="52">
        <f>SUM(K23:S23)</f>
        <v>81124</v>
      </c>
      <c r="AQ23" s="52">
        <f>SUM(P23:S23)</f>
        <v>36510</v>
      </c>
      <c r="AR23" s="52">
        <f>SUMPRODUCT(Z23:AK23,$Z$4:$AK$4)</f>
        <v>1586250</v>
      </c>
    </row>
    <row r="24">
      <c r="B24" t="s">
        <v>290</v>
      </c>
      <c r="C24" t="s" s="1">
        <v>296</v>
      </c>
      <c r="D24" s="43">
        <v>979561</v>
      </c>
      <c r="E24" s="43">
        <v>360392</v>
      </c>
      <c r="F24" s="44">
        <v>111498</v>
      </c>
      <c r="G24" s="44">
        <v>52561919200</v>
      </c>
      <c r="H24" s="43">
        <v>558826</v>
      </c>
      <c r="I24" s="43">
        <v>22444</v>
      </c>
      <c r="J24" s="43">
        <v>662975</v>
      </c>
      <c r="K24" s="43">
        <v>92533</v>
      </c>
      <c r="L24" s="43">
        <v>17807</v>
      </c>
      <c r="M24" s="43">
        <v>45822</v>
      </c>
      <c r="N24" s="43">
        <v>83237</v>
      </c>
      <c r="O24" s="43">
        <v>53047</v>
      </c>
      <c r="P24" s="43">
        <v>213469</v>
      </c>
      <c r="Q24" s="43">
        <v>91679</v>
      </c>
      <c r="R24" s="43">
        <v>12662</v>
      </c>
      <c r="S24" s="43">
        <v>9988</v>
      </c>
      <c r="T24" s="43">
        <v>527502</v>
      </c>
      <c r="U24" s="43">
        <v>345598</v>
      </c>
      <c r="V24" s="43">
        <v>41050</v>
      </c>
      <c r="W24" s="43">
        <v>1610</v>
      </c>
      <c r="X24" s="43">
        <v>123714</v>
      </c>
      <c r="Y24" s="43">
        <v>403788</v>
      </c>
      <c r="Z24" s="43">
        <v>9965</v>
      </c>
      <c r="AA24" s="43">
        <v>29249</v>
      </c>
      <c r="AB24" s="43">
        <v>42942</v>
      </c>
      <c r="AC24" s="43">
        <v>57089</v>
      </c>
      <c r="AD24" s="43">
        <v>54643</v>
      </c>
      <c r="AE24" s="43">
        <v>29676</v>
      </c>
      <c r="AF24" s="43">
        <v>64105</v>
      </c>
      <c r="AG24" s="43">
        <v>17919</v>
      </c>
      <c r="AH24" s="43">
        <v>21036</v>
      </c>
      <c r="AI24" s="43">
        <v>46374</v>
      </c>
      <c r="AJ24" s="43">
        <v>23323</v>
      </c>
      <c r="AK24" s="43">
        <v>7467</v>
      </c>
      <c r="AL24" s="44">
        <v>437200</v>
      </c>
      <c r="AM24" s="44">
        <v>1728</v>
      </c>
      <c r="AN24" s="43">
        <v>235923</v>
      </c>
      <c r="AO24" s="43">
        <v>124469</v>
      </c>
      <c r="AP24" s="52">
        <f>SUM(K24:S24)</f>
        <v>620244</v>
      </c>
      <c r="AQ24" s="52">
        <f>SUM(P24:S24)</f>
        <v>327798</v>
      </c>
      <c r="AR24" s="52">
        <f>SUMPRODUCT(Z24:AK24,$Z$4:$AK$4)</f>
        <v>12249792</v>
      </c>
    </row>
    <row r="25">
      <c r="B25" t="s">
        <v>291</v>
      </c>
      <c r="C25" t="s" s="1">
        <v>297</v>
      </c>
      <c r="D25" s="43">
        <v>7985590</v>
      </c>
      <c r="E25" s="43">
        <v>2891725</v>
      </c>
      <c r="F25" s="44">
        <v>90275</v>
      </c>
      <c r="G25" s="44">
        <v>359693060600</v>
      </c>
      <c r="H25" s="43">
        <v>4296289</v>
      </c>
      <c r="I25" s="43">
        <v>198081</v>
      </c>
      <c r="J25" s="43">
        <v>5250335</v>
      </c>
      <c r="K25" s="43">
        <v>954385</v>
      </c>
      <c r="L25" s="43">
        <v>177481</v>
      </c>
      <c r="M25" s="43">
        <v>329881</v>
      </c>
      <c r="N25" s="43">
        <v>681814</v>
      </c>
      <c r="O25" s="43">
        <v>388274</v>
      </c>
      <c r="P25" s="43">
        <v>1310869</v>
      </c>
      <c r="Q25" s="43">
        <v>580197</v>
      </c>
      <c r="R25" s="43">
        <v>107314</v>
      </c>
      <c r="S25" s="43">
        <v>69568</v>
      </c>
      <c r="T25" s="43">
        <v>4031213</v>
      </c>
      <c r="U25" s="43">
        <v>2788126</v>
      </c>
      <c r="V25" s="43">
        <v>384752</v>
      </c>
      <c r="W25" s="43">
        <v>26915</v>
      </c>
      <c r="X25" s="43">
        <v>717347</v>
      </c>
      <c r="Y25" s="43">
        <v>3313866</v>
      </c>
      <c r="Z25" s="43">
        <v>69226</v>
      </c>
      <c r="AA25" s="43">
        <v>233009</v>
      </c>
      <c r="AB25" s="43">
        <v>375529</v>
      </c>
      <c r="AC25" s="43">
        <v>464467</v>
      </c>
      <c r="AD25" s="43">
        <v>478124</v>
      </c>
      <c r="AE25" s="43">
        <v>236131</v>
      </c>
      <c r="AF25" s="43">
        <v>560492</v>
      </c>
      <c r="AG25" s="43">
        <v>127313</v>
      </c>
      <c r="AH25" s="43">
        <v>156644</v>
      </c>
      <c r="AI25" s="43">
        <v>336621</v>
      </c>
      <c r="AJ25" s="43">
        <v>210407</v>
      </c>
      <c r="AK25" s="43">
        <v>65903</v>
      </c>
      <c r="AL25" s="44">
        <v>359500</v>
      </c>
      <c r="AM25" s="44">
        <v>1614</v>
      </c>
      <c r="AN25" s="43">
        <v>1737920</v>
      </c>
      <c r="AO25" s="43">
        <v>1153805</v>
      </c>
      <c r="AP25" s="52">
        <f>SUM(K25:S25)</f>
        <v>4599783</v>
      </c>
      <c r="AQ25" s="52">
        <f>SUM(P25:S25)</f>
        <v>2067948</v>
      </c>
      <c r="AR25" s="52">
        <f>SUMPRODUCT(Z25:AK25,$Z$4:$AK$4)</f>
        <v>100425481.5</v>
      </c>
    </row>
    <row r="26">
      <c r="B26" t="s">
        <v>292</v>
      </c>
      <c r="C26" t="s" s="1">
        <v>298</v>
      </c>
      <c r="D26" s="43">
        <v>30188424</v>
      </c>
      <c r="E26" s="43">
        <v>10992816</v>
      </c>
      <c r="F26" s="44">
        <v>78476</v>
      </c>
      <c r="G26" s="44">
        <v>1208469399500</v>
      </c>
      <c r="H26" s="43">
        <v>15233563</v>
      </c>
      <c r="I26" s="43">
        <v>802438</v>
      </c>
      <c r="J26" s="43">
        <v>19717474</v>
      </c>
      <c r="K26" s="43">
        <v>3923367</v>
      </c>
      <c r="L26" s="43">
        <v>864764</v>
      </c>
      <c r="M26" s="43">
        <v>1289297</v>
      </c>
      <c r="N26" s="43">
        <v>2677491</v>
      </c>
      <c r="O26" s="43">
        <v>1527251</v>
      </c>
      <c r="P26" s="43">
        <v>4236147</v>
      </c>
      <c r="Q26" s="43">
        <v>1790899</v>
      </c>
      <c r="R26" s="43">
        <v>367732</v>
      </c>
      <c r="S26" s="43">
        <v>274329</v>
      </c>
      <c r="T26" s="43">
        <v>14280889</v>
      </c>
      <c r="U26" s="43">
        <v>10200815</v>
      </c>
      <c r="V26" s="43">
        <v>1430593</v>
      </c>
      <c r="W26" s="43">
        <v>125840</v>
      </c>
      <c r="X26" s="43">
        <v>2051250</v>
      </c>
      <c r="Y26" s="43">
        <v>12229639</v>
      </c>
      <c r="Z26" s="43">
        <v>340019</v>
      </c>
      <c r="AA26" s="43">
        <v>1097266</v>
      </c>
      <c r="AB26" s="43">
        <v>1580638</v>
      </c>
      <c r="AC26" s="43">
        <v>1883040</v>
      </c>
      <c r="AD26" s="43">
        <v>1739169</v>
      </c>
      <c r="AE26" s="43">
        <v>802523</v>
      </c>
      <c r="AF26" s="43">
        <v>1842688</v>
      </c>
      <c r="AG26" s="43">
        <v>393375</v>
      </c>
      <c r="AH26" s="43">
        <v>486065</v>
      </c>
      <c r="AI26" s="43">
        <v>1060426</v>
      </c>
      <c r="AJ26" s="43">
        <v>711940</v>
      </c>
      <c r="AK26" s="43">
        <v>292490</v>
      </c>
      <c r="AL26" s="44">
        <v>283800</v>
      </c>
      <c r="AM26" s="44">
        <v>1403</v>
      </c>
      <c r="AN26" s="43">
        <v>6879255</v>
      </c>
      <c r="AO26" s="43">
        <v>4113561</v>
      </c>
      <c r="AP26" s="52">
        <f>SUM(K26:S26)</f>
        <v>16951277</v>
      </c>
      <c r="AQ26" s="52">
        <f>SUM(P26:S26)</f>
        <v>6669107</v>
      </c>
      <c r="AR26" s="52">
        <f>SUMPRODUCT(Z26:AK26,$Z$4:$AK$4)</f>
        <v>352268837.5</v>
      </c>
    </row>
    <row r="27">
      <c r="B27" t="s">
        <v>293</v>
      </c>
      <c r="C27" t="s">
        <v>299</v>
      </c>
      <c r="D27" s="43">
        <v>334922499</v>
      </c>
      <c r="E27" s="43">
        <v>129227496</v>
      </c>
      <c r="F27" s="44">
        <v>80734</v>
      </c>
      <c r="G27" s="44">
        <v>14671199681000</v>
      </c>
      <c r="H27" s="43">
        <v>170199520</v>
      </c>
      <c r="I27" s="43">
        <v>8902365</v>
      </c>
      <c r="J27" s="43">
        <v>230807303</v>
      </c>
      <c r="K27" s="43">
        <v>51011337</v>
      </c>
      <c r="L27" s="43">
        <v>9083379</v>
      </c>
      <c r="M27" s="43">
        <v>14727607</v>
      </c>
      <c r="N27" s="43">
        <v>29306441</v>
      </c>
      <c r="O27" s="43">
        <v>20322913</v>
      </c>
      <c r="P27" s="43">
        <v>49868171</v>
      </c>
      <c r="Q27" s="43">
        <v>23264421</v>
      </c>
      <c r="R27" s="43">
        <v>5354651</v>
      </c>
      <c r="S27" s="43">
        <v>3875973</v>
      </c>
      <c r="T27" s="43">
        <v>159114094</v>
      </c>
      <c r="U27" s="43">
        <v>109447738</v>
      </c>
      <c r="V27" s="43">
        <v>13569614</v>
      </c>
      <c r="W27" s="43">
        <v>5157401</v>
      </c>
      <c r="X27" s="43">
        <v>24042489</v>
      </c>
      <c r="Y27" s="43">
        <v>135071605</v>
      </c>
      <c r="Z27" s="43">
        <v>4082545</v>
      </c>
      <c r="AA27" s="43">
        <v>13070997</v>
      </c>
      <c r="AB27" s="43">
        <v>18004761</v>
      </c>
      <c r="AC27" s="43">
        <v>20736760</v>
      </c>
      <c r="AD27" s="43">
        <v>19376684</v>
      </c>
      <c r="AE27" s="43">
        <v>9346736</v>
      </c>
      <c r="AF27" s="43">
        <v>18474637</v>
      </c>
      <c r="AG27" s="43">
        <v>4378407</v>
      </c>
      <c r="AH27" s="43">
        <v>5274737</v>
      </c>
      <c r="AI27" s="43">
        <v>10749300</v>
      </c>
      <c r="AJ27" s="43">
        <v>7895742</v>
      </c>
      <c r="AK27" s="43">
        <v>3680299</v>
      </c>
      <c r="AL27" s="44">
        <v>332700</v>
      </c>
      <c r="AM27" s="44">
        <v>1413</v>
      </c>
      <c r="AN27" s="43">
        <v>84210142</v>
      </c>
      <c r="AO27" s="43">
        <v>45017354</v>
      </c>
      <c r="AP27" s="52">
        <f>SUM(K27:S27)</f>
        <v>206814893</v>
      </c>
      <c r="AQ27" s="52">
        <f>SUM(P27:S27)</f>
        <v>82363216</v>
      </c>
      <c r="AR27" s="52">
        <f>SUMPRODUCT(Z27:AK27,$Z$4:$AK$4)</f>
        <v>3857290484.5</v>
      </c>
    </row>
  </sheetData>
  <pageMargins left="0.7" right="0.7" top="0.75" bottom="0.75" header="0.3" footer="0.3"/>
</worksheet>
</file>

<file path=ccalc/calcState.xml><?xml version="1.0" encoding="utf-8"?>
<calcState xmlns="urn:twentyai:ccalc:calc-state" version="1" digest="f32fd73b76af37f8714091b7feba91081ca3797bc4e228c024b7a9bdab4d1131"/>
</file>

<file path=docProps/app.xml><?xml version="1.0" encoding="utf-8"?>
<Properties xmlns="http://schemas.openxmlformats.org/officeDocument/2006/extended-properties" xmlns:vt="http://schemas.openxmlformats.org/officeDocument/2006/docPropsVTypes">
  <Application>Microsoft Excel</Application>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2026-11-04T00:57:18Z</dcterms:created>
  <dcterms:modified xsi:type="dcterms:W3CDTF">2026-11-04T01:04:37Z</dcterms:modified>
  <cp:category/>
  <cp:contentStatus/>
</cp:coreProperties>
</file>