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Summary" sheetId="1" r:id="rId1"/>
    <sheet name="10-K Changes" sheetId="2" r:id="rId2"/>
    <sheet name="KPI Trend" sheetId="3" r:id="rId3"/>
    <sheet name="8-K Timeline" sheetId="4" r:id="rId4"/>
    <sheet name="Take-Private" sheetId="5" r:id="rId5"/>
  </sheets>
  <calcPr/>
  <extLst>
    <ext xmlns:xccaches="urn:twentyai:ccalc:caches" uri="{3C5F2E7A-9B41-4D6E-A8C2-19409CCA1C01}">
      <xccaches:writer/>
    </ext>
  </extLst>
</workbook>
</file>

<file path=xl/comments2.xml><?xml version="1.0" encoding="utf-8"?>
<comments xmlns="http://schemas.openxmlformats.org/spreadsheetml/2006/main">
  <authors>
    <author>Compound</author>
  </authors>
  <commentList>
    <comment ref="F16" authorId="0">
      <text>
        <t xml:space="preserve">CWAN 10-K FY2024 (filed 2025-02-26).pdf (page 75)</t>
      </text>
    </comment>
    <comment ref="F23" authorId="0">
      <text>
        <t xml:space="preserve">CWAN 10-K FY2024 (filed 2025-02-26).pdf (page 146)</t>
      </text>
    </comment>
    <comment ref="F24" authorId="0">
      <text>
        <t xml:space="preserve">CWAN 10-K FY2025 (filed 2026-02-18).pdf (page 141)</t>
      </text>
    </comment>
    <comment ref="F25" authorId="0">
      <text>
        <t xml:space="preserve">CWAN 10-K FY2025 (filed 2026-02-18).pdf (page 71)</t>
      </text>
    </comment>
    <comment ref="F28" authorId="0">
      <text>
        <t xml:space="preserve">CWAN 10-K FY2025 (filed 2026-02-18).pdf (page 19)</t>
      </text>
    </comment>
    <comment ref="F35" authorId="0">
      <text>
        <t xml:space="preserve">CWAN 10-K FY2024 (filed 2025-02-26).pdf (page 99)</t>
      </text>
    </comment>
    <comment ref="F36" authorId="0">
      <text>
        <t xml:space="preserve">CWAN 10-K FY2025 (filed 2026-02-18).pdf (page 92)</t>
      </text>
    </comment>
    <comment ref="F38" authorId="0">
      <text>
        <t xml:space="preserve">CWAN 10-K FY2021 (filed 2022-03-16).pdf (page 90)</t>
      </text>
    </comment>
    <comment ref="F39" authorId="0">
      <text>
        <t xml:space="preserve">CWAN 10-K FY2022 (filed 2023-03-03).pdf (page 124)</t>
      </text>
    </comment>
    <comment ref="F40" authorId="0">
      <text>
        <t xml:space="preserve">CWAN 10-K FY2024 (filed 2025-02-26).pdf (page 155)</t>
      </text>
    </comment>
    <comment ref="F46" authorId="0">
      <text>
        <t xml:space="preserve">CWAN 10-K FY2025 (filed 2026-02-18).pdf (page 151)</t>
      </text>
    </comment>
    <comment ref="F49" authorId="0">
      <text>
        <t xml:space="preserve">CWAN DEFM14A Definitive Merger Proxy (filed 2026-04-08).pdf (page 62)</t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C11" authorId="0">
      <text>
        <t xml:space="preserve">CWAN 10-K FY2022 (filed 2023-03-03).pdf (page 64)</t>
      </text>
    </comment>
    <comment ref="C18" authorId="0">
      <text>
        <t xml:space="preserve">CWAN 10-K FY2021 (filed 2022-03-16).pdf (page 13)</t>
      </text>
    </comment>
    <comment ref="C19" authorId="0">
      <text>
        <t xml:space="preserve">CWAN 10-K FY2021 (filed 2022-03-16).pdf (page 13)</t>
      </text>
    </comment>
    <comment ref="C7" authorId="0">
      <text>
        <t xml:space="preserve">CWAN 10-K FY2021 (filed 2022-03-16).pdf (page 87)</t>
      </text>
    </comment>
    <comment ref="C9" authorId="0">
      <text>
        <t xml:space="preserve">CWAN 10-K FY2021 (filed 2022-03-16).pdf (page 87)</t>
      </text>
    </comment>
    <comment ref="D11" authorId="0">
      <text>
        <t xml:space="preserve">CWAN 10-K FY2023 (filed 2024-02-29).pdf (page 83)</t>
      </text>
    </comment>
    <comment ref="D18" authorId="0">
      <text>
        <t xml:space="preserve">CWAN 10-K FY2022 (filed 2023-03-03).pdf (page 16)</t>
      </text>
    </comment>
    <comment ref="D19" authorId="0">
      <text>
        <t xml:space="preserve">CWAN 10-K FY2022 (filed 2023-03-03).pdf (page 14)</t>
      </text>
    </comment>
    <comment ref="D7" authorId="0">
      <text>
        <t xml:space="preserve">CWAN 10-K FY2024 (filed 2025-02-26).pdf (page 147)</t>
      </text>
    </comment>
    <comment ref="D9" authorId="0">
      <text>
        <t xml:space="preserve">CWAN 10-K FY2024 (filed 2025-02-26).pdf (page 147)</t>
      </text>
    </comment>
    <comment ref="E11" authorId="0">
      <text>
        <t xml:space="preserve">CWAN 10-K FY2024 (filed 2025-02-26).pdf (page 77)</t>
      </text>
    </comment>
    <comment ref="E18" authorId="0">
      <text>
        <t xml:space="preserve">CWAN 10-K FY2023 (filed 2024-02-29).pdf (page 20)</t>
      </text>
    </comment>
    <comment ref="E19" authorId="0">
      <text>
        <t xml:space="preserve">CWAN 10-K FY2023 (filed 2024-02-29).pdf (page 18)</t>
      </text>
    </comment>
    <comment ref="F11" authorId="0">
      <text>
        <t xml:space="preserve">CWAN 10-K FY2025 (filed 2026-02-18).pdf (page 71)</t>
      </text>
    </comment>
    <comment ref="F18" authorId="0">
      <text>
        <t xml:space="preserve">CWAN 10-K FY2024 (filed 2025-02-26).pdf (page 19)</t>
      </text>
    </comment>
    <comment ref="F19" authorId="0">
      <text>
        <t xml:space="preserve">CWAN 10-K FY2024 (filed 2025-02-26).pdf (page 19)</t>
      </text>
    </comment>
    <comment ref="G11" authorId="0">
      <text>
        <t xml:space="preserve">CWAN 10-K FY2025 (filed 2026-02-18).pdf (page 71)</t>
      </text>
    </comment>
    <comment ref="G13" authorId="0">
      <text>
        <t xml:space="preserve">CWAN 10-K FY2025 (filed 2026-02-18).pdf (page 71)</t>
      </text>
    </comment>
    <comment ref="G18" authorId="0">
      <text>
        <t xml:space="preserve">CWAN 10-K FY2025 (filed 2026-02-18).pdf (page 19)</t>
      </text>
    </comment>
    <comment ref="G19" authorId="0">
      <text>
        <t xml:space="preserve">CWAN 10-K FY2025 (filed 2026-02-18).pdf (page 18)</t>
      </text>
    </comment>
    <comment ref="G7" authorId="0">
      <text>
        <t xml:space="preserve">Cited for E7:G7
CWAN 10-K FY2025 (filed 2026-02-18).pdf (page 141)</t>
      </text>
    </comment>
    <comment ref="G9" authorId="0">
      <text>
        <t xml:space="preserve">Cited for E9:G9
CWAN 10-K FY2025 (filed 2026-02-18).pdf (page 141)</t>
      </text>
    </comment>
  </commentList>
</comments>
</file>

<file path=xl/comments4.xml><?xml version="1.0" encoding="utf-8"?>
<comments xmlns="http://schemas.openxmlformats.org/spreadsheetml/2006/main">
  <authors>
    <author>Compound</author>
  </authors>
  <commentList>
    <comment ref="E10" authorId="0">
      <text>
        <t xml:space="preserve">Cited for E10:E11
CWAN 10-K FY2025 (filed 2026-02-18).pdf (page 92)</t>
      </text>
    </comment>
    <comment ref="E12" authorId="0">
      <text>
        <t xml:space="preserve">CWAN 8-K Bistro Closing (2025-03-31).pdf (page 2)</t>
      </text>
    </comment>
    <comment ref="E15" authorId="0">
      <text>
        <t xml:space="preserve">CWAN 8-K Enfusion Closing and Credit Agreement (2025-04-21).pdf (page 2)</t>
      </text>
    </comment>
    <comment ref="E16" authorId="0">
      <text>
        <t xml:space="preserve">CWAN 8-K Share Buyback (2025-09-03).pdf (page 3)</t>
      </text>
    </comment>
    <comment ref="E17" authorId="0">
      <text>
        <t xml:space="preserve">CWAN 8-K Merger Agreement Signing (2025-12-22).pdf (page 3)</t>
      </text>
    </comment>
    <comment ref="E18" authorId="0">
      <text>
        <t xml:space="preserve">CWAN 8-K Merger Agreement Signing (2025-12-22).pdf (page 4)</t>
      </text>
    </comment>
    <comment ref="E19" authorId="0">
      <text>
        <t xml:space="preserve">CWAN 8-K Go-Shop Expiry (2026-01-23).pdf (page 2)</t>
      </text>
    </comment>
    <comment ref="E21" authorId="0">
      <text>
        <t xml:space="preserve">CWAN 8-K Special Meeting Vote Results (2026-05-07).pdf (page 2)</t>
      </text>
    </comment>
    <comment ref="E23" authorId="0">
      <text>
        <t xml:space="preserve">CWAN 8-K Merger Closing (2026-06-25).pdf (page 2)</t>
      </text>
    </comment>
    <comment ref="E6" authorId="0">
      <text>
        <t xml:space="preserve">CWAN 10-K FY2025 (filed 2026-02-18).pdf (page 63)</t>
      </text>
    </comment>
    <comment ref="E9" authorId="0">
      <text>
        <t xml:space="preserve">CWAN 10-K FY2024 (filed 2025-02-26).pdf (page 75)</t>
      </text>
    </comment>
  </commentList>
</comments>
</file>

<file path=xl/comments5.xml><?xml version="1.0" encoding="utf-8"?>
<comments xmlns="http://schemas.openxmlformats.org/spreadsheetml/2006/main">
  <authors>
    <author>Compound</author>
  </authors>
  <commentList>
    <comment ref="C35" authorId="0">
      <text>
        <t xml:space="preserve">CWAN DEFM14A Definitive Merger Proxy (filed 2026-04-08).pdf (page 79)</t>
      </text>
    </comment>
    <comment ref="C36" authorId="0">
      <text>
        <t xml:space="preserve">CWAN DEFM14A Definitive Merger Proxy (filed 2026-04-08).pdf (page 79)</t>
      </text>
    </comment>
    <comment ref="D109" authorId="0">
      <text>
        <t xml:space="preserve">CWAN 8-K Merger Agreement Signing (2025-12-22).pdf (page 3)</t>
      </text>
    </comment>
    <comment ref="D110" authorId="0">
      <text>
        <t xml:space="preserve">CWAN 8-K Merger Agreement Signing (2025-12-22).pdf (page 4)</t>
      </text>
    </comment>
    <comment ref="D111" authorId="0">
      <text>
        <t xml:space="preserve">CWAN 8-K Merger Agreement Signing (2025-12-22).pdf (page 4)</t>
      </text>
    </comment>
    <comment ref="D112" authorId="0">
      <text>
        <t xml:space="preserve">CWAN 8-K Merger Agreement Signing (2025-12-22).pdf (page 4)</t>
      </text>
    </comment>
    <comment ref="D114" authorId="0">
      <text>
        <t xml:space="preserve">CWAN 8-K Go-Shop Expiry (2026-01-23).pdf (page 2)</t>
      </text>
    </comment>
    <comment ref="D115" authorId="0">
      <text>
        <t xml:space="preserve">Cited for D115:D118
CWAN 8-K Special Meeting Vote Results (2026-05-07).pdf (page 2)</t>
      </text>
    </comment>
    <comment ref="D119" authorId="0">
      <text>
        <t xml:space="preserve">CWAN 8-K Special Meeting Vote Results (2026-05-07).pdf (page 2)</t>
      </text>
    </comment>
    <comment ref="D34" authorId="0">
      <text>
        <t xml:space="preserve">CWAN DEFM14A Definitive Merger Proxy (filed 2026-04-08).pdf (page 78)</t>
      </text>
    </comment>
    <comment ref="D38" authorId="0">
      <text>
        <t xml:space="preserve">Cited for C38:D38
CWAN DEFM14A Definitive Merger Proxy (filed 2026-04-08).pdf (page 95)</t>
      </text>
    </comment>
    <comment ref="D39" authorId="0">
      <text>
        <t xml:space="preserve">Cited for C39:D39
CWAN DEFM14A Definitive Merger Proxy (filed 2026-04-08).pdf (page 95)</t>
      </text>
    </comment>
    <comment ref="D47" authorId="0">
      <text>
        <t xml:space="preserve">CWAN 13G-A Welsh Carson (filed 2024-02-14).pdf (page 2)</t>
      </text>
    </comment>
    <comment ref="D48" authorId="0">
      <text>
        <t xml:space="preserve">CWAN 13G-A Permira (Galibier Purchaser) (filed 2024-02-09).pdf (page 2)</t>
      </text>
    </comment>
    <comment ref="D49" authorId="0">
      <text>
        <t xml:space="preserve">CWAN 13G-A Warburg Pincus (filed 2024-02-14).pdf (page 2)</t>
      </text>
    </comment>
    <comment ref="D50" authorId="0">
      <text>
        <t xml:space="preserve">CWAN 13G-A Warburg Pincus (filed 2024-11-14).pdf (page 2)</t>
      </text>
    </comment>
    <comment ref="D51" authorId="0">
      <text>
        <t xml:space="preserve">CWAN 13G-A Permira (Galibier Purchaser) (filed 2025-02-13).pdf (page 2)</t>
      </text>
    </comment>
    <comment ref="D52" authorId="0">
      <text>
        <t xml:space="preserve">CWAN 13G-A Welsh Carson (filed 2025-02-14).pdf (page 2)</t>
      </text>
    </comment>
    <comment ref="D53" authorId="0">
      <text>
        <t xml:space="preserve">CWAN 13G-A Welsh Carson (filed 2025-08-13).pdf (page 2)</t>
      </text>
    </comment>
    <comment ref="D81" authorId="0">
      <text>
        <t xml:space="preserve">CWAN DEFM14A Definitive Merger Proxy (filed 2026-04-08).pdf (page 176)</t>
      </text>
    </comment>
    <comment ref="D82" authorId="0">
      <text>
        <t xml:space="preserve">CWAN DEFM14A Definitive Merger Proxy (filed 2026-04-08).pdf (page 176)</t>
      </text>
    </comment>
    <comment ref="D83" authorId="0">
      <text>
        <t xml:space="preserve">CWAN DEFM14A Definitive Merger Proxy (filed 2026-04-08).pdf (page 176)</t>
      </text>
    </comment>
    <comment ref="D84" authorId="0">
      <text>
        <t xml:space="preserve">CWAN DEFM14A Definitive Merger Proxy (filed 2026-04-08).pdf (page 176)</t>
      </text>
    </comment>
    <comment ref="D85" authorId="0">
      <text>
        <t xml:space="preserve">CWAN DEFM14A Definitive Merger Proxy (filed 2026-04-08).pdf (page 176)</t>
      </text>
    </comment>
    <comment ref="D86" authorId="0">
      <text>
        <t xml:space="preserve">CWAN DEFM14A Definitive Merger Proxy (filed 2026-04-08).pdf (page 176)</t>
      </text>
    </comment>
    <comment ref="D87" authorId="0">
      <text>
        <t xml:space="preserve">CWAN DEFM14A Definitive Merger Proxy (filed 2026-04-08).pdf (page 176)</t>
      </text>
    </comment>
    <comment ref="D88" authorId="0">
      <text>
        <t xml:space="preserve">CWAN DEFM14A Definitive Merger Proxy (filed 2026-04-08).pdf (page 176)</t>
      </text>
    </comment>
    <comment ref="D89" authorId="0">
      <text>
        <t xml:space="preserve">CWAN DEFM14A Definitive Merger Proxy (filed 2026-04-08).pdf (page 176)</t>
      </text>
    </comment>
    <comment ref="D90" authorId="0">
      <text>
        <t xml:space="preserve">CWAN DEFM14A Definitive Merger Proxy (filed 2026-04-08).pdf (page 176)</t>
      </text>
    </comment>
    <comment ref="D91" authorId="0">
      <text>
        <t xml:space="preserve">CWAN DEFM14A Definitive Merger Proxy (filed 2026-04-08).pdf (page 176)</t>
      </text>
    </comment>
    <comment ref="D92" authorId="0">
      <text>
        <t xml:space="preserve">CWAN DEFM14A Definitive Merger Proxy (filed 2026-04-08).pdf (page 176)</t>
      </text>
    </comment>
    <comment ref="D93" authorId="0">
      <text>
        <t xml:space="preserve">CWAN DEFM14A Definitive Merger Proxy (filed 2026-04-08).pdf (page 176)</t>
      </text>
    </comment>
    <comment ref="D94" authorId="0">
      <text>
        <t xml:space="preserve">CWAN DEFM14A Definitive Merger Proxy (filed 2026-04-08).pdf (page 176)</t>
      </text>
    </comment>
    <comment ref="D95" authorId="0">
      <text>
        <t xml:space="preserve">CWAN DEFM14A Definitive Merger Proxy (filed 2026-04-08).pdf (page 176)</t>
      </text>
    </comment>
    <comment ref="D96" authorId="0">
      <text>
        <t xml:space="preserve">CWAN DEFM14A Definitive Merger Proxy (filed 2026-04-08).pdf (page 176)</t>
      </text>
    </comment>
    <comment ref="D97" authorId="0">
      <text>
        <t xml:space="preserve">CWAN DEFM14A Definitive Merger Proxy (filed 2026-04-08).pdf (page 176)</t>
      </text>
    </comment>
    <comment ref="E11" authorId="0">
      <text>
        <t xml:space="preserve">CWAN DEFM14A Definitive Merger Proxy (filed 2026-04-08).pdf (page 58)</t>
      </text>
    </comment>
    <comment ref="E12" authorId="0">
      <text>
        <t xml:space="preserve">CWAN DEFM14A Definitive Merger Proxy (filed 2026-04-08).pdf (page 59)</t>
      </text>
    </comment>
    <comment ref="E13" authorId="0">
      <text>
        <t xml:space="preserve">CWAN DEFM14A Definitive Merger Proxy (filed 2026-04-08).pdf (page 59)</t>
      </text>
    </comment>
    <comment ref="E14" authorId="0">
      <text>
        <t xml:space="preserve">CWAN DEFM14A Definitive Merger Proxy (filed 2026-04-08).pdf (page 60)</t>
      </text>
    </comment>
    <comment ref="E15" authorId="0">
      <text>
        <t xml:space="preserve">CWAN DEFM14A Definitive Merger Proxy (filed 2026-04-08).pdf (page 61)</t>
      </text>
    </comment>
    <comment ref="E43" authorId="0">
      <text>
        <t xml:space="preserve">Cited for D43:E43
CWAN IPO Final Prospectus 424B4 (2021-09-27).pdf (page 151)</t>
      </text>
    </comment>
    <comment ref="E44" authorId="0">
      <text>
        <t xml:space="preserve">Cited for D44:E45
CWAN IPO Final Prospectus 424B4 (2021-09-27).pdf (page 151)</t>
      </text>
    </comment>
    <comment ref="E47" authorId="0">
      <text>
        <t xml:space="preserve">CWAN 13G-A Welsh Carson (filed 2024-02-14).pdf (page 2)</t>
      </text>
    </comment>
    <comment ref="E48" authorId="0">
      <text>
        <t xml:space="preserve">CWAN 13G-A Permira (Galibier Purchaser) (filed 2024-02-09).pdf (page 2)</t>
      </text>
    </comment>
    <comment ref="E49" authorId="0">
      <text>
        <t xml:space="preserve">CWAN 13G-A Warburg Pincus (filed 2024-02-14).pdf (page 2)</t>
      </text>
    </comment>
    <comment ref="E50" authorId="0">
      <text>
        <t xml:space="preserve">CWAN 13G-A Warburg Pincus (filed 2024-11-14).pdf (page 2)</t>
      </text>
    </comment>
    <comment ref="E51" authorId="0">
      <text>
        <t xml:space="preserve">CWAN 13G-A Permira (Galibier Purchaser) (filed 2025-02-13).pdf (page 2)</t>
      </text>
    </comment>
    <comment ref="E52" authorId="0">
      <text>
        <t xml:space="preserve">CWAN 13G-A Welsh Carson (filed 2025-02-14).pdf (page 2)</t>
      </text>
    </comment>
    <comment ref="E53" authorId="0">
      <text>
        <t xml:space="preserve">CWAN 13G-A Welsh Carson (filed 2025-08-13).pdf (page 2)</t>
      </text>
    </comment>
    <comment ref="E54" authorId="0">
      <text>
        <t xml:space="preserve">Cited for E54:E55
CWAN DEFM14A Definitive Merger Proxy (filed 2026-04-08).pdf (page 41)</t>
      </text>
    </comment>
    <comment ref="E7" authorId="0">
      <text>
        <t xml:space="preserve">CWAN DEFM14A Definitive Merger Proxy (filed 2026-04-08).pdf (page 61)</t>
      </text>
    </comment>
    <comment ref="E8" authorId="0">
      <text>
        <t xml:space="preserve">CWAN DEFM14A Definitive Merger Proxy (filed 2026-04-08).pdf (page 45)</t>
      </text>
    </comment>
    <comment ref="E9" authorId="0">
      <text>
        <t xml:space="preserve">Cited for E9:E10
CWAN DEFM14A Definitive Merger Proxy (filed 2026-04-08).pdf (page 58)</t>
      </text>
    </comment>
    <comment ref="F16" authorId="0">
      <text>
        <t xml:space="preserve">CWAN DEFM14A Definitive Merger Proxy (filed 2026-04-08).pdf (page 61)</t>
      </text>
    </comment>
    <comment ref="F59" authorId="0">
      <text>
        <t xml:space="preserve">Cited for D59:F59
CWAN DEFM14A Definitive Merger Proxy (filed 2026-04-08).pdf (page 178)</t>
      </text>
    </comment>
    <comment ref="F60" authorId="0">
      <text>
        <t xml:space="preserve">Cited for D60:F60
CWAN DEFM14A Definitive Merger Proxy (filed 2026-04-08).pdf (page 178)</t>
      </text>
    </comment>
    <comment ref="F61" authorId="0">
      <text>
        <t xml:space="preserve">Cited for D61:F61
CWAN DEFM14A Definitive Merger Proxy (filed 2026-04-08).pdf (page 178)</t>
      </text>
    </comment>
    <comment ref="F62" authorId="0">
      <text>
        <t xml:space="preserve">Cited for D62:F62
CWAN DEFM14A Definitive Merger Proxy (filed 2026-04-08).pdf (page 178)</t>
      </text>
    </comment>
    <comment ref="F63" authorId="0">
      <text>
        <t xml:space="preserve">Cited for D63:F63
CWAN DEFM14A Definitive Merger Proxy (filed 2026-04-08).pdf (page 178)</t>
      </text>
    </comment>
    <comment ref="F64" authorId="0">
      <text>
        <t xml:space="preserve">Cited for D64:F64
CWAN DEFM14A Definitive Merger Proxy (filed 2026-04-08).pdf (page 178)</t>
      </text>
    </comment>
    <comment ref="F65" authorId="0">
      <text>
        <t xml:space="preserve">Cited for D65:F65
CWAN DEFM14A Definitive Merger Proxy (filed 2026-04-08).pdf (page 178)</t>
      </text>
    </comment>
    <comment ref="F66" authorId="0">
      <text>
        <t xml:space="preserve">Cited for D66:F66
CWAN DEFM14A Definitive Merger Proxy (filed 2026-04-08).pdf (page 178)</t>
      </text>
    </comment>
    <comment ref="F67" authorId="0">
      <text>
        <t xml:space="preserve">Cited for D67:F67
CWAN DEFM14A Definitive Merger Proxy (filed 2026-04-08).pdf (page 178)</t>
      </text>
    </comment>
    <comment ref="F68" authorId="0">
      <text>
        <t xml:space="preserve">Cited for D68:F68
CWAN DEFM14A Definitive Merger Proxy (filed 2026-04-08).pdf (page 178)</t>
      </text>
    </comment>
    <comment ref="F69" authorId="0">
      <text>
        <t xml:space="preserve">Cited for D69:F69
CWAN DEFM14A Definitive Merger Proxy (filed 2026-04-08).pdf (page 178)</t>
      </text>
    </comment>
    <comment ref="F70" authorId="0">
      <text>
        <t xml:space="preserve">Cited for D70:F70
CWAN DEFM14A Definitive Merger Proxy (filed 2026-04-08).pdf (page 178)</t>
      </text>
    </comment>
    <comment ref="F71" authorId="0">
      <text>
        <t xml:space="preserve">Cited for D71:F71
CWAN DEFM14A Definitive Merger Proxy (filed 2026-04-08).pdf (page 178)</t>
      </text>
    </comment>
    <comment ref="F72" authorId="0">
      <text>
        <t xml:space="preserve">Cited for D72:F72
CWAN DEFM14A Definitive Merger Proxy (filed 2026-04-08).pdf (page 178)</t>
      </text>
    </comment>
    <comment ref="F73" authorId="0">
      <text>
        <t xml:space="preserve">Cited for D73:F73
CWAN DEFM14A Definitive Merger Proxy (filed 2026-04-08).pdf (page 178)</t>
      </text>
    </comment>
    <comment ref="H22" authorId="0">
      <text>
        <t xml:space="preserve">Cited for C22:H22
CWAN DEFM14A Definitive Merger Proxy (filed 2026-04-08).pdf (page 81)</t>
      </text>
    </comment>
    <comment ref="H24" authorId="0">
      <text>
        <t xml:space="preserve">Cited for C24:H24
CWAN DEFM14A Definitive Merger Proxy (filed 2026-04-08).pdf (page 81)</t>
      </text>
    </comment>
    <comment ref="H26" authorId="0">
      <text>
        <t xml:space="preserve">Cited for C26:H26
CWAN DEFM14A Definitive Merger Proxy (filed 2026-04-08).pdf (page 81)</t>
      </text>
    </comment>
    <comment ref="H28" authorId="0">
      <text>
        <t xml:space="preserve">Cited for C28:H28
CWAN DEFM14A Definitive Merger Proxy (filed 2026-04-08).pdf (page 81)</t>
      </text>
    </comment>
    <comment ref="H29" authorId="0">
      <text>
        <t xml:space="preserve">Cited for D29:H29
CWAN DEFM14A Definitive Merger Proxy (filed 2026-04-08).pdf (page 81)</t>
      </text>
    </comment>
    <comment ref="H30" authorId="0">
      <text>
        <t xml:space="preserve">Cited for D30:H30
CWAN DEFM14A Definitive Merger Proxy (filed 2026-04-08).pdf (page 81)</t>
      </text>
    </comment>
    <comment ref="H32" authorId="0">
      <text>
        <t xml:space="preserve">Cited for D32:H32
CWAN DEFM14A Definitive Merger Proxy (filed 2026-04-08).pdf (page 81)</t>
      </text>
    </comment>
    <comment ref="H35" authorId="0">
      <text>
        <t xml:space="preserve">CWAN DEFM14A Definitive Merger Proxy (filed 2026-04-08).pdf (page 79)</t>
      </text>
    </comment>
  </commentList>
</comments>
</file>

<file path=xl/sharedStrings.xml><?xml version="1.0" encoding="utf-8"?>
<sst xmlns="http://schemas.openxmlformats.org/spreadsheetml/2006/main" count="453" uniqueCount="453">
  <si>
    <t>Clearwater Analytics (CWAN): what changed in the 10-K, FY2021 to FY2025</t>
  </si>
  <si>
    <t>($ in millions unless stated; figures as reported; sources are filing and printed page)</t>
  </si>
  <si>
    <t>#</t>
  </si>
  <si>
    <t>Risk factors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</si>
  <si>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</si>
  <si>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</si>
  <si>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</si>
  <si>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</si>
  <si>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</si>
  <si>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</si>
  <si>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</si>
  <si>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</si>
  <si>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</si>
  <si>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</si>
  <si>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</si>
  <si>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</si>
  <si>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</si>
  <si>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</si>
  <si>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Segment and KPI disclosure</t>
  </si>
  <si>
    <t>15</t>
  </si>
  <si>
    <t>16</t>
  </si>
  <si>
    <t>17</t>
  </si>
  <si>
    <t>18</t>
  </si>
  <si>
    <t>19</t>
  </si>
  <si>
    <t>20</t>
  </si>
  <si>
    <t>21</t>
  </si>
  <si>
    <t>22</t>
  </si>
  <si>
    <t>Accounting policies and critical estimates</t>
  </si>
  <si>
    <t>23</t>
  </si>
  <si>
    <t>24</t>
  </si>
  <si>
    <t>25</t>
  </si>
  <si>
    <t>26</t>
  </si>
  <si>
    <t>27</t>
  </si>
  <si>
    <t>28</t>
  </si>
  <si>
    <t>Related parties</t>
  </si>
  <si>
    <t>29</t>
  </si>
  <si>
    <t>30</t>
  </si>
  <si>
    <t>31</t>
  </si>
  <si>
    <t>32</t>
  </si>
  <si>
    <t>Controls</t>
  </si>
  <si>
    <t>33</t>
  </si>
  <si>
    <t>34</t>
  </si>
  <si>
    <t>35</t>
  </si>
  <si>
    <t>36</t>
  </si>
  <si>
    <t>Legal proceedings</t>
  </si>
  <si>
    <t>37</t>
  </si>
  <si>
    <t>38</t>
  </si>
  <si>
    <t>Area</t>
  </si>
  <si>
    <t>Filing</t>
  </si>
  <si>
    <t>FY2022</t>
  </si>
  <si>
    <t>FY2023</t>
  </si>
  <si>
    <t>FY2024</t>
  </si>
  <si>
    <t>FY2025</t>
  </si>
  <si>
    <t>FY2021-FY2025</t>
  </si>
  <si>
    <t>FY2021</t>
  </si>
  <si>
    <t>FY2021-FY2024</t>
  </si>
  <si>
    <t>DEFM14A</t>
  </si>
  <si>
    <t>Change</t>
  </si>
  <si>
    <t>Added</t>
  </si>
  <si>
    <t>Removed</t>
  </si>
  <si>
    <t>Reworded</t>
  </si>
  <si>
    <t>Unchanged</t>
  </si>
  <si>
    <t>Baseline</t>
  </si>
  <si>
    <t>What changed</t>
  </si>
  <si>
    <t>Summary risks now open with asset-based fee dependence: fees on client assets are the "vast majority" of revenue</t>
  </si>
  <si>
    <t>Acquisition integration risk added, naming JUMP</t>
  </si>
  <si>
    <t>"Requirements of being a public company may strain our resources" dropped from summary risks</t>
  </si>
  <si>
    <t>Material weakness risk added to summary risks</t>
  </si>
  <si>
    <t>New Macroeconomic and Industry Risks section opens Item 1A; COVID-19 and LIBOR discussion drops out</t>
  </si>
  <si>
    <t>Emerging growth company status lost at 31 Dec 2023</t>
  </si>
  <si>
    <t>Controlled company risk removed; sponsor risk softened from "significant influence" with "control" to "influence"</t>
  </si>
  <si>
    <t>Asset-based fees go from the "vast majority" to the "main portion" of revenue</t>
  </si>
  <si>
    <t>New section: Risks Related to the Proposed Acquisition of Enfusion</t>
  </si>
  <si>
    <t>TRA risk factors fall away after the TRA Amendment; one-time settlement of about $72.5m</t>
  </si>
  <si>
    <t>Four merger risks lead the summary (deal may not close, merger lawsuits, limits on alternatives, interim covenants); new Merger Risks section opens Item 1A</t>
  </si>
  <si>
    <t>Fee dependence now "highly dependent" on asset-based fees "and for certain solutions dependent on user fees"</t>
  </si>
  <si>
    <t>Competition risk adds hedge funds; reliability risk adds portfolio and order management solutions</t>
  </si>
  <si>
    <t>Principal Equity Owners influence risk removed; related-party note now says "Prior Principal Equity Owners"</t>
  </si>
  <si>
    <t>One operating segment in every year; the CEO reviews results on a consolidated basis</t>
  </si>
  <si>
    <t>ASU 2023-07 segment table: CODM uses net income; FY2024 benefit from income taxes of $(457.6)m lifts net income to $427.6m</t>
  </si>
  <si>
    <t>Segment table splits out interest expense of $45.7m after the $800m term loan</t>
  </si>
  <si>
    <t>Q4 ARR up 77% to $841.0m; acquired entities contributed $282.0m</t>
  </si>
  <si>
    <t>ARR growth now credited partly to "revenue which is not related to assets on our platform"</t>
  </si>
  <si>
    <t>Gross retention: "approximately 98% over the past twelve quarters" (FY2021) to "approximately 98% in 19 of the past 20 quarters" (FY2023) to "at least 98% in 27 of the past 28 quarters" (FY2025)</t>
  </si>
  <si>
    <t>Q4 net revenue retention: 111%, 106%, 107%, 116%, 109%</t>
  </si>
  <si>
    <t>"100% recurring revenue model" now excludes JUMP license revenue</t>
  </si>
  <si>
    <t>Critical estimates: revenue recognition and deferred revenue, equity-based compensation, income taxes</t>
  </si>
  <si>
    <t>JOBS Act extended transition period elected for new accounting standards</t>
  </si>
  <si>
    <t>Tax receivable agreement added as a critical estimate; revenue policy adds perpetual and term licenses (JUMP)</t>
  </si>
  <si>
    <t>First critical audit matter: deferred tax assets from Up-C exchanges</t>
  </si>
  <si>
    <t>Second critical audit matter: realizability of deferred tax assets of $625m</t>
  </si>
  <si>
    <t>Business combinations replaces TRA as a critical estimate; new audit matter on Enfusion and Beacon developed technology ($400m and $130m)</t>
  </si>
  <si>
    <t>Management fee to Principal Equity Owners (from a $9.6m prepayment in Jan 2021): $2.4m in 2021 rising to $2.6m in 2023</t>
  </si>
  <si>
    <t>TRA payments of $11.6m accrued to Continuing Equity Owners</t>
  </si>
  <si>
    <t>Paid $71.3m of TRA payments and $3.3m of TRA bonus payments to executive officers</t>
  </si>
  <si>
    <t>Sponsors relabeled "Prior Principal Equity Owners"; management fee immaterial</t>
  </si>
  <si>
    <t>No management ICFR report (newly public); no auditor attestation as an emerging growth company</t>
  </si>
  <si>
    <t>Material weakness in IT general controls over the invoicing systems; disclosure controls not effective at 31 Dec 2023</t>
  </si>
  <si>
    <t>Material weakness remediated in Q4 2024</t>
  </si>
  <si>
    <t>ICFR assessment excludes Enfusion and Beacon: about 23% of assets (ex goodwill) and 27% of revenue</t>
  </si>
  <si>
    <t>Item 3 boilerplate: no litigation expected to have a material adverse effect</t>
  </si>
  <si>
    <t>Proxy discloses a stockholder Derivative Litigation naming Welsh Carson and directors Davis, Hooper, Mackesy, Lee and Young; alleged damages of about $82m; the merger may extinguish it. 10-Q Q1 2026 keeps the boilerplate</t>
  </si>
  <si>
    <t>Key figure</t>
  </si>
  <si>
    <t>Unit</t>
  </si>
  <si>
    <t>$m</t>
  </si>
  <si>
    <t>$000</t>
  </si>
  <si>
    <t>%</t>
  </si>
  <si>
    <t>% of revenue</t>
  </si>
  <si>
    <t>Why it matters</t>
  </si>
  <si>
    <t>Revenue moves with client asset values; a bond or equity drawdown cuts fees</t>
  </si>
  <si>
    <t>First M&amp;A risk; precedes Wilshire, Enfusion, Beacon and Bistro</t>
  </si>
  <si>
    <t>Post-IPO housekeeping</t>
  </si>
  <si>
    <t>Matches the FY2023 conclusion that controls were not effective</t>
  </si>
  <si>
    <t>Risk framing moves from pandemic to rates and markets</t>
  </si>
  <si>
    <t>Auditor ICFR attestation and critical audit matters now apply</t>
  </si>
  <si>
    <t>Sponsors sold below control; full NYSE governance applies</t>
  </si>
  <si>
    <t>Fee mix broadening (JUMP licenses, Wilshire)</t>
  </si>
  <si>
    <t>Largest deal to date; integration and financing risk</t>
  </si>
  <si>
    <t>Ends the 85% tax-benefit payout to pre-IPO owners; tax assets now accrue to whoever owns CWAN</t>
  </si>
  <si>
    <t>Pending take-private now dominates the risk profile</t>
  </si>
  <si>
    <t>Enfusion brings seat-based pricing; asset values no longer the only driver</t>
  </si>
  <si>
    <t>Enfusion moves CWAN into the front office and hedge funds</t>
  </si>
  <si>
    <t>Sponsors had exited before the buyout approach</t>
  </si>
  <si>
    <t>No segment view of Enfusion, Beacon or JUMP</t>
  </si>
  <si>
    <t>Headline FY2024 profit is a tax item, not operations</t>
  </si>
  <si>
    <t>New leverage visible in the CODM measure</t>
  </si>
  <si>
    <t>Organic ARR growth was about 17.7% (KPI Trend sheet)</t>
  </si>
  <si>
    <t>Same ARR definition, different driver mix</t>
  </si>
  <si>
    <t>Wording concedes one quarter below 98%</t>
  </si>
  <si>
    <t>Expansion slowed in FY2025 after the FY2024 peak</t>
  </si>
  <si>
    <t>First non-recurring revenue</t>
  </si>
  <si>
    <t>Starting point</t>
  </si>
  <si>
    <t>New GAAP adopted on the private-company timetable</t>
  </si>
  <si>
    <t>TRA liability now a judgment area</t>
  </si>
  <si>
    <t>Auditor names Up-C tax accounting the hardest judgment</t>
  </si>
  <si>
    <t>Supports the FY2024 valuation allowance release</t>
  </si>
  <si>
    <t>Purchase accounting and amortization now shape GAAP earnings</t>
  </si>
  <si>
    <t>Sponsor fee ran on after the IPO</t>
  </si>
  <si>
    <t>Cash leakage to pre-IPO holders</t>
  </si>
  <si>
    <t>Executives shared in the TRA buyout</t>
  </si>
  <si>
    <t>Sponsor relationship formally ended</t>
  </si>
  <si>
    <t>Controls first tested later</t>
  </si>
  <si>
    <t>Billing is the revenue engine of an asset-based fee model</t>
  </si>
  <si>
    <t>Clean controls before the Enfusion close</t>
  </si>
  <si>
    <t>A quarter of revenue sat outside tested controls at the buyout</t>
  </si>
  <si>
    <t>No change in five years</t>
  </si>
  <si>
    <t>Conflict for sponsor-affiliated directors; claim not priced into the $24.55</t>
  </si>
  <si>
    <t>Weight</t>
  </si>
  <si>
    <t>High</t>
  </si>
  <si>
    <t>Medium</t>
  </si>
  <si>
    <t>Low</t>
  </si>
  <si>
    <t>Source</t>
  </si>
  <si>
    <t>10-K FY2022, p. iv</t>
  </si>
  <si>
    <t>10-K FY2021, p. iv</t>
  </si>
  <si>
    <t>10-K FY2023, p. v</t>
  </si>
  <si>
    <t>10-K FY2023, p. 14; 10-K FY2022, p. 35</t>
  </si>
  <si>
    <t>10-K FY2023, p. 25</t>
  </si>
  <si>
    <t>10-K FY2023, p. v; 10-K FY2024, p. v</t>
  </si>
  <si>
    <t>10-K FY2024, p. v; 10-K FY2022, p. iv</t>
  </si>
  <si>
    <t>10-K FY2024, p. 22</t>
  </si>
  <si>
    <t>10-K FY2024, p. 44</t>
  </si>
  <si>
    <t>10-K FY2025, p. iv; 10-K FY2025, p. 16</t>
  </si>
  <si>
    <t>10-K FY2025, p. iv</t>
  </si>
  <si>
    <t>10-K FY2024, p. v; 10-K FY2025, p. 103</t>
  </si>
  <si>
    <t>10-K FY2021, p. 77; 10-K FY2024, p. 91</t>
  </si>
  <si>
    <t>10-K FY2024, p. 91</t>
  </si>
  <si>
    <t>10-K FY2025, p. 98; 8-K filed 21 Apr 2025, p. 2</t>
  </si>
  <si>
    <t>10-K FY2025, p. 47</t>
  </si>
  <si>
    <t>10-K FY2021, p. 2; 10-K FY2023, p. 2; 10-K FY2025, p. 2</t>
  </si>
  <si>
    <t>10-K FY2021, p. 6; 10-K FY2022, p. 7; 10-K FY2023, p. 8; 10-K FY2024, p. 8; 10-K FY2025, p. 10</t>
  </si>
  <si>
    <t>10-K FY2022, p. 2</t>
  </si>
  <si>
    <t>10-K FY2021, p. 53</t>
  </si>
  <si>
    <t>10-K FY2022, p. 59</t>
  </si>
  <si>
    <t>10-K FY2023, p. 58; 10-K FY2023, p. 59</t>
  </si>
  <si>
    <t>10-K FY2023, p. 63</t>
  </si>
  <si>
    <t>10-K FY2024, p. 62</t>
  </si>
  <si>
    <t>10-K FY2025, p. 58; 10-K FY2025, p. 64</t>
  </si>
  <si>
    <t>10-K FY2021, p. 81; 10-K FY2023, p. 98</t>
  </si>
  <si>
    <t>10-K FY2022, p. 92</t>
  </si>
  <si>
    <t>10-K FY2024, p. 96</t>
  </si>
  <si>
    <t>10-K FY2025, p. 103</t>
  </si>
  <si>
    <t>10-K FY2021, p. 82</t>
  </si>
  <si>
    <t>10-K FY2023, p. 99; 10-K FY2023, p. 100</t>
  </si>
  <si>
    <t>10-K FY2024, p. 99</t>
  </si>
  <si>
    <t>10-K FY2025, p. 105</t>
  </si>
  <si>
    <t>10-K FY2021, p. 36; 10-K FY2025, p. 39</t>
  </si>
  <si>
    <t>DEFM14A, p. 50; DEFM14A, p. 110; 10-Q Q1 2026, p. 38</t>
  </si>
  <si>
    <t>Clearwater Analytics (CWAN): revenue and KPI trail in the 10-K</t>
  </si>
  <si>
    <t>($ in millions; fiscal years ended 31 December; ARR and retention as of Q4)</t>
  </si>
  <si>
    <t>Metric</t>
  </si>
  <si>
    <t>Revenue and ARR</t>
  </si>
  <si>
    <t>Revenue ($m)</t>
  </si>
  <si>
    <t>Revenue growth</t>
  </si>
  <si>
    <t>Rest of World revenue</t>
  </si>
  <si>
    <t>Rest of World share</t>
  </si>
  <si>
    <t>ARR, Q4 ($m)</t>
  </si>
  <si>
    <t>ARR growth</t>
  </si>
  <si>
    <t>Acquired ARR (Enfusion, Beacon, Bistro)</t>
  </si>
  <si>
    <t>Organic ARR</t>
  </si>
  <si>
    <t>Organic ARR growth</t>
  </si>
  <si>
    <t>Retention and clients</t>
  </si>
  <si>
    <t>Net revenue retention, Q4</t>
  </si>
  <si>
    <t>Clients with $1m+ ARR</t>
  </si>
  <si>
    <t>CAGR FY21-25</t>
  </si>
  <si>
    <t>10-K FY2021, p. 78; 10-K FY2024, p. 91; 10-K FY2025, p. 98</t>
  </si>
  <si>
    <t>10-K FY2022, p. 45; 10-K FY2023, p. 47; 10-K FY2024, p. 45; 10-K FY2025, p. 47</t>
  </si>
  <si>
    <t>Compound calculation: ARR less acquired ARR</t>
  </si>
  <si>
    <t>Compound calculation vs FY2024 ARR</t>
  </si>
  <si>
    <t>10-K FY2021, p. 6; 10-K FY2022, p. 6; 10-K FY2023, p. 7; 10-K FY2024, p. 8; 10-K FY2025, p. 9</t>
  </si>
  <si>
    <t>Acquired ARR (acquired entities)</t>
  </si>
  <si>
    <t>Clearwater Analytics (CWAN): timeline of material events, IPO to take-private</t>
  </si>
  <si>
    <t>(event dates; 8-K pages counted from the cover where the filing prints no folio)</t>
  </si>
  <si>
    <t>Date</t>
  </si>
  <si>
    <t>424B4 (IPO)</t>
  </si>
  <si>
    <t>8-K, Item 7.01</t>
  </si>
  <si>
    <t>TRA Amendment (10-K)</t>
  </si>
  <si>
    <t>8-K, Item 1.01</t>
  </si>
  <si>
    <t>8-K, Items 2.01, 3.02</t>
  </si>
  <si>
    <t>8-K, Item 8.01</t>
  </si>
  <si>
    <t>8-K, Items 1.01, 2.01</t>
  </si>
  <si>
    <t>8-K, Item 5.07</t>
  </si>
  <si>
    <t>Event</t>
  </si>
  <si>
    <t>IPO: 34.5m Class A shares at $18.00; Welsh Carson, Permira and Warburg Pincus held about 97% of the vote</t>
  </si>
  <si>
    <t>Binding put option and exclusivity agreement to acquire JUMP Technology</t>
  </si>
  <si>
    <t>Agreement to acquire Wilshire Axiom, Atlas, Abacus and iQComposite</t>
  </si>
  <si>
    <t>TRA bought out for one-time payments of about $72.5m</t>
  </si>
  <si>
    <t>Enfusion merger agreement; final consideration about $1.4bn in cash and stock</t>
  </si>
  <si>
    <t>Beacon Platform merger agreement; consideration about $488m</t>
  </si>
  <si>
    <t>Bistro (Blackstone) acquired for 3,833,333 Class A shares plus $10.0m cash</t>
  </si>
  <si>
    <t>Enfusion election deadline set at 5:00 p.m. ET on 16 Apr 2025</t>
  </si>
  <si>
    <t>Preliminary results of the Enfusion consideration election</t>
  </si>
  <si>
    <t>Enfusion closed; new $800m term loan and $200m revolver</t>
  </si>
  <si>
    <t>$100m share repurchase program; DEFM14A shows 456,568 shares bought in Q3 2025 at $19.36 and 510,035 in Q4 2025 at $17.97 before suspension</t>
  </si>
  <si>
    <t>Merger agreement with GT Silver BidCo (Permira, Warburg Pincus, Francisco Partners, Temasek) at $24.55 cash per share</t>
  </si>
  <si>
    <t>Termination fees: $111.67m (go-shop superior proposal), $241.95m (other); reverse fee $521.13m</t>
  </si>
  <si>
    <t>Go-shop expired: 44 parties solicited (20 sponsors, 24 strategics), no alternative proposal</t>
  </si>
  <si>
    <t>HSR early termination granted</t>
  </si>
  <si>
    <t>Stockholders approve the merger: 205,143,338 for (majority vote); 200,228,312 for under the disinterested vote; 70.6% of shares present</t>
  </si>
  <si>
    <t>Australian FIRB approval granted; all regulatory approvals obtained</t>
  </si>
  <si>
    <t>Merger closed; new $2.7bn term loan, $500m delayed draw term loan and $325m revolver</t>
  </si>
  <si>
    <t>$/share</t>
  </si>
  <si>
    <t>$bn</t>
  </si>
  <si>
    <t>shares</t>
  </si>
  <si>
    <t>$</t>
  </si>
  <si>
    <t>parties</t>
  </si>
  <si>
    <t>votes</t>
  </si>
  <si>
    <t>Up-C with TRA and controlled-company exemptions from day one</t>
  </si>
  <si>
    <t>First acquisition; adds front-office tools and license revenue</t>
  </si>
  <si>
    <t>Adds risk and performance analytics</t>
  </si>
  <si>
    <t>Ends the 85% TRA payout; clears the Up-C for a sale</t>
  </si>
  <si>
    <t>Largest deal; takes CWAN into hedge funds and order management</t>
  </si>
  <si>
    <t>Adds a risk and analytics platform; second deal in eight weeks</t>
  </si>
  <si>
    <t>Unregistered share issuance; Blackstone becomes a holder</t>
  </si>
  <si>
    <t>Mechanics of the cash and stock election</t>
  </si>
  <si>
    <t>Sets the cash and stock mix</t>
  </si>
  <si>
    <t>First material leverage since the IPO</t>
  </si>
  <si>
    <t>Company bought below the later $24.55 deal price</t>
  </si>
  <si>
    <t>Take-private by two former sponsors</t>
  </si>
  <si>
    <t>Low go-shop fee invites topping bids; reverse fee about 2.2x the company fee</t>
  </si>
  <si>
    <t>Market check produced no topping bid</t>
  </si>
  <si>
    <t>US antitrust condition cleared</t>
  </si>
  <si>
    <t>Both majority and disinterested approvals met</t>
  </si>
  <si>
    <t>Last regulatory condition cleared</t>
  </si>
  <si>
    <t>Buyout leverage replaces the 2025 facility</t>
  </si>
  <si>
    <t>10-K FY2025, p. 40; DEFM14A, p. 29</t>
  </si>
  <si>
    <t>8-K filed 29 Sep 2022, p. 2</t>
  </si>
  <si>
    <t>8-K filed 2 Apr 2024, p. 3</t>
  </si>
  <si>
    <t>8-K filed 13 Jan 2025, p. 2; 10-K FY2025, p. 64</t>
  </si>
  <si>
    <t>8-K filed 12 Mar 2025, p. 2; 10-K FY2025, p. 64</t>
  </si>
  <si>
    <t>8-K filed 31 Mar 2025, p. 2</t>
  </si>
  <si>
    <t>8-K filed 2 Apr 2025, p. 2</t>
  </si>
  <si>
    <t>8-K filed 17 Apr 2025, p. 2</t>
  </si>
  <si>
    <t>8-K filed 21 Apr 2025, p. 2</t>
  </si>
  <si>
    <t>8-K filed 3 Sep 2025, p. 3; DEFM14A, p. 167</t>
  </si>
  <si>
    <t>8-K filed 22 Dec 2025, p. 3</t>
  </si>
  <si>
    <t>8-K filed 22 Dec 2025, p. 4</t>
  </si>
  <si>
    <t>8-K filed 23 Jan 2026, p. 2</t>
  </si>
  <si>
    <t>8-K filed 17 Feb 2026, p. 3</t>
  </si>
  <si>
    <t>8-K filed 7 May 2026, p. 1</t>
  </si>
  <si>
    <t>8-K filed 22 Jun 2026, p. 2</t>
  </si>
  <si>
    <t>8-K filed 25 Jun 2026, p. 2</t>
  </si>
  <si>
    <t>8-K, Items 1.01, 2.01, 3.01, 5.01</t>
  </si>
  <si>
    <t>8-K, Items 1.01, 2.01, 2.03</t>
  </si>
  <si>
    <t>Clearwater Analytics (CWAN): take-private items in the filings</t>
  </si>
  <si>
    <t>($ in millions unless stated; DEFM14A dated 8 Apr 2026)</t>
  </si>
  <si>
    <t>A. Bid progression (merger proxy background)</t>
  </si>
  <si>
    <t>B. Management Financial Forecasts (standalone, prepared by management)</t>
  </si>
  <si>
    <t>$ in millions</t>
  </si>
  <si>
    <t>Revenue</t>
  </si>
  <si>
    <t>Growth</t>
  </si>
  <si>
    <t>Gross profit</t>
  </si>
  <si>
    <t>Gross margin</t>
  </si>
  <si>
    <t>Adj. EBITDA (pre-SBC)</t>
  </si>
  <si>
    <t>Adj. EBITDA margin</t>
  </si>
  <si>
    <t>Adj. EBIT (post-SBC)</t>
  </si>
  <si>
    <t>Unlevered FCF, with Tax Attributes (PJT Partners basis)</t>
  </si>
  <si>
    <t>Unlevered FCF, ex Tax Attributes (J.P. Morgan basis)</t>
  </si>
  <si>
    <t>Difference in unlevered FCF</t>
  </si>
  <si>
    <t>Tax Attributes cash benefit per management</t>
  </si>
  <si>
    <t>Check: difference less Tax Attributes</t>
  </si>
  <si>
    <t>FY2026 revenue growth assumption</t>
  </si>
  <si>
    <t>Adj. EBITDA margin, FY2025 to FY2030</t>
  </si>
  <si>
    <t>SBC held flat ($m per year)</t>
  </si>
  <si>
    <t>PJT Partners used NOPAT with Tax Attributes; J.P. Morgan used NOPAT ex Tax Attributes</t>
  </si>
  <si>
    <t>C. Sponsor ownership: IPO to proxy</t>
  </si>
  <si>
    <t>D. Sponsor secondary sales, 2023-2024</t>
  </si>
  <si>
    <t>E. Insider holdings at 31 Mar 2026 (beneficial ownership, options included)</t>
  </si>
  <si>
    <t>Holder</t>
  </si>
  <si>
    <t>Class A shares outstanding</t>
  </si>
  <si>
    <t>BlackRock, Inc.</t>
  </si>
  <si>
    <t>Sandeep Sahai (CEO)</t>
  </si>
  <si>
    <t>Jim Cox (CFO)</t>
  </si>
  <si>
    <t>Souvik Das</t>
  </si>
  <si>
    <t>Scott Erickson</t>
  </si>
  <si>
    <t>Subi Sethi</t>
  </si>
  <si>
    <t>Eric Lee (Welsh Carson)</t>
  </si>
  <si>
    <t>Jacques Aigrain (Special Committee chair)</t>
  </si>
  <si>
    <t>Cary Davis (Warburg Pincus)</t>
  </si>
  <si>
    <t>Christopher Hooper (Welsh Carson)</t>
  </si>
  <si>
    <t>Lisa Jones</t>
  </si>
  <si>
    <t>D. Scott Mackesy (Welsh Carson)</t>
  </si>
  <si>
    <t>Mukesh Aghi</t>
  </si>
  <si>
    <t>Bas NieuweWeme</t>
  </si>
  <si>
    <t>Andrew Young (Permira)</t>
  </si>
  <si>
    <t>Directors and executive officers as a group (14)</t>
  </si>
  <si>
    <t>F. Director and officer ties to the buyer group</t>
  </si>
  <si>
    <t>Cary Davis is a Warburg Pincus partner and Andrew Young a Permira partner; neither voted on the merger</t>
  </si>
  <si>
    <t>Special Committee chair Jacques Aigrain has about $3.25m invested in Warburg Pincus funds (not the buyer vehicles)</t>
  </si>
  <si>
    <t>CEO Sandeep Sahai owns 50% of an entity invested in Warburg Pincus funds, some of which hold buyer-side interests</t>
  </si>
  <si>
    <t>CFO Jim Cox has about EUR 1m in Permira funds that hold interests in the Permira filing parties</t>
  </si>
  <si>
    <t>Consortium raised management rollover after signing; Sahai declined to discuss it then</t>
  </si>
  <si>
    <t>Five directors are defendants in the Derivative Litigation (about $82m alleged) that the merger may extinguish</t>
  </si>
  <si>
    <t>G. Deal protections and stockholder vote</t>
  </si>
  <si>
    <t>Item</t>
  </si>
  <si>
    <t>Merger consideration</t>
  </si>
  <si>
    <t>Company termination fee, go-shop superior proposal</t>
  </si>
  <si>
    <t>Company termination fee, other</t>
  </si>
  <si>
    <t>Parent (reverse) termination fee</t>
  </si>
  <si>
    <t>Reverse fee as a multiple of company fee</t>
  </si>
  <si>
    <t>Go-shop parties solicited</t>
  </si>
  <si>
    <t>Votes for, majority approval</t>
  </si>
  <si>
    <t>Votes against, majority approval</t>
  </si>
  <si>
    <t>Votes for, disinterested approval</t>
  </si>
  <si>
    <t>Votes against, disinterested approval</t>
  </si>
  <si>
    <t>Shares present or represented</t>
  </si>
  <si>
    <t>Disinterested votes cast in favor</t>
  </si>
  <si>
    <t>Party</t>
  </si>
  <si>
    <t>Market</t>
  </si>
  <si>
    <t>Consortium (Warburg Pincus, Permira)</t>
  </si>
  <si>
    <t>Sponsor Party A</t>
  </si>
  <si>
    <t>Consortium</t>
  </si>
  <si>
    <t>Special Committee</t>
  </si>
  <si>
    <t>Welsh Carson</t>
  </si>
  <si>
    <t>Permira</t>
  </si>
  <si>
    <t>Warburg Pincus</t>
  </si>
  <si>
    <t>Three sponsors combined</t>
  </si>
  <si>
    <t>Seller</t>
  </si>
  <si>
    <t>Total, Welsh Carson</t>
  </si>
  <si>
    <t>Total, Permira</t>
  </si>
  <si>
    <t>Total, Warburg Pincus</t>
  </si>
  <si>
    <t>Total, three sponsors</t>
  </si>
  <si>
    <t>Proposal</t>
  </si>
  <si>
    <t>Unaffected closing price</t>
  </si>
  <si>
    <t>Opening indication of interest</t>
  </si>
  <si>
    <t>Indication, low end</t>
  </si>
  <si>
    <t>Indication, high end</t>
  </si>
  <si>
    <t>Revised proposal</t>
  </si>
  <si>
    <t>Counterproposal</t>
  </si>
  <si>
    <t>Counterproposal, accepted</t>
  </si>
  <si>
    <t>Disclosed premium of final price</t>
  </si>
  <si>
    <t>Difference (computed less disclosed)</t>
  </si>
  <si>
    <t>Final price vs opening indication ($ per share)</t>
  </si>
  <si>
    <t>Shares</t>
  </si>
  <si>
    <t>Shares sold</t>
  </si>
  <si>
    <t>Class A shares</t>
  </si>
  <si>
    <t>Value</t>
  </si>
  <si>
    <t>$ per share</t>
  </si>
  <si>
    <t>% as reported</t>
  </si>
  <si>
    <t>Price ($ per share)</t>
  </si>
  <si>
    <t>% of Class A</t>
  </si>
  <si>
    <t>x</t>
  </si>
  <si>
    <t>% outstanding</t>
  </si>
  <si>
    <t>% of votes cast</t>
  </si>
  <si>
    <t>Premium to unaffected</t>
  </si>
  <si>
    <t>Basis</t>
  </si>
  <si>
    <t>Combined voting power after IPO (full option)</t>
  </si>
  <si>
    <t>Sum of the rows above</t>
  </si>
  <si>
    <t>Schedule 13G/A cover, filer's class basis</t>
  </si>
  <si>
    <t>Per proxy, at proxy date</t>
  </si>
  <si>
    <t>Per proxy: not a beneficial owner</t>
  </si>
  <si>
    <t>Proceeds ($m)</t>
  </si>
  <si>
    <t>DEFM14A, p. 49</t>
  </si>
  <si>
    <t>DEFM14A, p. 33</t>
  </si>
  <si>
    <t>DEFM14A, p. 46</t>
  </si>
  <si>
    <t>DEFM14A, p. 47</t>
  </si>
  <si>
    <t>DEFM14A, p. 48</t>
  </si>
  <si>
    <t>424B4 prospectus, p. 141</t>
  </si>
  <si>
    <t>Compound calculation</t>
  </si>
  <si>
    <t>Schedule 13G/A Welsh Carson filed 14 Feb 2024, p. 2</t>
  </si>
  <si>
    <t>Schedule 13G/A Permira filed 9 Feb 2024, p. 2</t>
  </si>
  <si>
    <t>Schedule 13G/A Warburg Pincus filed 14 Feb 2024, p. 2</t>
  </si>
  <si>
    <t>Schedule 13G/A Warburg Pincus filed 14 Nov 2024, p. 2</t>
  </si>
  <si>
    <t>Schedule 13G/A Permira filed 13 Feb 2025, p. 2</t>
  </si>
  <si>
    <t>Schedule 13G/A Welsh Carson filed 14 Feb 2025, p. 2</t>
  </si>
  <si>
    <t>Schedule 13G/A Welsh Carson filed 13 Aug 2025, p. 2</t>
  </si>
  <si>
    <t>DEFM14A, p. 29</t>
  </si>
  <si>
    <t>DEFM14A, p. 166</t>
  </si>
  <si>
    <t>DEFM14A, p. 164</t>
  </si>
  <si>
    <t>DEFM14A, p. 110</t>
  </si>
  <si>
    <t>DEFM14A, p. 51</t>
  </si>
  <si>
    <t>DEFM14A, p. 110; DEFM14A, p. 50</t>
  </si>
  <si>
    <t>DEFM14A, p. 69</t>
  </si>
  <si>
    <t>DEFM14A, p. 66</t>
  </si>
  <si>
    <t>DEFM14A, p. 67</t>
  </si>
  <si>
    <t>Clearwater Analytics (CWAN): five filing changes that matter for the take-private</t>
  </si>
  <si>
    <t>($ in millions unless stated; review of the 424B4, 10-Ks FY2021-FY2025, 10-Qs, 8-Ks and DEFM14A)</t>
  </si>
  <si>
    <t>Merger risks lead the 10-K; the bid barely moved</t>
  </si>
  <si>
    <t>Enfusion resets the KPIs</t>
  </si>
  <si>
    <t>Up-C and TRA unwound; sponsors sold, then two came back as buyers</t>
  </si>
  <si>
    <t>Tax assets moved center stage</t>
  </si>
  <si>
    <t>Controls and litigation gaps at the point of sale</t>
  </si>
  <si>
    <t>Filings</t>
  </si>
  <si>
    <t>FY2025 10-K; DEFM14A</t>
  </si>
  <si>
    <t>FY2024-FY2025 10-K</t>
  </si>
  <si>
    <t>FY2024 10-K; DEFM14A</t>
  </si>
  <si>
    <t>FY2023-FY2025 10-K; DEFM14A</t>
  </si>
  <si>
    <t>Four merger risks now open the summary risk factors. The consortium opened at $24.50 on 23 Oct 2025 and signed at $24.55, a 47.1% premium to the $16.69 unaffected price</t>
  </si>
  <si>
    <t>Q4 ARR up 77% to $841.0m, of which $282.0m acquired; fee risk now cites user fees and hedge funds; NRR fell from 116% to 109%</t>
  </si>
  <si>
    <t>TRA bought out for about $72.5m in Nov 2024; controlled-company risk dropped; sponsors sold 124.2m shares for about $2.47bn in 2023-2024</t>
  </si>
  <si>
    <t>Audit matters added on Up-C deferred tax assets (FY2023) and their realizability, $625m (FY2024); FY2024 income tax benefit of $(457.6)m</t>
  </si>
  <si>
    <t>Material weakness in billing IT controls (FY2023), remediated Q4 2024; FY2025 ICFR excludes Enfusion and Beacon, 27% of revenue; proxy discloses an $82m derivative claim the 10-K does not</t>
  </si>
  <si>
    <t>Price discovery came from the go-shop (44 parties, no bid), not from negotiation; the Special Committee's $25.75 ask was not met</t>
  </si>
  <si>
    <t>Organic ARR grew about 17.7%, so the 29% FY2026 revenue growth in the projections leans on a full year of acquired revenue</t>
  </si>
  <si>
    <t>Warburg Pincus and Permira re-enter at $24.55 after selling down; executives took $3.3m of TRA bonus payments</t>
  </si>
  <si>
    <t>Management valued the Tax Attributes at $40m-$123m a year; PJT Partners counted them in free cash flow, J.P. Morgan did not</t>
  </si>
  <si>
    <t>A quarter of revenue was outside tested controls at signing, and five directors had a claim the merger may extinguish</t>
  </si>
  <si>
    <t>% organic ARR growth</t>
  </si>
  <si>
    <t>$m sponsor proceeds</t>
  </si>
  <si>
    <t>$m FY2030 Tax Attributes</t>
  </si>
  <si>
    <t>10-K FY2025, p. iv; DEFM14A, p. 33; DEFM14A, p. 49; 8-K filed 23 Jan 2026, p. 2</t>
  </si>
  <si>
    <t>10-K FY2025, p. 47; 10-K FY2025, p. iv; 10-K FY2024, p. 8; 10-K FY2025, p. 10; DEFM14A, p. 66</t>
  </si>
  <si>
    <t>10-K FY2024, p. 44; 10-K FY2023, p. v; 10-K FY2024, p. 96; DEFM14A, p. 166; DEFM14A, p. 29</t>
  </si>
  <si>
    <t>10-K FY2023, p. 63; 10-K FY2024, p. 62; 10-K FY2024, p. 91; DEFM14A, p. 69</t>
  </si>
  <si>
    <t>10-K FY2023, p. 99; 10-K FY2024, p. 99; 10-K FY2025, p. 105; DEFM14A, p. 50; 10-K FY2025, p. 39</t>
  </si>
  <si>
    <t>A quarter of revenue sat outside tested controls at year-end 2025, and five directors faced a claim the merger may extinguish</t>
  </si>
  <si>
    <t>$ per share over opening bid</t>
  </si>
  <si>
    <t>Both banks counted Tax Attributes: PJT Partners inside unlevered FCF; J.P. Morgan excluded them from FCF and added their present value</t>
  </si>
  <si>
    <t>J.P. Morgan present value of Tax Attributes, low / high ($ per share)</t>
  </si>
  <si>
    <t>J.P. Morgan DCF range incl. Tax Attributes, low / high ($ per share)</t>
  </si>
  <si>
    <t>DEFM14A, p. 69 (note 7); DEFM14A, p. 70 (note 8); DEFM14A, p. 83</t>
  </si>
  <si>
    <t>DEFM14A, p. 83</t>
  </si>
  <si>
    <t>Management valued the Tax Attributes at $40m-$123m a year and both banks counted them: PJT Partners inside its unlevered FCF, J.P. Morgan as a present value of $1.45-$1.50 per share added to its $20.25-$31.25 DCF range</t>
  </si>
  <si>
    <t>10-K FY2023, p. 63; 10-K FY2024, p. 62; 10-K FY2024, p. 91; DEFM14A, p. 69; DEFM14A, p. 70; DEFM14A, p.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</si>
</sst>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$#,##0.00"/>
    <numFmt numFmtId="165" formatCode="0.0%"/>
    <numFmt numFmtId="166" formatCode="#,##0,,"/>
    <numFmt numFmtId="167" formatCode="#,##0.0;(#,##0.0)"/>
    <numFmt numFmtId="168" formatCode="#,##0.0,;(#,##0.0,)"/>
    <numFmt numFmtId="169" formatCode="&quot;FY&quot;yyyy"/>
    <numFmt numFmtId="170" formatCode="0.0%;(0.0%)"/>
    <numFmt numFmtId="171" formatCode="d mmm yyyy"/>
    <numFmt numFmtId="172" formatCode="#,##0.0"/>
    <numFmt numFmtId="173" formatCode="#,##0.0,,"/>
    <numFmt numFmtId="174" formatCode="yyyy&quot;E&quot;"/>
    <numFmt numFmtId="175" formatCode="#,##0;(#,##0)"/>
    <numFmt numFmtId="176" formatCode="0.0&quot;x&quot;"/>
  </numFmts>
  <fonts count="10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8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u val="singleAccounting"/>
      <sz val="10"/>
      <color rgb="FF000000"/>
      <name val="Arial"/>
      <family val="2"/>
    </font>
    <font>
      <b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9D3E8"/>
        <bgColor indexed="64"/>
      </patternFill>
    </fill>
    <fill>
      <patternFill patternType="solid">
        <fgColor rgb="FFE4E9F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left/>
      <right/>
      <top/>
      <bottom style="hair"/>
      <diagonal/>
    </border>
    <border>
      <left/>
      <right/>
      <top/>
      <bottom style="hair">
        <color rgb="FFD9D9D9"/>
      </bottom>
      <diagonal/>
    </border>
    <border>
      <left/>
      <right/>
      <top style="thin"/>
      <bottom/>
      <diagonal/>
    </border>
  </borders>
  <cellStyleXfs count="1">
    <xf borderId="0" fillId="0" fontId="0" numFmtId="0" applyAlignment="1" applyFont="1" applyFill="1"/>
  </cellStyleXfs>
  <cellXfs count="99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2" fillId="0" fontId="1" numFmtId="0" applyAlignment="1" applyFont="1">
      <alignment vertical="bottom"/>
    </xf>
    <xf xfId="0" borderId="0" fillId="0" fontId="0" numFmtId="0" applyAlignment="1">
      <alignment wrapText="1" vertical="top"/>
    </xf>
    <xf xfId="0" borderId="0" fillId="0" fontId="0" numFmtId="0" quotePrefix="1" applyAlignment="1">
      <alignment wrapText="1" horizontal="center" vertical="top"/>
    </xf>
    <xf xfId="0" borderId="4" fillId="0" fontId="0" numFmtId="0" quotePrefix="1" applyAlignment="1">
      <alignment wrapText="1" horizontal="center" vertical="top"/>
    </xf>
    <xf xfId="0" borderId="4" fillId="0" fontId="1" numFmtId="0" applyAlignment="1" applyFont="1">
      <alignment wrapText="1" vertical="top"/>
    </xf>
    <xf xfId="0" borderId="4" fillId="0" fontId="0" numFmtId="0" applyAlignment="1">
      <alignment wrapText="1" vertical="top"/>
    </xf>
    <xf xfId="0" borderId="4" fillId="0" fontId="4" numFmtId="164" applyAlignment="1" applyFont="1">
      <alignment wrapText="1" vertical="top"/>
    </xf>
    <xf xfId="0" borderId="4" fillId="0" fontId="4" numFmtId="165" applyAlignment="1" applyFont="1">
      <alignment wrapText="1" vertical="top"/>
    </xf>
    <xf xfId="0" borderId="4" fillId="0" fontId="4" numFmtId="166" applyAlignment="1" applyFont="1">
      <alignment wrapText="1" vertical="top"/>
    </xf>
    <xf xfId="0" borderId="4" fillId="0" fontId="4" numFmtId="3" applyAlignment="1" applyFont="1">
      <alignment wrapText="1" vertical="top"/>
    </xf>
    <xf xfId="0" borderId="4" fillId="0" fontId="4" numFmtId="9" applyAlignment="1" applyFont="1">
      <alignment wrapText="1" vertical="top"/>
    </xf>
    <xf xfId="0" borderId="0" fillId="2" fontId="6" numFmtId="0" applyFont="1" applyFill="1"/>
    <xf xfId="0" borderId="2" fillId="0" fontId="1" numFmtId="0" applyAlignment="1" applyFont="1">
      <alignment horizontal="right" vertical="bottom"/>
    </xf>
    <xf xfId="0" borderId="0" fillId="2" fontId="6" numFmtId="0" applyAlignment="1" applyFont="1" applyFill="1">
      <alignment horizontal="right"/>
    </xf>
    <xf xfId="0" borderId="0" fillId="0" fontId="0" numFmtId="167" applyAlignment="1">
      <alignment wrapText="1" horizontal="right" vertical="top"/>
    </xf>
    <xf xfId="0" borderId="0" fillId="0" fontId="7" numFmtId="167" applyAlignment="1" applyFont="1">
      <alignment wrapText="1" horizontal="right" vertical="top"/>
    </xf>
    <xf xfId="0" borderId="0" fillId="0" fontId="7" numFmtId="168" applyAlignment="1" applyFont="1">
      <alignment wrapText="1" horizontal="right" vertical="top"/>
    </xf>
    <xf xfId="0" borderId="0" fillId="0" fontId="7" numFmtId="9" applyAlignment="1" applyFont="1">
      <alignment wrapText="1" horizontal="right" vertical="top"/>
    </xf>
    <xf xfId="0" borderId="0" fillId="3" fontId="1" numFmtId="0" applyAlignment="1" applyFont="1" applyFill="1">
      <alignment wrapText="1" vertical="top"/>
    </xf>
    <xf xfId="0" borderId="0" fillId="4" fontId="0" numFmtId="0" applyAlignment="1" applyFill="1">
      <alignment wrapText="1" vertical="top"/>
    </xf>
    <xf xfId="0" borderId="0" fillId="0" fontId="0" numFmtId="0" applyAlignment="1">
      <alignment horizontal="center"/>
    </xf>
    <xf xfId="0" borderId="2" fillId="0" fontId="1" numFmtId="0" applyAlignment="1" applyFont="1">
      <alignment horizontal="center" vertical="bottom"/>
    </xf>
    <xf xfId="0" borderId="2" fillId="0" fontId="8" numFmtId="169" applyAlignment="1" applyFont="1">
      <alignment horizontal="center" vertical="bottom"/>
    </xf>
    <xf xfId="0" borderId="0" fillId="0" fontId="9" numFmtId="168" applyAlignment="1" applyFont="1">
      <alignment horizontal="right"/>
    </xf>
    <xf xfId="0" borderId="0" fillId="0" fontId="1" numFmtId="0" applyAlignment="1" applyFont="1">
      <alignment horizontal="right"/>
    </xf>
    <xf xfId="0" borderId="0" fillId="0" fontId="1" numFmtId="165" applyAlignment="1" applyFont="1">
      <alignment horizontal="right"/>
    </xf>
    <xf xfId="0" borderId="0" fillId="0" fontId="3" numFmtId="170" applyAlignment="1" applyFont="1">
      <alignment horizontal="right"/>
    </xf>
    <xf xfId="0" borderId="0" fillId="0" fontId="3" numFmtId="0" applyAlignment="1" applyFont="1">
      <alignment horizontal="right"/>
    </xf>
    <xf xfId="0" borderId="0" fillId="0" fontId="3" numFmtId="165" applyAlignment="1" applyFont="1">
      <alignment horizontal="right"/>
    </xf>
    <xf xfId="0" borderId="0" fillId="0" fontId="7" numFmtId="168" applyAlignment="1" applyFont="1">
      <alignment horizontal="right"/>
    </xf>
    <xf xfId="0" borderId="0" fillId="0" fontId="0" numFmtId="0" applyAlignment="1">
      <alignment horizontal="right"/>
    </xf>
    <xf xfId="0" borderId="0" fillId="0" fontId="0" numFmtId="165" applyAlignment="1">
      <alignment horizontal="right"/>
    </xf>
    <xf xfId="0" borderId="0" fillId="0" fontId="0" numFmtId="168" applyAlignment="1">
      <alignment horizontal="right"/>
    </xf>
    <xf xfId="0" borderId="0" fillId="0" fontId="7" numFmtId="9" applyAlignment="1" applyFont="1">
      <alignment horizontal="right"/>
    </xf>
    <xf xfId="0" borderId="0" fillId="0" fontId="7" numFmtId="3" applyAlignment="1" applyFont="1">
      <alignment horizontal="right"/>
    </xf>
    <xf xfId="0" borderId="0" fillId="0" fontId="3" numFmtId="0" applyAlignment="1" applyFont="1">
      <alignment indent="1"/>
    </xf>
    <xf xfId="0" borderId="0" fillId="0" fontId="0" numFmtId="0" applyAlignment="1">
      <alignment indent="1"/>
    </xf>
    <xf xfId="0" borderId="4" fillId="0" fontId="0" numFmtId="171" applyAlignment="1">
      <alignment wrapText="1" horizontal="left" vertical="top"/>
    </xf>
    <xf xfId="0" borderId="4" fillId="0" fontId="7" numFmtId="164" applyAlignment="1" applyFont="1">
      <alignment wrapText="1" horizontal="right" vertical="top"/>
    </xf>
    <xf xfId="0" borderId="4" fillId="0" fontId="0" numFmtId="0" applyAlignment="1">
      <alignment wrapText="1" horizontal="right" vertical="top"/>
    </xf>
    <xf xfId="0" borderId="4" fillId="0" fontId="7" numFmtId="172" applyAlignment="1" applyFont="1">
      <alignment wrapText="1" horizontal="right" vertical="top"/>
    </xf>
    <xf xfId="0" borderId="4" fillId="0" fontId="7" numFmtId="3" applyAlignment="1" applyFont="1">
      <alignment wrapText="1" horizontal="right" vertical="top"/>
    </xf>
    <xf xfId="0" borderId="4" fillId="0" fontId="7" numFmtId="173" applyAlignment="1" applyFont="1">
      <alignment wrapText="1" horizontal="right" vertical="top"/>
    </xf>
    <xf xfId="0" borderId="0" fillId="2" fontId="6" numFmtId="0" applyAlignment="1" applyFont="1" applyFill="1">
      <alignment horizontal="left" vertical="center"/>
    </xf>
    <xf xfId="0" borderId="0" fillId="2" fontId="6" numFmtId="0" applyAlignment="1" applyFont="1" applyFill="1">
      <alignment vertical="top"/>
    </xf>
    <xf xfId="0" borderId="0" fillId="2" fontId="6" numFmtId="167" applyAlignment="1" applyFont="1" applyFill="1">
      <alignment horizontal="left" vertical="center"/>
    </xf>
    <xf xfId="0" borderId="2" fillId="0" fontId="1" numFmtId="0" applyAlignment="1" applyFont="1">
      <alignment wrapText="1" vertical="bottom"/>
    </xf>
    <xf xfId="0" borderId="0" fillId="0" fontId="0" numFmtId="0" applyAlignment="1">
      <alignment wrapText="1" horizontal="left" vertical="top"/>
    </xf>
    <xf xfId="0" borderId="0" fillId="0" fontId="1" numFmtId="0" applyAlignment="1" applyFont="1">
      <alignment wrapText="1" horizontal="left" vertical="top"/>
    </xf>
    <xf xfId="0" borderId="5" fillId="0" fontId="1" numFmtId="0" applyAlignment="1" applyFont="1">
      <alignment wrapText="1" horizontal="left" vertical="top"/>
    </xf>
    <xf xfId="0" borderId="5" fillId="0" fontId="0" numFmtId="0" applyAlignment="1">
      <alignment wrapText="1" horizontal="left" vertical="top"/>
    </xf>
    <xf xfId="0" borderId="0" fillId="0" fontId="0" numFmtId="171" applyAlignment="1">
      <alignment horizontal="left" vertical="top"/>
    </xf>
    <xf xfId="0" borderId="0" fillId="0" fontId="7" numFmtId="164" applyAlignment="1" applyFont="1">
      <alignment horizontal="right" vertical="top"/>
    </xf>
    <xf xfId="0" borderId="0" fillId="0" fontId="0" numFmtId="0" applyAlignment="1">
      <alignment horizontal="right" vertical="top"/>
    </xf>
    <xf xfId="0" borderId="0" fillId="0" fontId="0" numFmtId="0" applyAlignment="1">
      <alignment horizontal="left" vertical="top"/>
    </xf>
    <xf xfId="0" borderId="0" fillId="0" fontId="0" numFmtId="0" applyAlignment="1">
      <alignment vertical="top"/>
    </xf>
    <xf xfId="0" borderId="0" fillId="0" fontId="0" numFmtId="170" applyAlignment="1">
      <alignment horizontal="right" vertical="top"/>
    </xf>
    <xf xfId="0" borderId="0" fillId="0" fontId="1" numFmtId="171" applyAlignment="1" applyFont="1">
      <alignment horizontal="left" vertical="top"/>
    </xf>
    <xf xfId="0" borderId="0" fillId="0" fontId="9" numFmtId="164" applyAlignment="1" applyFont="1">
      <alignment horizontal="right" vertical="top"/>
    </xf>
    <xf xfId="0" borderId="0" fillId="0" fontId="1" numFmtId="170" applyAlignment="1" applyFont="1">
      <alignment horizontal="right" vertical="top"/>
    </xf>
    <xf xfId="0" borderId="0" fillId="0" fontId="7" numFmtId="170" applyAlignment="1" applyFont="1">
      <alignment horizontal="right" vertical="top"/>
    </xf>
    <xf xfId="0" borderId="0" fillId="0" fontId="0" numFmtId="164" applyAlignment="1">
      <alignment horizontal="right" vertical="top"/>
    </xf>
    <xf xfId="0" borderId="0" fillId="2" fontId="6" numFmtId="0" applyAlignment="1" applyFont="1" applyFill="1">
      <alignment horizontal="left" vertical="top"/>
    </xf>
    <xf xfId="0" borderId="0" fillId="2" fontId="6" numFmtId="0" applyAlignment="1" applyFont="1" applyFill="1">
      <alignment horizontal="right" vertical="top"/>
    </xf>
    <xf xfId="0" borderId="2" fillId="0" fontId="1" numFmtId="0" applyAlignment="1" applyFont="1">
      <alignment wrapText="1" horizontal="left" vertical="top"/>
    </xf>
    <xf xfId="0" borderId="2" fillId="0" fontId="8" numFmtId="174" applyAlignment="1" applyFont="1">
      <alignment wrapText="1" horizontal="right" vertical="top"/>
    </xf>
    <xf xfId="0" borderId="2" fillId="0" fontId="1" numFmtId="0" applyAlignment="1" applyFont="1">
      <alignment wrapText="1" vertical="top"/>
    </xf>
    <xf xfId="0" borderId="0" fillId="0" fontId="1" numFmtId="0" applyAlignment="1" applyFont="1">
      <alignment horizontal="left" vertical="top"/>
    </xf>
    <xf xfId="0" borderId="0" fillId="0" fontId="9" numFmtId="175" applyAlignment="1" applyFont="1">
      <alignment horizontal="right" vertical="top"/>
    </xf>
    <xf xfId="0" borderId="0" fillId="0" fontId="3" numFmtId="0" applyAlignment="1" applyFont="1">
      <alignment horizontal="left" vertical="top" indent="1"/>
    </xf>
    <xf xfId="0" borderId="0" fillId="0" fontId="3" numFmtId="170" applyAlignment="1" applyFont="1">
      <alignment horizontal="right" vertical="top"/>
    </xf>
    <xf xfId="0" borderId="0" fillId="0" fontId="7" numFmtId="175" applyAlignment="1" applyFont="1">
      <alignment horizontal="right" vertical="top"/>
    </xf>
    <xf xfId="0" borderId="0" fillId="0" fontId="0" numFmtId="175" applyAlignment="1">
      <alignment horizontal="right" vertical="top"/>
    </xf>
    <xf xfId="0" borderId="0" fillId="0" fontId="0" numFmtId="0" applyAlignment="1">
      <alignment horizontal="left" vertical="top" indent="1"/>
    </xf>
    <xf xfId="0" borderId="0" fillId="0" fontId="0" numFmtId="165" applyAlignment="1">
      <alignment horizontal="right" vertical="top"/>
    </xf>
    <xf xfId="0" borderId="0" fillId="0" fontId="7" numFmtId="165" applyAlignment="1" applyFont="1">
      <alignment horizontal="right" vertical="top"/>
    </xf>
    <xf xfId="0" borderId="0" fillId="0" fontId="7" numFmtId="3" applyAlignment="1" applyFont="1">
      <alignment horizontal="right" vertical="top"/>
    </xf>
    <xf xfId="0" borderId="0" fillId="0" fontId="0" numFmtId="3" applyAlignment="1">
      <alignment horizontal="right" vertical="top"/>
    </xf>
    <xf xfId="0" borderId="2" fillId="0" fontId="1" numFmtId="0" applyAlignment="1" applyFont="1">
      <alignment wrapText="1" horizontal="right" vertical="top"/>
    </xf>
    <xf xfId="0" borderId="5" fillId="0" fontId="1" numFmtId="171" applyAlignment="1" applyFont="1">
      <alignment horizontal="left" vertical="top"/>
    </xf>
    <xf xfId="0" borderId="5" fillId="0" fontId="1" numFmtId="3" applyAlignment="1" applyFont="1">
      <alignment horizontal="right" vertical="top"/>
    </xf>
    <xf xfId="0" borderId="5" fillId="0" fontId="1" numFmtId="165" applyAlignment="1" applyFont="1">
      <alignment horizontal="right" vertical="top"/>
    </xf>
    <xf xfId="0" borderId="5" fillId="0" fontId="1" numFmtId="0" applyAlignment="1" applyFont="1">
      <alignment horizontal="left" vertical="top"/>
    </xf>
    <xf xfId="0" borderId="0" fillId="0" fontId="7" numFmtId="173" applyAlignment="1" applyFont="1">
      <alignment horizontal="right" vertical="top"/>
    </xf>
    <xf xfId="0" borderId="5" fillId="0" fontId="0" numFmtId="0" applyAlignment="1">
      <alignment horizontal="left" vertical="top"/>
    </xf>
    <xf xfId="0" borderId="5" fillId="0" fontId="0" numFmtId="3" applyAlignment="1">
      <alignment horizontal="right" vertical="top"/>
    </xf>
    <xf xfId="0" borderId="5" fillId="0" fontId="0" numFmtId="0" applyAlignment="1">
      <alignment horizontal="right" vertical="top"/>
    </xf>
    <xf xfId="0" borderId="5" fillId="0" fontId="0" numFmtId="173" applyAlignment="1">
      <alignment horizontal="right" vertical="top"/>
    </xf>
    <xf xfId="0" borderId="0" fillId="0" fontId="0" numFmtId="173" applyAlignment="1">
      <alignment horizontal="right" vertical="top"/>
    </xf>
    <xf xfId="0" borderId="5" fillId="0" fontId="1" numFmtId="0" applyAlignment="1" applyFont="1">
      <alignment horizontal="right" vertical="top"/>
    </xf>
    <xf xfId="0" borderId="5" fillId="0" fontId="1" numFmtId="173" applyAlignment="1" applyFont="1">
      <alignment horizontal="right" vertical="top"/>
    </xf>
    <xf xfId="0" borderId="5" fillId="0" fontId="9" numFmtId="3" applyAlignment="1" applyFont="1">
      <alignment horizontal="right" vertical="top"/>
    </xf>
    <xf xfId="0" borderId="0" fillId="0" fontId="7" numFmtId="4" applyAlignment="1" applyFont="1">
      <alignment horizontal="right" vertical="top"/>
    </xf>
    <xf xfId="0" borderId="0" fillId="0" fontId="0" numFmtId="176" applyAlignment="1">
      <alignment horizontal="right" vertical="top"/>
    </xf>
    <xf xfId="0" borderId="0" fillId="0" fontId="0" numFmtId="0" applyAlignme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en-US"/>
              <a:t>Q4 ARR, organic vs acquired ($m)</a:t>
            </a:r>
          </a:p>
        </c:rich>
      </c:tx>
      <c:overlay val="0"/>
    </c:title>
    <c:plotArea>
      <c:barChart>
        <c:barDir val="col"/>
        <c:grouping val="stacked"/>
        <c:varyColors val="0"/>
        <c:ser>
          <c:idx val="0"/>
          <c:order val="0"/>
          <c:tx>
            <c:v>Organic ARR</c:v>
          </c:tx>
          <c:spPr>
            <a:solidFill>
              <a:srgbClr val="4472C4"/>
            </a:solidFill>
            <a:ln>
              <a:noFill/>
            </a:ln>
          </c:spPr>
          <c:invertIfNegative val="0"/>
          <c:dLbls>
            <c:numFmt formatCode="#,##0,;;;"/>
            <c:txPr>
              <a:bodyPr/>
              <a:lstStyle/>
              <a:p>
                <a:pPr>
                  <a:defRPr sz="100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numRef>
              <c:f>'KPI Trend'!$C$5:$G$5</c:f>
              <c:numCache>
                <c:formatCode>"FY"yyyy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'KPI Trend'!$C$14:$G$14</c:f>
              <c:numCache>
                <c:formatCode>#,##0.0,;(#,##0.0,)</c:formatCode>
                <c:ptCount val="5"/>
                <c:pt idx="0">
                  <c:v>277780</c:v>
                </c:pt>
                <c:pt idx="1">
                  <c:v>323461</c:v>
                </c:pt>
                <c:pt idx="2">
                  <c:v>379096</c:v>
                </c:pt>
                <c:pt idx="3">
                  <c:v>474924</c:v>
                </c:pt>
                <c:pt idx="4">
                  <c:v>558962</c:v>
                </c:pt>
              </c:numCache>
            </c:numRef>
          </c:val>
        </c:ser>
        <c:ser>
          <c:idx val="1"/>
          <c:order val="1"/>
          <c:tx>
            <c:v>Acquired ARR</c:v>
          </c:tx>
          <c:spPr>
            <a:solidFill>
              <a:srgbClr val="ED7D31"/>
            </a:solidFill>
            <a:ln>
              <a:noFill/>
            </a:ln>
          </c:spPr>
          <c:invertIfNegative val="0"/>
          <c:dLbls>
            <c:numFmt formatCode="#,##0,;;;"/>
            <c:txPr>
              <a:bodyPr/>
              <a:lstStyle/>
              <a:p>
                <a:pPr>
                  <a:defRPr sz="100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numRef>
              <c:f>'KPI Trend'!$C$5:$G$5</c:f>
              <c:numCache>
                <c:formatCode>"FY"yyyy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'KPI Trend'!$C$13:$G$13</c:f>
              <c:numCache>
                <c:formatCode>#,##0.0,;(#,##0.0,)</c:formatCode>
                <c:ptCount val="5"/>
                <c:pt idx="4">
                  <c:v>282000</c:v>
                </c:pt>
              </c:numCache>
            </c:numRef>
          </c:val>
        </c:ser>
        <c:gapWidth val="60"/>
        <c:overlap val="10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numFmt formatCode="&quot;FY&quot;yy" sourceLinked="0"/>
        <c:txPr>
          <a:bodyPr/>
          <a:lstStyle/>
          <a:p>
            <a:pPr>
              <a:defRPr sz="1000"/>
            </a:pPr>
            <a:endParaRPr lang="en-US"/>
          </a:p>
        </c:txPr>
        <c:crossAx val="222222222"/>
        <c:crosses val="autoZero"/>
        <c:auto val="0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legend>
      <c:legendPos val="b"/>
      <c:overlay val="0"/>
      <c:txPr>
        <a:bodyPr/>
        <a:lstStyle/>
        <a:p>
          <a:pPr>
            <a:defRPr sz="1000"/>
          </a:pPr>
          <a:endParaRPr lang="en-US"/>
        </a:p>
      </c:txPr>
    </c:legend>
    <c:dispBlanksAs val="gap"/>
  </c:chart>
  <c:txPr>
    <a:bodyPr/>
    <a:lstStyle/>
    <a:p>
      <a:pPr>
        <a:defRPr>
          <a:latin typeface="Arial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0</xdr:rowOff>
    </xdr:from>
    <xdr:to>
      <xdr:col>7</xdr:col>
      <xdr:colOff>0</xdr:colOff>
      <xdr:row>38</xdr:row>
      <xdr:rowOff>0</xdr:rowOff>
    </xdr:to>
    <xdr:graphicFrame macro="">
      <xdr:nvGraphicFramePr>
        <xdr:cNvPr id="1" name="ARR organic vs acquired">
          <a:extLst>
            <a:ext uri="{FF2B5EF4-FFF2-40B4-BE49-F238E27FC236}">
              <a16:creationId xmlns:a16="http://schemas.microsoft.com/office/drawing/2014/main" id="{00000000-874F-4C1D-8CA1-000000000001}"/>
            </a:ext>
          </a:extLst>
        </xdr:cNvPr>
        <xdr:cNvGraphicFramePr/>
      </xdr:nvGraphicFramePr>
      <xdr:xfrm>
        <a:off x="0" y="0"/>
        <a:ext cx="6496050" cy="3238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comments" Target="../comments3.xml"/><Relationship Id="rId3" Type="http://schemas.openxmlformats.org/officeDocument/2006/relationships/vmlDrawing" Target="../drawings/comments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comments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comments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showGridLines="0" tabSelected="1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4.07421875" customWidth="1"/>
    <col min="3" max="3" width="28.50390625" customWidth="1"/>
    <col min="4" max="4" width="20.9296875" customWidth="1"/>
    <col min="5" max="5" width="57.07421875" customWidth="1"/>
    <col min="6" max="6" width="51.359375" customWidth="1"/>
    <col min="7" max="7" width="11.7890625" customWidth="1"/>
    <col min="8" max="8" width="20.9296875" customWidth="1"/>
    <col min="9" max="9" width="43.7890625" customWidth="1"/>
  </cols>
  <sheetData>
    <row r="2">
      <c r="B2" t="s" s="2">
        <v>414</v>
      </c>
    </row>
    <row r="3">
      <c r="B3" t="s" s="3">
        <v>415</v>
      </c>
    </row>
    <row r="5">
      <c r="B5" t="s" s="4">
        <v>2</v>
      </c>
      <c r="C5" t="s" s="4">
        <v>57</v>
      </c>
      <c r="D5" t="s" s="4">
        <v>421</v>
      </c>
      <c r="E5" t="s" s="4">
        <v>63</v>
      </c>
      <c r="F5" t="s" s="4">
        <v>108</v>
      </c>
      <c r="G5" t="s" s="4">
        <v>102</v>
      </c>
      <c r="H5" t="s" s="4">
        <v>103</v>
      </c>
      <c r="I5" t="s" s="4">
        <v>151</v>
      </c>
    </row>
    <row r="6" ht="38.25" customHeight="1">
      <c r="B6" t="s" s="7">
        <v>4</v>
      </c>
      <c r="C6" t="s" s="8">
        <v>416</v>
      </c>
      <c r="D6" t="s" s="9">
        <v>422</v>
      </c>
      <c r="E6" t="s" s="9">
        <v>426</v>
      </c>
      <c r="F6" t="s" s="9">
        <v>431</v>
      </c>
      <c r="G6" s="10">
        <f>'Take-Private'!E18</f>
        <v>0.05000000000000071</v>
      </c>
      <c r="H6" t="s" s="9">
        <v>445</v>
      </c>
      <c r="I6" t="s" s="9">
        <v>439</v>
      </c>
    </row>
    <row r="7" ht="38.25" customHeight="1">
      <c r="B7" t="s" s="7">
        <v>5</v>
      </c>
      <c r="C7" t="s" s="8">
        <v>417</v>
      </c>
      <c r="D7" t="s" s="9">
        <v>423</v>
      </c>
      <c r="E7" t="s" s="9">
        <v>427</v>
      </c>
      <c r="F7" t="s" s="9">
        <v>432</v>
      </c>
      <c r="G7" s="11">
        <f>'KPI Trend'!G15</f>
        <v>0.17695041732993078</v>
      </c>
      <c r="H7" t="s" s="9">
        <v>436</v>
      </c>
      <c r="I7" t="s" s="9">
        <v>440</v>
      </c>
    </row>
    <row r="8" ht="38.25" customHeight="1">
      <c r="B8" t="s" s="7">
        <v>6</v>
      </c>
      <c r="C8" t="s" s="8">
        <v>418</v>
      </c>
      <c r="D8" t="s" s="9">
        <v>424</v>
      </c>
      <c r="E8" t="s" s="9">
        <v>428</v>
      </c>
      <c r="F8" t="s" s="9">
        <v>433</v>
      </c>
      <c r="G8" s="12">
        <f>'Take-Private'!F77</f>
        <v>2466810000.1000004</v>
      </c>
      <c r="H8" t="s" s="9">
        <v>437</v>
      </c>
      <c r="I8" t="s" s="9">
        <v>441</v>
      </c>
    </row>
    <row r="9" ht="58" customHeight="1">
      <c r="B9" t="s" s="7">
        <v>7</v>
      </c>
      <c r="C9" t="s" s="8">
        <v>419</v>
      </c>
      <c r="D9" t="s" s="9">
        <v>425</v>
      </c>
      <c r="E9" t="s" s="9">
        <v>429</v>
      </c>
      <c r="F9" t="s" s="9">
        <v>451</v>
      </c>
      <c r="G9" s="13">
        <f>'Take-Private'!H32</f>
        <v>123</v>
      </c>
      <c r="H9" t="s" s="9">
        <v>438</v>
      </c>
      <c r="I9" t="s" s="9">
        <v>452</v>
      </c>
    </row>
    <row r="10" ht="51" customHeight="1">
      <c r="B10" t="s" s="7">
        <v>8</v>
      </c>
      <c r="C10" t="s" s="8">
        <v>420</v>
      </c>
      <c r="D10" t="s" s="9">
        <v>425</v>
      </c>
      <c r="E10" t="s" s="9">
        <v>430</v>
      </c>
      <c r="F10" t="s" s="9">
        <v>444</v>
      </c>
      <c r="G10" s="14">
        <f>'10-K Changes'!F46</f>
        <v>0.27</v>
      </c>
      <c r="H10" t="s" s="9">
        <v>107</v>
      </c>
      <c r="I10" t="s" s="9">
        <v>443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9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4.07421875" customWidth="1"/>
    <col min="3" max="3" width="15.21875" customWidth="1"/>
    <col min="4" max="4" width="11.7890625" customWidth="1"/>
    <col min="5" max="5" width="62.7890625" customWidth="1"/>
    <col min="6" max="7" width="11.7890625" customWidth="1"/>
    <col min="8" max="8" width="47.50390625" customWidth="1"/>
    <col min="9" max="9" width="9.7890625" customWidth="1"/>
    <col min="10" max="10" width="39.9296875" customWidth="1"/>
  </cols>
  <sheetData>
    <row r="2">
      <c r="B2" t="s" s="2">
        <v>0</v>
      </c>
    </row>
    <row r="3">
      <c r="B3" t="s" s="3">
        <v>1</v>
      </c>
    </row>
    <row r="5">
      <c r="B5" t="s" s="4">
        <v>2</v>
      </c>
      <c r="C5" t="s" s="4">
        <v>48</v>
      </c>
      <c r="D5" t="s" s="4">
        <v>57</v>
      </c>
      <c r="E5" t="s" s="4">
        <v>63</v>
      </c>
      <c r="F5" t="s" s="16">
        <v>102</v>
      </c>
      <c r="G5" t="s" s="4">
        <v>103</v>
      </c>
      <c r="H5" t="s" s="4">
        <v>108</v>
      </c>
      <c r="I5" t="s" s="4">
        <v>147</v>
      </c>
      <c r="J5" t="s" s="4">
        <v>151</v>
      </c>
    </row>
    <row r="6" ht="16" customHeight="1">
      <c r="B6" t="s" s="47">
        <v>3</v>
      </c>
      <c r="C6" s="47"/>
      <c r="D6" s="47"/>
      <c r="E6" s="47"/>
      <c r="F6" s="47"/>
      <c r="G6" s="47"/>
      <c r="H6" s="47"/>
      <c r="I6" s="47"/>
      <c r="J6" s="47"/>
    </row>
    <row r="7" ht="29" customHeight="1">
      <c r="B7" t="s" s="6">
        <v>4</v>
      </c>
      <c r="C7" t="s" s="5">
        <v>49</v>
      </c>
      <c r="D7" t="s" s="5">
        <v>58</v>
      </c>
      <c r="E7" t="s" s="5">
        <v>64</v>
      </c>
      <c r="F7" s="18"/>
      <c r="G7" s="5"/>
      <c r="H7" t="s" s="5">
        <v>109</v>
      </c>
      <c r="I7" t="s" s="22">
        <v>148</v>
      </c>
      <c r="J7" t="s" s="5">
        <v>152</v>
      </c>
    </row>
    <row r="8" ht="29" customHeight="1">
      <c r="B8" t="s" s="6">
        <v>5</v>
      </c>
      <c r="C8" t="s" s="5">
        <v>49</v>
      </c>
      <c r="D8" t="s" s="5">
        <v>58</v>
      </c>
      <c r="E8" t="s" s="5">
        <v>65</v>
      </c>
      <c r="F8" s="18"/>
      <c r="G8" s="5"/>
      <c r="H8" t="s" s="5">
        <v>110</v>
      </c>
      <c r="I8" t="s" s="23">
        <v>149</v>
      </c>
      <c r="J8" t="s" s="5">
        <v>152</v>
      </c>
    </row>
    <row r="9" ht="29" customHeight="1">
      <c r="B9" t="s" s="6">
        <v>6</v>
      </c>
      <c r="C9" t="s" s="5">
        <v>49</v>
      </c>
      <c r="D9" t="s" s="5">
        <v>59</v>
      </c>
      <c r="E9" t="s" s="5">
        <v>66</v>
      </c>
      <c r="F9" s="18"/>
      <c r="G9" s="5"/>
      <c r="H9" t="s" s="5">
        <v>111</v>
      </c>
      <c r="I9" t="s" s="5">
        <v>150</v>
      </c>
      <c r="J9" t="s" s="5">
        <v>153</v>
      </c>
    </row>
    <row r="10" ht="29" customHeight="1">
      <c r="B10" t="s" s="6">
        <v>7</v>
      </c>
      <c r="C10" t="s" s="5">
        <v>50</v>
      </c>
      <c r="D10" t="s" s="5">
        <v>58</v>
      </c>
      <c r="E10" t="s" s="5">
        <v>67</v>
      </c>
      <c r="F10" s="18"/>
      <c r="G10" s="5"/>
      <c r="H10" t="s" s="5">
        <v>112</v>
      </c>
      <c r="I10" t="s" s="22">
        <v>148</v>
      </c>
      <c r="J10" t="s" s="5">
        <v>154</v>
      </c>
    </row>
    <row r="11" ht="29" customHeight="1">
      <c r="B11" t="s" s="6">
        <v>8</v>
      </c>
      <c r="C11" t="s" s="5">
        <v>50</v>
      </c>
      <c r="D11" t="s" s="5">
        <v>58</v>
      </c>
      <c r="E11" t="s" s="5">
        <v>68</v>
      </c>
      <c r="F11" s="18"/>
      <c r="G11" s="5"/>
      <c r="H11" t="s" s="5">
        <v>113</v>
      </c>
      <c r="I11" t="s" s="5">
        <v>150</v>
      </c>
      <c r="J11" t="s" s="5">
        <v>155</v>
      </c>
    </row>
    <row r="12" ht="29" customHeight="1">
      <c r="B12" t="s" s="6">
        <v>9</v>
      </c>
      <c r="C12" t="s" s="5">
        <v>50</v>
      </c>
      <c r="D12" t="s" s="5">
        <v>59</v>
      </c>
      <c r="E12" t="s" s="5">
        <v>69</v>
      </c>
      <c r="F12" s="18"/>
      <c r="G12" s="5"/>
      <c r="H12" t="s" s="5">
        <v>114</v>
      </c>
      <c r="I12" t="s" s="23">
        <v>149</v>
      </c>
      <c r="J12" t="s" s="5">
        <v>156</v>
      </c>
    </row>
    <row r="13" ht="29" customHeight="1">
      <c r="B13" t="s" s="6">
        <v>10</v>
      </c>
      <c r="C13" t="s" s="5">
        <v>51</v>
      </c>
      <c r="D13" t="s" s="5">
        <v>59</v>
      </c>
      <c r="E13" t="s" s="5">
        <v>70</v>
      </c>
      <c r="F13" s="18"/>
      <c r="G13" s="5"/>
      <c r="H13" t="s" s="5">
        <v>115</v>
      </c>
      <c r="I13" t="s" s="22">
        <v>148</v>
      </c>
      <c r="J13" t="s" s="5">
        <v>157</v>
      </c>
    </row>
    <row r="14" ht="29" customHeight="1">
      <c r="B14" t="s" s="6">
        <v>11</v>
      </c>
      <c r="C14" t="s" s="5">
        <v>51</v>
      </c>
      <c r="D14" t="s" s="5">
        <v>60</v>
      </c>
      <c r="E14" t="s" s="5">
        <v>71</v>
      </c>
      <c r="F14" s="18"/>
      <c r="G14" s="5"/>
      <c r="H14" t="s" s="5">
        <v>116</v>
      </c>
      <c r="I14" t="s" s="23">
        <v>149</v>
      </c>
      <c r="J14" t="s" s="5">
        <v>158</v>
      </c>
    </row>
    <row r="15" ht="29" customHeight="1">
      <c r="B15" t="s" s="6">
        <v>12</v>
      </c>
      <c r="C15" t="s" s="5">
        <v>51</v>
      </c>
      <c r="D15" t="s" s="5">
        <v>58</v>
      </c>
      <c r="E15" t="s" s="5">
        <v>72</v>
      </c>
      <c r="F15" s="18"/>
      <c r="G15" s="5"/>
      <c r="H15" t="s" s="5">
        <v>117</v>
      </c>
      <c r="I15" t="s" s="22">
        <v>148</v>
      </c>
      <c r="J15" t="s" s="5">
        <v>159</v>
      </c>
    </row>
    <row r="16" ht="29" customHeight="1">
      <c r="B16" t="s" s="6">
        <v>13</v>
      </c>
      <c r="C16" t="s" s="5">
        <v>51</v>
      </c>
      <c r="D16" t="s" s="5">
        <v>59</v>
      </c>
      <c r="E16" t="s" s="5">
        <v>73</v>
      </c>
      <c r="F16" s="19">
        <v>72.5</v>
      </c>
      <c r="G16" t="s" s="5">
        <v>104</v>
      </c>
      <c r="H16" t="s" s="5">
        <v>118</v>
      </c>
      <c r="I16" t="s" s="22">
        <v>148</v>
      </c>
      <c r="J16" t="s" s="5">
        <v>160</v>
      </c>
    </row>
    <row r="17" ht="42" customHeight="1">
      <c r="B17" t="s" s="6">
        <v>14</v>
      </c>
      <c r="C17" t="s" s="5">
        <v>52</v>
      </c>
      <c r="D17" t="s" s="5">
        <v>58</v>
      </c>
      <c r="E17" t="s" s="5">
        <v>74</v>
      </c>
      <c r="F17" s="18"/>
      <c r="G17" s="5"/>
      <c r="H17" t="s" s="5">
        <v>119</v>
      </c>
      <c r="I17" t="s" s="22">
        <v>148</v>
      </c>
      <c r="J17" t="s" s="5">
        <v>161</v>
      </c>
    </row>
    <row r="18" ht="29" customHeight="1">
      <c r="B18" t="s" s="6">
        <v>15</v>
      </c>
      <c r="C18" t="s" s="5">
        <v>52</v>
      </c>
      <c r="D18" t="s" s="5">
        <v>60</v>
      </c>
      <c r="E18" t="s" s="5">
        <v>75</v>
      </c>
      <c r="F18" s="18"/>
      <c r="G18" s="5"/>
      <c r="H18" t="s" s="5">
        <v>120</v>
      </c>
      <c r="I18" t="s" s="23">
        <v>149</v>
      </c>
      <c r="J18" t="s" s="5">
        <v>162</v>
      </c>
    </row>
    <row r="19" ht="29" customHeight="1">
      <c r="B19" t="s" s="6">
        <v>16</v>
      </c>
      <c r="C19" t="s" s="5">
        <v>52</v>
      </c>
      <c r="D19" t="s" s="5">
        <v>60</v>
      </c>
      <c r="E19" t="s" s="5">
        <v>76</v>
      </c>
      <c r="F19" s="18"/>
      <c r="G19" s="5"/>
      <c r="H19" t="s" s="5">
        <v>121</v>
      </c>
      <c r="I19" t="s" s="23">
        <v>149</v>
      </c>
      <c r="J19" t="s" s="5">
        <v>162</v>
      </c>
    </row>
    <row r="20" ht="29" customHeight="1">
      <c r="B20" t="s" s="6">
        <v>17</v>
      </c>
      <c r="C20" t="s" s="5">
        <v>52</v>
      </c>
      <c r="D20" t="s" s="5">
        <v>59</v>
      </c>
      <c r="E20" t="s" s="5">
        <v>77</v>
      </c>
      <c r="F20" s="18"/>
      <c r="G20" s="5"/>
      <c r="H20" t="s" s="5">
        <v>122</v>
      </c>
      <c r="I20" t="s" s="23">
        <v>149</v>
      </c>
      <c r="J20" t="s" s="5">
        <v>163</v>
      </c>
    </row>
    <row r="21" ht="16" customHeight="1">
      <c r="B21" t="s" s="47">
        <v>18</v>
      </c>
      <c r="C21" s="47"/>
      <c r="D21" s="47"/>
      <c r="E21" s="47"/>
      <c r="F21" s="49"/>
      <c r="G21" s="47"/>
      <c r="H21" s="47"/>
      <c r="I21" s="47"/>
      <c r="J21" s="47"/>
    </row>
    <row r="22" ht="29" customHeight="1">
      <c r="B22" t="s" s="6">
        <v>19</v>
      </c>
      <c r="C22" t="s" s="5">
        <v>53</v>
      </c>
      <c r="D22" t="s" s="5">
        <v>61</v>
      </c>
      <c r="E22" t="s" s="5">
        <v>78</v>
      </c>
      <c r="F22" s="18"/>
      <c r="G22" s="5"/>
      <c r="H22" t="s" s="5">
        <v>123</v>
      </c>
      <c r="I22" t="s" s="23">
        <v>149</v>
      </c>
      <c r="J22" t="s" s="5">
        <v>164</v>
      </c>
    </row>
    <row r="23" ht="29" customHeight="1">
      <c r="B23" t="s" s="6">
        <v>20</v>
      </c>
      <c r="C23" t="s" s="5">
        <v>51</v>
      </c>
      <c r="D23" t="s" s="5">
        <v>58</v>
      </c>
      <c r="E23" t="s" s="5">
        <v>79</v>
      </c>
      <c r="F23" s="20">
        <v>-457648</v>
      </c>
      <c r="G23" t="s" s="5">
        <v>104</v>
      </c>
      <c r="H23" t="s" s="5">
        <v>124</v>
      </c>
      <c r="I23" t="s" s="22">
        <v>148</v>
      </c>
      <c r="J23" t="s" s="5">
        <v>165</v>
      </c>
    </row>
    <row r="24" ht="29" customHeight="1">
      <c r="B24" t="s" s="6">
        <v>21</v>
      </c>
      <c r="C24" t="s" s="5">
        <v>52</v>
      </c>
      <c r="D24" t="s" s="5">
        <v>60</v>
      </c>
      <c r="E24" t="s" s="5">
        <v>80</v>
      </c>
      <c r="F24" s="20">
        <v>45664</v>
      </c>
      <c r="G24" t="s" s="5">
        <v>104</v>
      </c>
      <c r="H24" t="s" s="5">
        <v>125</v>
      </c>
      <c r="I24" t="s" s="23">
        <v>149</v>
      </c>
      <c r="J24" t="s" s="5">
        <v>166</v>
      </c>
    </row>
    <row r="25" ht="29" customHeight="1">
      <c r="B25" t="s" s="6">
        <v>22</v>
      </c>
      <c r="C25" t="s" s="5">
        <v>52</v>
      </c>
      <c r="D25" t="s" s="5">
        <v>60</v>
      </c>
      <c r="E25" t="s" s="5">
        <v>81</v>
      </c>
      <c r="F25" s="20">
        <v>840962</v>
      </c>
      <c r="G25" t="s" s="5">
        <v>104</v>
      </c>
      <c r="H25" t="s" s="5">
        <v>126</v>
      </c>
      <c r="I25" t="s" s="22">
        <v>148</v>
      </c>
      <c r="J25" t="s" s="5">
        <v>167</v>
      </c>
    </row>
    <row r="26" ht="29" customHeight="1">
      <c r="B26" t="s" s="6">
        <v>23</v>
      </c>
      <c r="C26" t="s" s="5">
        <v>52</v>
      </c>
      <c r="D26" t="s" s="5">
        <v>58</v>
      </c>
      <c r="E26" t="s" s="5">
        <v>82</v>
      </c>
      <c r="F26" s="18"/>
      <c r="G26" s="5"/>
      <c r="H26" t="s" s="5">
        <v>127</v>
      </c>
      <c r="I26" t="s" s="23">
        <v>149</v>
      </c>
      <c r="J26" t="s" s="5">
        <v>167</v>
      </c>
    </row>
    <row r="27" ht="55" customHeight="1">
      <c r="B27" t="s" s="6">
        <v>24</v>
      </c>
      <c r="C27" t="s" s="5">
        <v>53</v>
      </c>
      <c r="D27" t="s" s="5">
        <v>60</v>
      </c>
      <c r="E27" t="s" s="5">
        <v>83</v>
      </c>
      <c r="F27" s="18"/>
      <c r="G27" s="5"/>
      <c r="H27" t="s" s="5">
        <v>128</v>
      </c>
      <c r="I27" t="s" s="23">
        <v>149</v>
      </c>
      <c r="J27" t="s" s="5">
        <v>168</v>
      </c>
    </row>
    <row r="28" ht="42" customHeight="1">
      <c r="B28" t="s" s="6">
        <v>25</v>
      </c>
      <c r="C28" t="s" s="5">
        <v>53</v>
      </c>
      <c r="D28" t="s" s="5">
        <v>60</v>
      </c>
      <c r="E28" t="s" s="5">
        <v>84</v>
      </c>
      <c r="F28" s="21">
        <v>1.09</v>
      </c>
      <c r="G28" t="s" s="5">
        <v>106</v>
      </c>
      <c r="H28" t="s" s="5">
        <v>129</v>
      </c>
      <c r="I28" t="s" s="23">
        <v>149</v>
      </c>
      <c r="J28" t="s" s="5">
        <v>169</v>
      </c>
    </row>
    <row r="29" ht="29" customHeight="1">
      <c r="B29" t="s" s="6">
        <v>26</v>
      </c>
      <c r="C29" t="s" s="5">
        <v>49</v>
      </c>
      <c r="D29" t="s" s="5">
        <v>60</v>
      </c>
      <c r="E29" t="s" s="5">
        <v>85</v>
      </c>
      <c r="F29" s="18"/>
      <c r="G29" s="5"/>
      <c r="H29" t="s" s="5">
        <v>130</v>
      </c>
      <c r="I29" t="s" s="5">
        <v>150</v>
      </c>
      <c r="J29" t="s" s="5">
        <v>170</v>
      </c>
    </row>
    <row r="30" ht="16" customHeight="1">
      <c r="B30" t="s" s="47">
        <v>27</v>
      </c>
      <c r="C30" s="47"/>
      <c r="D30" s="47"/>
      <c r="E30" s="47"/>
      <c r="F30" s="49"/>
      <c r="G30" s="47"/>
      <c r="H30" s="47"/>
      <c r="I30" s="47"/>
      <c r="J30" s="47"/>
    </row>
    <row r="31" ht="29" customHeight="1">
      <c r="B31" t="s" s="6">
        <v>28</v>
      </c>
      <c r="C31" t="s" s="5">
        <v>54</v>
      </c>
      <c r="D31" t="s" s="5">
        <v>62</v>
      </c>
      <c r="E31" t="s" s="5">
        <v>86</v>
      </c>
      <c r="F31" s="18"/>
      <c r="G31" s="5"/>
      <c r="H31" t="s" s="5">
        <v>131</v>
      </c>
      <c r="I31" t="s" s="5">
        <v>150</v>
      </c>
      <c r="J31" t="s" s="5">
        <v>171</v>
      </c>
    </row>
    <row r="32" ht="29" customHeight="1">
      <c r="B32" t="s" s="6">
        <v>29</v>
      </c>
      <c r="C32" t="s" s="5">
        <v>49</v>
      </c>
      <c r="D32" t="s" s="5">
        <v>61</v>
      </c>
      <c r="E32" t="s" s="5">
        <v>87</v>
      </c>
      <c r="F32" s="18"/>
      <c r="G32" s="5"/>
      <c r="H32" t="s" s="5">
        <v>132</v>
      </c>
      <c r="I32" t="s" s="5">
        <v>150</v>
      </c>
      <c r="J32" t="s" s="5">
        <v>172</v>
      </c>
    </row>
    <row r="33" ht="29" customHeight="1">
      <c r="B33" t="s" s="6">
        <v>30</v>
      </c>
      <c r="C33" t="s" s="5">
        <v>50</v>
      </c>
      <c r="D33" t="s" s="5">
        <v>58</v>
      </c>
      <c r="E33" t="s" s="5">
        <v>88</v>
      </c>
      <c r="F33" s="18"/>
      <c r="G33" s="5"/>
      <c r="H33" t="s" s="5">
        <v>133</v>
      </c>
      <c r="I33" t="s" s="23">
        <v>149</v>
      </c>
      <c r="J33" t="s" s="5">
        <v>173</v>
      </c>
    </row>
    <row r="34" ht="29" customHeight="1">
      <c r="B34" t="s" s="6">
        <v>31</v>
      </c>
      <c r="C34" t="s" s="5">
        <v>50</v>
      </c>
      <c r="D34" t="s" s="5">
        <v>58</v>
      </c>
      <c r="E34" t="s" s="5">
        <v>89</v>
      </c>
      <c r="F34" s="18"/>
      <c r="G34" s="5"/>
      <c r="H34" t="s" s="5">
        <v>134</v>
      </c>
      <c r="I34" t="s" s="23">
        <v>149</v>
      </c>
      <c r="J34" t="s" s="5">
        <v>174</v>
      </c>
    </row>
    <row r="35" ht="29" customHeight="1">
      <c r="B35" t="s" s="6">
        <v>32</v>
      </c>
      <c r="C35" t="s" s="5">
        <v>51</v>
      </c>
      <c r="D35" t="s" s="5">
        <v>58</v>
      </c>
      <c r="E35" t="s" s="5">
        <v>90</v>
      </c>
      <c r="F35" s="19">
        <v>625</v>
      </c>
      <c r="G35" t="s" s="5">
        <v>104</v>
      </c>
      <c r="H35" t="s" s="5">
        <v>135</v>
      </c>
      <c r="I35" t="s" s="22">
        <v>148</v>
      </c>
      <c r="J35" t="s" s="5">
        <v>175</v>
      </c>
    </row>
    <row r="36" ht="42" customHeight="1">
      <c r="B36" t="s" s="6">
        <v>33</v>
      </c>
      <c r="C36" t="s" s="5">
        <v>52</v>
      </c>
      <c r="D36" t="s" s="5">
        <v>58</v>
      </c>
      <c r="E36" t="s" s="5">
        <v>91</v>
      </c>
      <c r="F36" s="19">
        <v>400</v>
      </c>
      <c r="G36" t="s" s="5">
        <v>104</v>
      </c>
      <c r="H36" t="s" s="5">
        <v>136</v>
      </c>
      <c r="I36" t="s" s="22">
        <v>148</v>
      </c>
      <c r="J36" t="s" s="5">
        <v>176</v>
      </c>
    </row>
    <row r="37" ht="16" customHeight="1">
      <c r="B37" t="s" s="47">
        <v>34</v>
      </c>
      <c r="C37" s="47"/>
      <c r="D37" s="47"/>
      <c r="E37" s="47"/>
      <c r="F37" s="49"/>
      <c r="G37" s="47"/>
      <c r="H37" s="47"/>
      <c r="I37" s="47"/>
      <c r="J37" s="47"/>
    </row>
    <row r="38" ht="29" customHeight="1">
      <c r="B38" t="s" s="6">
        <v>35</v>
      </c>
      <c r="C38" t="s" s="5">
        <v>55</v>
      </c>
      <c r="D38" t="s" s="5">
        <v>61</v>
      </c>
      <c r="E38" t="s" s="5">
        <v>92</v>
      </c>
      <c r="F38" s="19">
        <v>2.4</v>
      </c>
      <c r="G38" t="s" s="5">
        <v>104</v>
      </c>
      <c r="H38" t="s" s="5">
        <v>137</v>
      </c>
      <c r="I38" t="s" s="5">
        <v>150</v>
      </c>
      <c r="J38" t="s" s="5">
        <v>177</v>
      </c>
    </row>
    <row r="39" ht="16" customHeight="1">
      <c r="B39" t="s" s="6">
        <v>36</v>
      </c>
      <c r="C39" t="s" s="5">
        <v>49</v>
      </c>
      <c r="D39" t="s" s="5">
        <v>58</v>
      </c>
      <c r="E39" t="s" s="5">
        <v>93</v>
      </c>
      <c r="F39" s="19">
        <v>11.6</v>
      </c>
      <c r="G39" t="s" s="5">
        <v>104</v>
      </c>
      <c r="H39" t="s" s="5">
        <v>138</v>
      </c>
      <c r="I39" t="s" s="23">
        <v>149</v>
      </c>
      <c r="J39" t="s" s="5">
        <v>178</v>
      </c>
    </row>
    <row r="40" ht="29" customHeight="1">
      <c r="B40" t="s" s="6">
        <v>37</v>
      </c>
      <c r="C40" t="s" s="5">
        <v>51</v>
      </c>
      <c r="D40" t="s" s="5">
        <v>58</v>
      </c>
      <c r="E40" t="s" s="5">
        <v>94</v>
      </c>
      <c r="F40" s="19">
        <v>71.3</v>
      </c>
      <c r="G40" t="s" s="5">
        <v>104</v>
      </c>
      <c r="H40" t="s" s="5">
        <v>139</v>
      </c>
      <c r="I40" t="s" s="22">
        <v>148</v>
      </c>
      <c r="J40" t="s" s="5">
        <v>179</v>
      </c>
    </row>
    <row r="41" ht="29" customHeight="1">
      <c r="B41" t="s" s="6">
        <v>38</v>
      </c>
      <c r="C41" t="s" s="5">
        <v>52</v>
      </c>
      <c r="D41" t="s" s="5">
        <v>60</v>
      </c>
      <c r="E41" t="s" s="5">
        <v>95</v>
      </c>
      <c r="F41" s="18"/>
      <c r="G41" s="5"/>
      <c r="H41" t="s" s="5">
        <v>140</v>
      </c>
      <c r="I41" t="s" s="5">
        <v>150</v>
      </c>
      <c r="J41" t="s" s="5">
        <v>180</v>
      </c>
    </row>
    <row r="42" ht="16" customHeight="1">
      <c r="B42" t="s" s="47">
        <v>39</v>
      </c>
      <c r="C42" s="47"/>
      <c r="D42" s="47"/>
      <c r="E42" s="47"/>
      <c r="F42" s="49"/>
      <c r="G42" s="47"/>
      <c r="H42" s="47"/>
      <c r="I42" s="47"/>
      <c r="J42" s="47"/>
    </row>
    <row r="43" ht="29" customHeight="1">
      <c r="B43" t="s" s="6">
        <v>40</v>
      </c>
      <c r="C43" t="s" s="5">
        <v>54</v>
      </c>
      <c r="D43" t="s" s="5">
        <v>62</v>
      </c>
      <c r="E43" t="s" s="5">
        <v>96</v>
      </c>
      <c r="F43" s="18"/>
      <c r="G43" s="5"/>
      <c r="H43" t="s" s="5">
        <v>141</v>
      </c>
      <c r="I43" t="s" s="5">
        <v>150</v>
      </c>
      <c r="J43" t="s" s="5">
        <v>181</v>
      </c>
    </row>
    <row r="44" ht="29" customHeight="1">
      <c r="B44" t="s" s="6">
        <v>41</v>
      </c>
      <c r="C44" t="s" s="5">
        <v>50</v>
      </c>
      <c r="D44" t="s" s="5">
        <v>58</v>
      </c>
      <c r="E44" t="s" s="5">
        <v>97</v>
      </c>
      <c r="F44" s="18"/>
      <c r="G44" s="5"/>
      <c r="H44" t="s" s="5">
        <v>142</v>
      </c>
      <c r="I44" t="s" s="22">
        <v>148</v>
      </c>
      <c r="J44" t="s" s="5">
        <v>182</v>
      </c>
    </row>
    <row r="45" ht="16" customHeight="1">
      <c r="B45" t="s" s="6">
        <v>42</v>
      </c>
      <c r="C45" t="s" s="5">
        <v>51</v>
      </c>
      <c r="D45" t="s" s="5">
        <v>59</v>
      </c>
      <c r="E45" t="s" s="5">
        <v>98</v>
      </c>
      <c r="F45" s="18"/>
      <c r="G45" s="5"/>
      <c r="H45" t="s" s="5">
        <v>143</v>
      </c>
      <c r="I45" t="s" s="22">
        <v>148</v>
      </c>
      <c r="J45" t="s" s="5">
        <v>183</v>
      </c>
    </row>
    <row r="46" ht="29" customHeight="1">
      <c r="B46" t="s" s="6">
        <v>43</v>
      </c>
      <c r="C46" t="s" s="5">
        <v>52</v>
      </c>
      <c r="D46" t="s" s="5">
        <v>58</v>
      </c>
      <c r="E46" t="s" s="5">
        <v>99</v>
      </c>
      <c r="F46" s="21">
        <v>0.27</v>
      </c>
      <c r="G46" t="s" s="5">
        <v>107</v>
      </c>
      <c r="H46" t="s" s="5">
        <v>144</v>
      </c>
      <c r="I46" t="s" s="22">
        <v>148</v>
      </c>
      <c r="J46" t="s" s="5">
        <v>184</v>
      </c>
    </row>
    <row r="47" ht="16" customHeight="1">
      <c r="B47" t="s" s="47">
        <v>44</v>
      </c>
      <c r="C47" s="47"/>
      <c r="D47" s="47"/>
      <c r="E47" s="47"/>
      <c r="F47" s="49"/>
      <c r="G47" s="47"/>
      <c r="H47" s="47"/>
      <c r="I47" s="47"/>
      <c r="J47" s="47"/>
    </row>
    <row r="48" ht="29" customHeight="1">
      <c r="B48" t="s" s="6">
        <v>45</v>
      </c>
      <c r="C48" t="s" s="5">
        <v>53</v>
      </c>
      <c r="D48" t="s" s="5">
        <v>61</v>
      </c>
      <c r="E48" t="s" s="5">
        <v>100</v>
      </c>
      <c r="F48" s="18"/>
      <c r="G48" s="5"/>
      <c r="H48" t="s" s="5">
        <v>145</v>
      </c>
      <c r="I48" t="s" s="5">
        <v>150</v>
      </c>
      <c r="J48" t="s" s="5">
        <v>185</v>
      </c>
    </row>
    <row r="49" ht="55" customHeight="1">
      <c r="B49" t="s" s="6">
        <v>46</v>
      </c>
      <c r="C49" t="s" s="5">
        <v>56</v>
      </c>
      <c r="D49" t="s" s="5">
        <v>58</v>
      </c>
      <c r="E49" t="s" s="5">
        <v>101</v>
      </c>
      <c r="F49" s="19">
        <v>82</v>
      </c>
      <c r="G49" t="s" s="5">
        <v>104</v>
      </c>
      <c r="H49" t="s" s="5">
        <v>146</v>
      </c>
      <c r="I49" t="s" s="22">
        <v>148</v>
      </c>
      <c r="J49" t="s" s="5">
        <v>186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38.07421875" customWidth="1"/>
    <col min="3" max="7" width="11.7890625" customWidth="1"/>
    <col min="8" max="8" width="2.64453125" customWidth="1"/>
    <col min="9" max="9" width="13.64453125" customWidth="1"/>
    <col min="10" max="10" width="2.64453125" customWidth="1"/>
    <col min="11" max="11" width="62.7890625" customWidth="1"/>
  </cols>
  <sheetData>
    <row r="2">
      <c r="B2" t="s" s="2">
        <v>187</v>
      </c>
    </row>
    <row r="3">
      <c r="B3" t="s" s="3">
        <v>188</v>
      </c>
    </row>
    <row r="5">
      <c r="B5" t="s" s="4">
        <v>189</v>
      </c>
      <c r="C5" s="26">
        <f>DATE(2021,12,31)</f>
        <v>44561</v>
      </c>
      <c r="D5" s="26">
        <f>DATE(2022,12,31)</f>
        <v>44926</v>
      </c>
      <c r="E5" s="26">
        <f>DATE(2023,12,31)</f>
        <v>45291</v>
      </c>
      <c r="F5" s="26">
        <f>DATE(2024,12,31)</f>
        <v>45657</v>
      </c>
      <c r="G5" s="26">
        <f>DATE(2025,12,31)</f>
        <v>46022</v>
      </c>
      <c r="H5" s="24"/>
      <c r="I5" t="s" s="25">
        <v>203</v>
      </c>
      <c r="K5" t="s" s="4">
        <v>151</v>
      </c>
    </row>
    <row r="6">
      <c r="B6" t="s" s="15">
        <v>190</v>
      </c>
      <c r="C6" s="15"/>
      <c r="D6" s="15"/>
      <c r="E6" s="15"/>
      <c r="F6" s="15"/>
      <c r="G6" s="15"/>
      <c r="H6" s="15"/>
      <c r="I6" s="15"/>
    </row>
    <row r="7">
      <c r="B7" t="s" s="1">
        <v>191</v>
      </c>
      <c r="C7" s="27">
        <v>252022</v>
      </c>
      <c r="D7" s="27">
        <v>303426</v>
      </c>
      <c r="E7" s="27">
        <v>368168</v>
      </c>
      <c r="F7" s="27">
        <v>451803</v>
      </c>
      <c r="G7" s="27">
        <v>731368</v>
      </c>
      <c r="H7" s="28"/>
      <c r="I7" s="29">
        <f>(G7/C7)^(1/(YEAR($G$5)-YEAR($C$5)))-1</f>
        <v>0.30519191588145844</v>
      </c>
      <c r="K7" t="s">
        <v>204</v>
      </c>
    </row>
    <row r="8">
      <c r="B8" t="s" s="39">
        <v>192</v>
      </c>
      <c r="C8" s="30"/>
      <c r="D8" s="30">
        <f>D7/C7-1</f>
        <v>0.20396632040059992</v>
      </c>
      <c r="E8" s="30">
        <f>E7/D7-1</f>
        <v>0.21336998147818576</v>
      </c>
      <c r="F8" s="30">
        <f>F7/E7-1</f>
        <v>0.22716531583407584</v>
      </c>
      <c r="G8" s="30">
        <f>G7/F7-1</f>
        <v>0.618776325079736</v>
      </c>
      <c r="H8" s="31"/>
      <c r="I8" s="32"/>
    </row>
    <row r="9">
      <c r="B9" t="s">
        <v>193</v>
      </c>
      <c r="C9" s="33">
        <v>22540</v>
      </c>
      <c r="D9" s="33">
        <v>41671</v>
      </c>
      <c r="E9" s="33">
        <v>67838</v>
      </c>
      <c r="F9" s="33">
        <v>83284</v>
      </c>
      <c r="G9" s="33">
        <v>185993</v>
      </c>
      <c r="H9" s="34"/>
      <c r="I9" s="35"/>
      <c r="K9" t="s">
        <v>204</v>
      </c>
    </row>
    <row r="10">
      <c r="B10" t="s" s="39">
        <v>194</v>
      </c>
      <c r="C10" s="30">
        <f>C9/C7</f>
        <v>0.08943663648411647</v>
      </c>
      <c r="D10" s="30">
        <f>D9/D7</f>
        <v>0.1373349679987872</v>
      </c>
      <c r="E10" s="30">
        <f>E9/E7</f>
        <v>0.1842582733969275</v>
      </c>
      <c r="F10" s="30">
        <f>F9/F7</f>
        <v>0.18433697872745422</v>
      </c>
      <c r="G10" s="30">
        <f>G9/G7</f>
        <v>0.25430836459894335</v>
      </c>
      <c r="H10" s="31"/>
      <c r="I10" s="32"/>
    </row>
    <row r="11">
      <c r="B11" t="s" s="1">
        <v>195</v>
      </c>
      <c r="C11" s="27">
        <v>277780</v>
      </c>
      <c r="D11" s="27">
        <v>323461</v>
      </c>
      <c r="E11" s="27">
        <v>379096</v>
      </c>
      <c r="F11" s="27">
        <v>474924</v>
      </c>
      <c r="G11" s="27">
        <v>840962</v>
      </c>
      <c r="H11" s="28"/>
      <c r="I11" s="29">
        <f>(G11/C11)^(1/(YEAR($G$5)-YEAR($C$5)))-1</f>
        <v>0.31907305688885623</v>
      </c>
      <c r="K11" t="s">
        <v>205</v>
      </c>
    </row>
    <row r="12">
      <c r="B12" t="s" s="39">
        <v>196</v>
      </c>
      <c r="C12" s="30"/>
      <c r="D12" s="30">
        <f>D11/C11-1</f>
        <v>0.1644502843977249</v>
      </c>
      <c r="E12" s="30">
        <f>E11/D11-1</f>
        <v>0.1719990972636578</v>
      </c>
      <c r="F12" s="30">
        <f>F11/E11-1</f>
        <v>0.25278029839407434</v>
      </c>
      <c r="G12" s="30">
        <f>G11/F11-1</f>
        <v>0.7707296325306785</v>
      </c>
      <c r="H12" s="31"/>
      <c r="I12" s="32"/>
    </row>
    <row r="13">
      <c r="B13" t="s" s="40">
        <v>209</v>
      </c>
      <c r="C13" s="36"/>
      <c r="D13" s="36"/>
      <c r="E13" s="36"/>
      <c r="F13" s="36"/>
      <c r="G13" s="33">
        <v>282000</v>
      </c>
      <c r="H13" s="34"/>
      <c r="I13" s="35"/>
      <c r="K13" t="s">
        <v>167</v>
      </c>
    </row>
    <row r="14">
      <c r="B14" t="s" s="40">
        <v>198</v>
      </c>
      <c r="C14" s="36">
        <f>C11-C13</f>
        <v>277780</v>
      </c>
      <c r="D14" s="36">
        <f>D11-D13</f>
        <v>323461</v>
      </c>
      <c r="E14" s="36">
        <f>E11-E13</f>
        <v>379096</v>
      </c>
      <c r="F14" s="36">
        <f>F11-F13</f>
        <v>474924</v>
      </c>
      <c r="G14" s="36">
        <f>G11-G13</f>
        <v>558962</v>
      </c>
      <c r="H14" s="34"/>
      <c r="I14" s="35">
        <f>(G14/C11)^(1/(YEAR($G$5)-YEAR($C$5)))-1</f>
        <v>0.19102349191187673</v>
      </c>
      <c r="K14" t="s">
        <v>206</v>
      </c>
    </row>
    <row r="15">
      <c r="B15" t="s" s="39">
        <v>199</v>
      </c>
      <c r="C15" s="30"/>
      <c r="D15" s="30"/>
      <c r="E15" s="30"/>
      <c r="F15" s="30"/>
      <c r="G15" s="30">
        <f>G14/F11-1</f>
        <v>0.17695041732993078</v>
      </c>
      <c r="H15" s="31"/>
      <c r="I15" s="31"/>
      <c r="K15" t="s">
        <v>207</v>
      </c>
    </row>
    <row r="16">
      <c r="C16" s="34"/>
      <c r="D16" s="34"/>
      <c r="E16" s="34"/>
      <c r="F16" s="34"/>
      <c r="G16" s="34"/>
      <c r="H16" s="34"/>
      <c r="I16" s="34"/>
    </row>
    <row r="17">
      <c r="B17" t="s" s="15">
        <v>200</v>
      </c>
      <c r="C17" s="17"/>
      <c r="D17" s="17"/>
      <c r="E17" s="17"/>
      <c r="F17" s="17"/>
      <c r="G17" s="17"/>
      <c r="H17" s="17"/>
      <c r="I17" s="17"/>
    </row>
    <row r="18">
      <c r="B18" t="s" s="40">
        <v>201</v>
      </c>
      <c r="C18" s="37">
        <v>1.11</v>
      </c>
      <c r="D18" s="37">
        <v>1.06</v>
      </c>
      <c r="E18" s="37">
        <v>1.07</v>
      </c>
      <c r="F18" s="37">
        <v>1.16</v>
      </c>
      <c r="G18" s="37">
        <v>1.09</v>
      </c>
      <c r="H18" s="34"/>
      <c r="I18" s="34"/>
      <c r="K18" t="s">
        <v>169</v>
      </c>
    </row>
    <row r="19">
      <c r="B19" t="s" s="40">
        <v>202</v>
      </c>
      <c r="C19" s="38">
        <v>59</v>
      </c>
      <c r="D19" s="38">
        <v>67</v>
      </c>
      <c r="E19" s="38">
        <v>86</v>
      </c>
      <c r="F19" s="38">
        <v>100</v>
      </c>
      <c r="G19" s="38">
        <v>152</v>
      </c>
      <c r="H19" s="34"/>
      <c r="I19" s="34"/>
      <c r="K19" t="s">
        <v>208</v>
      </c>
    </row>
  </sheetData>
  <pageMargins left="0.7" right="0.7" top="0.75" bottom="0.75" header="0.3" footer="0.3"/>
  <drawing r:id="rId1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13.21875" customWidth="1"/>
    <col min="3" max="3" width="22.7890625" customWidth="1"/>
    <col min="4" max="4" width="62.7890625" customWidth="1"/>
    <col min="5" max="5" width="13.64453125" customWidth="1"/>
    <col min="6" max="6" width="9.7890625" customWidth="1"/>
    <col min="7" max="7" width="47.50390625" customWidth="1"/>
    <col min="8" max="8" width="38.07421875" customWidth="1"/>
  </cols>
  <sheetData>
    <row r="2">
      <c r="B2" t="s" s="2">
        <v>210</v>
      </c>
    </row>
    <row r="3">
      <c r="B3" t="s" s="3">
        <v>211</v>
      </c>
    </row>
    <row r="5">
      <c r="B5" t="s" s="4">
        <v>212</v>
      </c>
      <c r="C5" t="s" s="4">
        <v>48</v>
      </c>
      <c r="D5" t="s" s="4">
        <v>221</v>
      </c>
      <c r="E5" t="s" s="16">
        <v>102</v>
      </c>
      <c r="F5" t="s" s="4">
        <v>103</v>
      </c>
      <c r="G5" t="s" s="4">
        <v>108</v>
      </c>
      <c r="H5" t="s" s="4">
        <v>151</v>
      </c>
    </row>
    <row r="6" ht="25.5" customHeight="1">
      <c r="B6" s="41">
        <f>DATE(2021,9,27)</f>
        <v>44466</v>
      </c>
      <c r="C6" t="s" s="9">
        <v>213</v>
      </c>
      <c r="D6" t="s" s="9">
        <v>222</v>
      </c>
      <c r="E6" s="42">
        <v>18</v>
      </c>
      <c r="F6" t="s" s="9">
        <v>240</v>
      </c>
      <c r="G6" t="s" s="9">
        <v>246</v>
      </c>
      <c r="H6" t="s" s="9">
        <v>264</v>
      </c>
    </row>
    <row r="7" ht="25.5" customHeight="1">
      <c r="B7" s="41">
        <f>DATE(2022,9,29)</f>
        <v>44833</v>
      </c>
      <c r="C7" t="s" s="9">
        <v>214</v>
      </c>
      <c r="D7" t="s" s="9">
        <v>223</v>
      </c>
      <c r="E7" s="43"/>
      <c r="F7" s="9"/>
      <c r="G7" t="s" s="9">
        <v>247</v>
      </c>
      <c r="H7" t="s" s="9">
        <v>265</v>
      </c>
    </row>
    <row r="8">
      <c r="B8" s="41">
        <f>DATE(2024,4,2)</f>
        <v>45384</v>
      </c>
      <c r="C8" t="s" s="9">
        <v>214</v>
      </c>
      <c r="D8" t="s" s="9">
        <v>224</v>
      </c>
      <c r="E8" s="43"/>
      <c r="F8" s="9"/>
      <c r="G8" t="s" s="9">
        <v>248</v>
      </c>
      <c r="H8" t="s" s="9">
        <v>266</v>
      </c>
    </row>
    <row r="9">
      <c r="B9" s="41">
        <f>DATE(2024,11,4)</f>
        <v>45600</v>
      </c>
      <c r="C9" t="s" s="9">
        <v>215</v>
      </c>
      <c r="D9" t="s" s="9">
        <v>225</v>
      </c>
      <c r="E9" s="44">
        <v>72.5</v>
      </c>
      <c r="F9" t="s" s="9">
        <v>104</v>
      </c>
      <c r="G9" t="s" s="9">
        <v>249</v>
      </c>
      <c r="H9" t="s" s="9">
        <v>160</v>
      </c>
    </row>
    <row r="10" ht="25.5" customHeight="1">
      <c r="B10" s="41">
        <f>DATE(2025,1,10)</f>
        <v>45667</v>
      </c>
      <c r="C10" t="s" s="9">
        <v>216</v>
      </c>
      <c r="D10" t="s" s="9">
        <v>226</v>
      </c>
      <c r="E10" s="44">
        <v>1.4</v>
      </c>
      <c r="F10" t="s" s="9">
        <v>241</v>
      </c>
      <c r="G10" t="s" s="9">
        <v>250</v>
      </c>
      <c r="H10" t="s" s="9">
        <v>267</v>
      </c>
    </row>
    <row r="11" ht="25.5" customHeight="1">
      <c r="B11" s="41">
        <f>DATE(2025,3,11)</f>
        <v>45727</v>
      </c>
      <c r="C11" t="s" s="9">
        <v>216</v>
      </c>
      <c r="D11" t="s" s="9">
        <v>227</v>
      </c>
      <c r="E11" s="44">
        <v>488</v>
      </c>
      <c r="F11" t="s" s="9">
        <v>104</v>
      </c>
      <c r="G11" t="s" s="9">
        <v>251</v>
      </c>
      <c r="H11" t="s" s="9">
        <v>268</v>
      </c>
    </row>
    <row r="12" ht="25.5" customHeight="1">
      <c r="B12" s="41">
        <f>DATE(2025,3,31)</f>
        <v>45747</v>
      </c>
      <c r="C12" t="s" s="9">
        <v>217</v>
      </c>
      <c r="D12" t="s" s="9">
        <v>228</v>
      </c>
      <c r="E12" s="45">
        <v>3833333</v>
      </c>
      <c r="F12" t="s" s="9">
        <v>242</v>
      </c>
      <c r="G12" t="s" s="9">
        <v>252</v>
      </c>
      <c r="H12" t="s" s="9">
        <v>269</v>
      </c>
    </row>
    <row r="13">
      <c r="B13" s="41">
        <f>DATE(2025,4,2)</f>
        <v>45749</v>
      </c>
      <c r="C13" t="s" s="9">
        <v>218</v>
      </c>
      <c r="D13" t="s" s="9">
        <v>229</v>
      </c>
      <c r="E13" s="43"/>
      <c r="F13" s="9"/>
      <c r="G13" t="s" s="9">
        <v>253</v>
      </c>
      <c r="H13" t="s" s="9">
        <v>270</v>
      </c>
    </row>
    <row r="14">
      <c r="B14" s="41">
        <f>DATE(2025,4,17)</f>
        <v>45764</v>
      </c>
      <c r="C14" t="s" s="9">
        <v>218</v>
      </c>
      <c r="D14" t="s" s="9">
        <v>230</v>
      </c>
      <c r="E14" s="43"/>
      <c r="F14" s="9"/>
      <c r="G14" t="s" s="9">
        <v>254</v>
      </c>
      <c r="H14" t="s" s="9">
        <v>271</v>
      </c>
    </row>
    <row r="15" ht="25.5" customHeight="1">
      <c r="B15" s="41">
        <f>DATE(2025,4,21)</f>
        <v>45768</v>
      </c>
      <c r="C15" t="s" s="9">
        <v>282</v>
      </c>
      <c r="D15" t="s" s="9">
        <v>231</v>
      </c>
      <c r="E15" s="44">
        <v>800</v>
      </c>
      <c r="F15" t="s" s="9">
        <v>104</v>
      </c>
      <c r="G15" t="s" s="9">
        <v>255</v>
      </c>
      <c r="H15" t="s" s="9">
        <v>272</v>
      </c>
    </row>
    <row r="16" ht="38.25" customHeight="1">
      <c r="B16" s="41">
        <f>DATE(2025,9,3)</f>
        <v>45903</v>
      </c>
      <c r="C16" t="s" s="9">
        <v>218</v>
      </c>
      <c r="D16" t="s" s="9">
        <v>232</v>
      </c>
      <c r="E16" s="44">
        <v>100</v>
      </c>
      <c r="F16" t="s" s="9">
        <v>104</v>
      </c>
      <c r="G16" t="s" s="9">
        <v>256</v>
      </c>
      <c r="H16" t="s" s="9">
        <v>273</v>
      </c>
    </row>
    <row r="17" ht="25.5" customHeight="1">
      <c r="B17" s="41">
        <f>DATE(2025,12,20)</f>
        <v>46011</v>
      </c>
      <c r="C17" t="s" s="9">
        <v>216</v>
      </c>
      <c r="D17" t="s" s="9">
        <v>233</v>
      </c>
      <c r="E17" s="42">
        <v>24.55</v>
      </c>
      <c r="F17" t="s" s="9">
        <v>240</v>
      </c>
      <c r="G17" t="s" s="9">
        <v>257</v>
      </c>
      <c r="H17" t="s" s="9">
        <v>274</v>
      </c>
    </row>
    <row r="18" ht="25.5" customHeight="1">
      <c r="B18" s="41">
        <f>DATE(2025,12,20)</f>
        <v>46011</v>
      </c>
      <c r="C18" t="s" s="9">
        <v>216</v>
      </c>
      <c r="D18" t="s" s="9">
        <v>234</v>
      </c>
      <c r="E18" s="46">
        <v>521130000</v>
      </c>
      <c r="F18" t="s" s="9">
        <v>104</v>
      </c>
      <c r="G18" t="s" s="9">
        <v>258</v>
      </c>
      <c r="H18" t="s" s="9">
        <v>275</v>
      </c>
    </row>
    <row r="19" ht="25.5" customHeight="1">
      <c r="B19" s="41">
        <f>DATE(2026,1,23)</f>
        <v>46045</v>
      </c>
      <c r="C19" t="s" s="9">
        <v>218</v>
      </c>
      <c r="D19" t="s" s="9">
        <v>235</v>
      </c>
      <c r="E19" s="45">
        <v>44</v>
      </c>
      <c r="F19" t="s" s="9">
        <v>244</v>
      </c>
      <c r="G19" t="s" s="9">
        <v>259</v>
      </c>
      <c r="H19" t="s" s="9">
        <v>276</v>
      </c>
    </row>
    <row r="20">
      <c r="B20" s="41">
        <f>DATE(2026,2,13)</f>
        <v>46066</v>
      </c>
      <c r="C20" t="s" s="9">
        <v>214</v>
      </c>
      <c r="D20" t="s" s="9">
        <v>236</v>
      </c>
      <c r="E20" s="43"/>
      <c r="F20" s="9"/>
      <c r="G20" t="s" s="9">
        <v>260</v>
      </c>
      <c r="H20" t="s" s="9">
        <v>277</v>
      </c>
    </row>
    <row r="21" ht="25.5" customHeight="1">
      <c r="B21" s="41">
        <f>DATE(2026,5,6)</f>
        <v>46148</v>
      </c>
      <c r="C21" t="s" s="9">
        <v>220</v>
      </c>
      <c r="D21" t="s" s="9">
        <v>237</v>
      </c>
      <c r="E21" s="45">
        <v>205143338</v>
      </c>
      <c r="F21" t="s" s="9">
        <v>245</v>
      </c>
      <c r="G21" t="s" s="9">
        <v>261</v>
      </c>
      <c r="H21" t="s" s="9">
        <v>278</v>
      </c>
    </row>
    <row r="22">
      <c r="B22" s="41">
        <f>DATE(2026,6,19)</f>
        <v>46192</v>
      </c>
      <c r="C22" t="s" s="9">
        <v>214</v>
      </c>
      <c r="D22" t="s" s="9">
        <v>238</v>
      </c>
      <c r="E22" s="43"/>
      <c r="F22" s="9"/>
      <c r="G22" t="s" s="9">
        <v>262</v>
      </c>
      <c r="H22" t="s" s="9">
        <v>279</v>
      </c>
    </row>
    <row r="23" ht="25.5" customHeight="1">
      <c r="B23" s="41">
        <f>DATE(2026,6,25)</f>
        <v>46198</v>
      </c>
      <c r="C23" t="s" s="9">
        <v>281</v>
      </c>
      <c r="D23" t="s" s="9">
        <v>239</v>
      </c>
      <c r="E23" s="46">
        <v>2700000000</v>
      </c>
      <c r="F23" t="s" s="9">
        <v>104</v>
      </c>
      <c r="G23" t="s" s="9">
        <v>263</v>
      </c>
      <c r="H23" t="s" s="9">
        <v>280</v>
      </c>
    </row>
  </sheetData>
  <pageMargins left="0.7" right="0.7" top="0.75" bottom="0.75" header="0.3" footer="0.3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0"/>
  <sheetViews>
    <sheetView showGridLines="0" workbookViewId="0">
      <pane ySplit="3" topLeftCell="A4" activePane="bottomLeft" state="frozen"/>
      <selection pane="bottomLeft" activeCell="A1" sqref="A1"/>
    </sheetView>
  </sheetViews>
  <cols>
    <col min="1" max="1" width="2.21875" customWidth="1"/>
    <col min="2" max="2" width="47.50390625" customWidth="1"/>
    <col min="3" max="4" width="20.9296875" customWidth="1"/>
    <col min="5" max="8" width="19.9296875" customWidth="1"/>
    <col min="9" max="9" width="28.50390625" customWidth="1"/>
  </cols>
  <sheetData>
    <row r="2" ht="15.75" customHeight="1">
      <c r="B2" t="s" s="2">
        <v>283</v>
      </c>
    </row>
    <row r="3">
      <c r="B3" t="s" s="3">
        <v>284</v>
      </c>
    </row>
    <row r="5" ht="16" customHeight="1">
      <c r="B5" t="s" s="15">
        <v>285</v>
      </c>
      <c r="C5" s="15"/>
      <c r="D5" s="15"/>
      <c r="E5" s="15"/>
      <c r="F5" s="15"/>
      <c r="G5" s="15"/>
      <c r="H5" s="15"/>
      <c r="I5" s="15"/>
    </row>
    <row r="6" ht="25.5" customHeight="1">
      <c r="B6" t="s" s="50">
        <v>212</v>
      </c>
      <c r="C6" t="s" s="50">
        <v>346</v>
      </c>
      <c r="D6" t="s" s="50">
        <v>361</v>
      </c>
      <c r="E6" t="s" s="50">
        <v>376</v>
      </c>
      <c r="F6" t="s" s="50">
        <v>383</v>
      </c>
      <c r="G6" t="s" s="50">
        <v>151</v>
      </c>
      <c r="H6" s="50"/>
      <c r="I6" s="50"/>
    </row>
    <row r="7" ht="25.5" customHeight="1">
      <c r="B7" s="55">
        <f>DATE(2025,11,10)</f>
        <v>45971</v>
      </c>
      <c r="C7" t="s" s="51">
        <v>347</v>
      </c>
      <c r="D7" t="s" s="51">
        <v>362</v>
      </c>
      <c r="E7" s="56">
        <v>16.69</v>
      </c>
      <c r="F7" s="57"/>
      <c r="G7" t="s" s="58">
        <v>391</v>
      </c>
      <c r="H7" s="57"/>
      <c r="I7" s="59"/>
    </row>
    <row r="8" ht="25.5" customHeight="1">
      <c r="B8" s="55">
        <f>DATE(2025,10,23)</f>
        <v>45953</v>
      </c>
      <c r="C8" t="s" s="51">
        <v>348</v>
      </c>
      <c r="D8" t="s" s="51">
        <v>363</v>
      </c>
      <c r="E8" s="56">
        <v>24.5</v>
      </c>
      <c r="F8" s="60">
        <f>E8/$E$7-1</f>
        <v>0.4679448771719592</v>
      </c>
      <c r="G8" t="s" s="58">
        <v>392</v>
      </c>
      <c r="H8" s="57"/>
      <c r="I8" s="59"/>
    </row>
    <row r="9">
      <c r="B9" s="55">
        <f>DATE(2025,12,14)</f>
        <v>46005</v>
      </c>
      <c r="C9" t="s" s="51">
        <v>349</v>
      </c>
      <c r="D9" t="s" s="51">
        <v>364</v>
      </c>
      <c r="E9" s="56">
        <v>20</v>
      </c>
      <c r="F9" s="60">
        <f>E9/$E$7-1</f>
        <v>0.19832234871180332</v>
      </c>
      <c r="G9" t="s" s="58">
        <v>393</v>
      </c>
      <c r="H9" s="57"/>
      <c r="I9" s="59"/>
    </row>
    <row r="10">
      <c r="B10" s="55">
        <f>DATE(2025,12,14)</f>
        <v>46005</v>
      </c>
      <c r="C10" t="s" s="51">
        <v>349</v>
      </c>
      <c r="D10" t="s" s="51">
        <v>365</v>
      </c>
      <c r="E10" s="56">
        <v>22</v>
      </c>
      <c r="F10" s="60">
        <f>E10/$E$7-1</f>
        <v>0.31815458358298376</v>
      </c>
      <c r="G10" t="s" s="58">
        <v>393</v>
      </c>
      <c r="H10" s="57"/>
      <c r="I10" s="59"/>
    </row>
    <row r="11">
      <c r="B11" s="55">
        <f>DATE(2025,12,14)</f>
        <v>46005</v>
      </c>
      <c r="C11" t="s" s="51">
        <v>350</v>
      </c>
      <c r="D11" t="s" s="51">
        <v>366</v>
      </c>
      <c r="E11" s="56">
        <v>24.25</v>
      </c>
      <c r="F11" s="60">
        <f>E11/$E$7-1</f>
        <v>0.4529658478130616</v>
      </c>
      <c r="G11" t="s" s="58">
        <v>393</v>
      </c>
      <c r="H11" s="57"/>
      <c r="I11" s="59"/>
    </row>
    <row r="12">
      <c r="B12" s="55">
        <f>DATE(2025,12,15)</f>
        <v>46006</v>
      </c>
      <c r="C12" t="s" s="51">
        <v>351</v>
      </c>
      <c r="D12" t="s" s="51">
        <v>367</v>
      </c>
      <c r="E12" s="56">
        <v>25.75</v>
      </c>
      <c r="F12" s="60">
        <f>E12/$E$7-1</f>
        <v>0.5428400239664468</v>
      </c>
      <c r="G12" t="s" s="58">
        <v>394</v>
      </c>
      <c r="H12" s="57"/>
      <c r="I12" s="59"/>
    </row>
    <row r="13">
      <c r="B13" s="55">
        <f>DATE(2025,12,15)</f>
        <v>46006</v>
      </c>
      <c r="C13" t="s" s="51">
        <v>350</v>
      </c>
      <c r="D13" t="s" s="51">
        <v>366</v>
      </c>
      <c r="E13" s="56">
        <v>24.35</v>
      </c>
      <c r="F13" s="60">
        <f>E13/$E$7-1</f>
        <v>0.4589574595566206</v>
      </c>
      <c r="G13" t="s" s="58">
        <v>394</v>
      </c>
      <c r="H13" s="57"/>
      <c r="I13" s="59"/>
    </row>
    <row r="14">
      <c r="B14" s="55">
        <f>DATE(2025,12,16)</f>
        <v>46007</v>
      </c>
      <c r="C14" t="s" s="51">
        <v>350</v>
      </c>
      <c r="D14" t="s" s="51">
        <v>366</v>
      </c>
      <c r="E14" s="56">
        <v>24.5</v>
      </c>
      <c r="F14" s="60">
        <f>E14/$E$7-1</f>
        <v>0.4679448771719592</v>
      </c>
      <c r="G14" t="s" s="58">
        <v>395</v>
      </c>
      <c r="H14" s="57"/>
      <c r="I14" s="59"/>
    </row>
    <row r="15" ht="25.5" customHeight="1">
      <c r="B15" s="61">
        <f>DATE(2025,12,16)</f>
        <v>46007</v>
      </c>
      <c r="C15" t="s" s="52">
        <v>351</v>
      </c>
      <c r="D15" t="s" s="52">
        <v>368</v>
      </c>
      <c r="E15" s="62">
        <v>24.55</v>
      </c>
      <c r="F15" s="63">
        <f>E15/$E$7-1</f>
        <v>0.4709406830437386</v>
      </c>
      <c r="G15" t="s" s="58">
        <v>391</v>
      </c>
      <c r="H15" s="57"/>
      <c r="I15" s="59"/>
    </row>
    <row r="16" ht="25.5" customHeight="1">
      <c r="B16" s="58"/>
      <c r="C16" s="51"/>
      <c r="D16" t="s" s="51">
        <v>369</v>
      </c>
      <c r="E16" s="57"/>
      <c r="F16" s="64">
        <v>0.471</v>
      </c>
      <c r="G16" t="s" s="58">
        <v>391</v>
      </c>
      <c r="H16" s="57"/>
      <c r="I16" s="59"/>
    </row>
    <row r="17" ht="25.5" customHeight="1">
      <c r="B17" s="58"/>
      <c r="C17" s="51"/>
      <c r="D17" t="s" s="51">
        <v>370</v>
      </c>
      <c r="E17" s="57"/>
      <c r="F17" s="60">
        <f>F15-F16</f>
        <v>-0.00005931695626137934</v>
      </c>
      <c r="G17" s="58"/>
      <c r="H17" s="57"/>
      <c r="I17" s="59"/>
    </row>
    <row r="18" ht="25.5" customHeight="1">
      <c r="B18" s="58"/>
      <c r="C18" s="51"/>
      <c r="D18" t="s" s="51">
        <v>371</v>
      </c>
      <c r="E18" s="65">
        <f>E15-E8</f>
        <v>0.05000000000000071</v>
      </c>
      <c r="F18" s="57"/>
      <c r="G18" s="58"/>
      <c r="H18" s="57"/>
      <c r="I18" s="59"/>
    </row>
    <row r="19">
      <c r="B19" s="58"/>
      <c r="C19" s="57"/>
      <c r="D19" s="57"/>
      <c r="E19" s="57"/>
      <c r="F19" s="57"/>
      <c r="G19" s="58"/>
      <c r="H19" s="57"/>
      <c r="I19" s="59"/>
    </row>
    <row r="20" ht="16" customHeight="1">
      <c r="B20" t="s" s="66">
        <v>286</v>
      </c>
      <c r="C20" s="67"/>
      <c r="D20" s="67"/>
      <c r="E20" s="67"/>
      <c r="F20" s="67"/>
      <c r="G20" s="66"/>
      <c r="H20" s="67"/>
      <c r="I20" s="48"/>
    </row>
    <row r="21">
      <c r="B21" t="s" s="68">
        <v>287</v>
      </c>
      <c r="C21" s="69">
        <f>DATE(2025,12,31)</f>
        <v>46022</v>
      </c>
      <c r="D21" s="69">
        <f>DATE(2026,12,31)</f>
        <v>46387</v>
      </c>
      <c r="E21" s="69">
        <f>DATE(2027,12,31)</f>
        <v>46752</v>
      </c>
      <c r="F21" s="69">
        <f>DATE(2028,12,31)</f>
        <v>47118</v>
      </c>
      <c r="G21" s="69">
        <f>DATE(2029,12,31)</f>
        <v>47483</v>
      </c>
      <c r="H21" s="69">
        <f>DATE(2030,12,31)</f>
        <v>47848</v>
      </c>
      <c r="I21" t="s" s="70">
        <v>151</v>
      </c>
    </row>
    <row r="22">
      <c r="B22" t="s" s="71">
        <v>288</v>
      </c>
      <c r="C22" s="72">
        <v>730</v>
      </c>
      <c r="D22" s="72">
        <v>940</v>
      </c>
      <c r="E22" s="72">
        <v>1100</v>
      </c>
      <c r="F22" s="72">
        <v>1298</v>
      </c>
      <c r="G22" s="72">
        <v>1531</v>
      </c>
      <c r="H22" s="72">
        <v>1807</v>
      </c>
      <c r="I22" t="s" s="71">
        <v>411</v>
      </c>
    </row>
    <row r="23">
      <c r="B23" t="s" s="73">
        <v>289</v>
      </c>
      <c r="C23" s="74"/>
      <c r="D23" s="74">
        <f>D22/C22-1</f>
        <v>0.28767123287671237</v>
      </c>
      <c r="E23" s="74">
        <f>E22/D22-1</f>
        <v>0.17021276595744683</v>
      </c>
      <c r="F23" s="74">
        <f>F22/E22-1</f>
        <v>0.17999999999999994</v>
      </c>
      <c r="G23" s="74">
        <f>G22/F22-1</f>
        <v>0.17950693374422189</v>
      </c>
      <c r="H23" s="74">
        <f>H22/G22-1</f>
        <v>0.18027433050293928</v>
      </c>
      <c r="I23" s="58"/>
    </row>
    <row r="24">
      <c r="B24" t="s" s="58">
        <v>290</v>
      </c>
      <c r="C24" s="75">
        <v>571</v>
      </c>
      <c r="D24" s="75">
        <v>740</v>
      </c>
      <c r="E24" s="75">
        <v>871</v>
      </c>
      <c r="F24" s="75">
        <v>1034</v>
      </c>
      <c r="G24" s="75">
        <v>1228</v>
      </c>
      <c r="H24" s="75">
        <v>1458</v>
      </c>
      <c r="I24" t="s" s="58">
        <v>411</v>
      </c>
    </row>
    <row r="25">
      <c r="B25" t="s" s="73">
        <v>291</v>
      </c>
      <c r="C25" s="74">
        <f>C24/C22</f>
        <v>0.7821917808219178</v>
      </c>
      <c r="D25" s="74">
        <f>D24/D22</f>
        <v>0.7872340425531915</v>
      </c>
      <c r="E25" s="74">
        <f>E24/E22</f>
        <v>0.7918181818181819</v>
      </c>
      <c r="F25" s="74">
        <f>F24/F22</f>
        <v>0.7966101694915254</v>
      </c>
      <c r="G25" s="74">
        <f>G24/G22</f>
        <v>0.8020901371652515</v>
      </c>
      <c r="H25" s="74">
        <f>H24/H22</f>
        <v>0.8068622025456558</v>
      </c>
      <c r="I25" s="58"/>
    </row>
    <row r="26">
      <c r="B26" t="s" s="71">
        <v>292</v>
      </c>
      <c r="C26" s="72">
        <v>248</v>
      </c>
      <c r="D26" s="72">
        <v>338</v>
      </c>
      <c r="E26" s="72">
        <v>418</v>
      </c>
      <c r="F26" s="72">
        <v>518</v>
      </c>
      <c r="G26" s="72">
        <v>634</v>
      </c>
      <c r="H26" s="72">
        <v>763</v>
      </c>
      <c r="I26" t="s" s="71">
        <v>411</v>
      </c>
    </row>
    <row r="27">
      <c r="B27" t="s" s="73">
        <v>293</v>
      </c>
      <c r="C27" s="74">
        <f>C26/C22</f>
        <v>0.33972602739726027</v>
      </c>
      <c r="D27" s="74">
        <f>D26/D22</f>
        <v>0.3595744680851064</v>
      </c>
      <c r="E27" s="74">
        <f>E26/E22</f>
        <v>0.38</v>
      </c>
      <c r="F27" s="74">
        <f>F26/F22</f>
        <v>0.39907550077041604</v>
      </c>
      <c r="G27" s="74">
        <f>G26/G22</f>
        <v>0.41410842586544744</v>
      </c>
      <c r="H27" s="74">
        <f>H26/H22</f>
        <v>0.4222468179302712</v>
      </c>
      <c r="I27" s="58"/>
    </row>
    <row r="28">
      <c r="B28" t="s" s="58">
        <v>294</v>
      </c>
      <c r="C28" s="75">
        <v>114</v>
      </c>
      <c r="D28" s="75">
        <v>198</v>
      </c>
      <c r="E28" s="75">
        <v>280</v>
      </c>
      <c r="F28" s="75">
        <v>377</v>
      </c>
      <c r="G28" s="75">
        <v>490</v>
      </c>
      <c r="H28" s="75">
        <v>614</v>
      </c>
      <c r="I28" t="s" s="58">
        <v>411</v>
      </c>
    </row>
    <row r="29">
      <c r="B29" t="s" s="58">
        <v>295</v>
      </c>
      <c r="C29" s="76"/>
      <c r="D29" s="75">
        <v>173</v>
      </c>
      <c r="E29" s="75">
        <v>252</v>
      </c>
      <c r="F29" s="75">
        <v>343</v>
      </c>
      <c r="G29" s="75">
        <v>449</v>
      </c>
      <c r="H29" s="75">
        <v>566</v>
      </c>
      <c r="I29" t="s" s="58">
        <v>411</v>
      </c>
    </row>
    <row r="30">
      <c r="B30" t="s" s="58">
        <v>296</v>
      </c>
      <c r="C30" s="76"/>
      <c r="D30" s="75">
        <v>134</v>
      </c>
      <c r="E30" s="75">
        <v>196</v>
      </c>
      <c r="F30" s="75">
        <v>268</v>
      </c>
      <c r="G30" s="75">
        <v>351</v>
      </c>
      <c r="H30" s="75">
        <v>444</v>
      </c>
      <c r="I30" t="s" s="58">
        <v>411</v>
      </c>
    </row>
    <row r="31">
      <c r="B31" t="s" s="77">
        <v>297</v>
      </c>
      <c r="C31" s="76"/>
      <c r="D31" s="76">
        <f>D29-D30</f>
        <v>39</v>
      </c>
      <c r="E31" s="76">
        <f>E29-E30</f>
        <v>56</v>
      </c>
      <c r="F31" s="76">
        <f>F29-F30</f>
        <v>75</v>
      </c>
      <c r="G31" s="76">
        <f>G29-G30</f>
        <v>98</v>
      </c>
      <c r="H31" s="76">
        <f>H29-H30</f>
        <v>122</v>
      </c>
      <c r="I31" s="58"/>
    </row>
    <row r="32">
      <c r="B32" t="s" s="58">
        <v>298</v>
      </c>
      <c r="C32" s="76"/>
      <c r="D32" s="75">
        <v>40</v>
      </c>
      <c r="E32" s="75">
        <v>56</v>
      </c>
      <c r="F32" s="75">
        <v>75</v>
      </c>
      <c r="G32" s="75">
        <v>98</v>
      </c>
      <c r="H32" s="75">
        <v>123</v>
      </c>
      <c r="I32" t="s" s="58">
        <v>411</v>
      </c>
    </row>
    <row r="33">
      <c r="B33" t="s" s="77">
        <v>299</v>
      </c>
      <c r="C33" s="76"/>
      <c r="D33" s="76">
        <f>D31-D32</f>
        <v>-1</v>
      </c>
      <c r="E33" s="76">
        <f>E31-E32</f>
        <v>0</v>
      </c>
      <c r="F33" s="76">
        <f>F31-F32</f>
        <v>0</v>
      </c>
      <c r="G33" s="76">
        <f>G31-G32</f>
        <v>0</v>
      </c>
      <c r="H33" s="76">
        <f>H31-H32</f>
        <v>-1</v>
      </c>
      <c r="I33" s="58"/>
    </row>
    <row r="34">
      <c r="B34" t="s" s="58">
        <v>300</v>
      </c>
      <c r="C34" s="78"/>
      <c r="D34" s="79">
        <v>0.29</v>
      </c>
      <c r="E34" s="78"/>
      <c r="F34" s="78"/>
      <c r="G34" s="78"/>
      <c r="H34" s="78"/>
      <c r="I34" t="s" s="58">
        <v>412</v>
      </c>
    </row>
    <row r="35">
      <c r="B35" t="s" s="58">
        <v>301</v>
      </c>
      <c r="C35" s="79">
        <v>0.339</v>
      </c>
      <c r="D35" s="78"/>
      <c r="E35" s="78"/>
      <c r="F35" s="78"/>
      <c r="G35" s="78"/>
      <c r="H35" s="79">
        <v>0.422</v>
      </c>
      <c r="I35" t="s" s="58">
        <v>413</v>
      </c>
    </row>
    <row r="36">
      <c r="B36" t="s" s="58">
        <v>302</v>
      </c>
      <c r="C36" s="80">
        <v>127</v>
      </c>
      <c r="D36" s="81"/>
      <c r="E36" s="81"/>
      <c r="F36" s="81"/>
      <c r="G36" s="81"/>
      <c r="H36" s="81"/>
      <c r="I36" t="s" s="58">
        <v>413</v>
      </c>
    </row>
    <row r="37" ht="14" customHeight="1">
      <c r="B37" t="s" s="98">
        <v>446</v>
      </c>
      <c r="C37" s="57"/>
      <c r="D37" s="57"/>
      <c r="E37" s="57"/>
      <c r="F37" s="57"/>
      <c r="G37" s="58"/>
      <c r="H37" s="57"/>
      <c r="I37" t="s" s="58">
        <v>449</v>
      </c>
    </row>
    <row r="38" ht="14" customHeight="1">
      <c r="B38" t="s" s="98">
        <v>447</v>
      </c>
      <c r="C38" s="56">
        <v>1.45</v>
      </c>
      <c r="D38" s="56">
        <v>1.5</v>
      </c>
      <c r="E38" s="57"/>
      <c r="F38" s="57"/>
      <c r="G38" s="58"/>
      <c r="H38" s="57"/>
      <c r="I38" t="s" s="58">
        <v>450</v>
      </c>
    </row>
    <row r="39" ht="14" customHeight="1">
      <c r="B39" t="s" s="98">
        <v>448</v>
      </c>
      <c r="C39" s="56">
        <v>20.25</v>
      </c>
      <c r="D39" s="56">
        <v>31.25</v>
      </c>
      <c r="E39" s="57"/>
      <c r="F39" s="57"/>
      <c r="G39" s="58"/>
      <c r="H39" s="57"/>
      <c r="I39" t="s" s="58">
        <v>450</v>
      </c>
    </row>
    <row r="40">
      <c r="B40" s="58"/>
      <c r="C40" s="57"/>
      <c r="D40" s="57"/>
      <c r="E40" s="57"/>
      <c r="F40" s="57"/>
      <c r="G40" s="58"/>
      <c r="H40" s="57"/>
      <c r="I40" s="59"/>
    </row>
    <row r="41" ht="16" customHeight="1">
      <c r="B41" t="s" s="66">
        <v>304</v>
      </c>
      <c r="C41" s="67"/>
      <c r="D41" s="67"/>
      <c r="E41" s="67"/>
      <c r="F41" s="67"/>
      <c r="G41" s="66"/>
      <c r="H41" s="67"/>
      <c r="I41" s="48"/>
    </row>
    <row r="42">
      <c r="B42" t="s" s="68">
        <v>212</v>
      </c>
      <c r="C42" t="s" s="82">
        <v>307</v>
      </c>
      <c r="D42" t="s" s="82">
        <v>372</v>
      </c>
      <c r="E42" t="s" s="82">
        <v>377</v>
      </c>
      <c r="F42" t="s" s="82">
        <v>384</v>
      </c>
      <c r="G42" t="s" s="68">
        <v>151</v>
      </c>
      <c r="H42" s="82"/>
      <c r="I42" s="70"/>
    </row>
    <row r="43" ht="38.25" customHeight="1">
      <c r="B43" s="55">
        <f>DATE(2021,9,27)</f>
        <v>44466</v>
      </c>
      <c r="C43" t="s" s="51">
        <v>352</v>
      </c>
      <c r="D43" s="80">
        <v>111015690</v>
      </c>
      <c r="E43" s="79">
        <v>0.606</v>
      </c>
      <c r="F43" t="s" s="51">
        <v>385</v>
      </c>
      <c r="G43" t="s" s="58">
        <v>396</v>
      </c>
      <c r="H43" s="57"/>
      <c r="I43" s="59"/>
    </row>
    <row r="44" ht="38.25" customHeight="1">
      <c r="B44" s="55">
        <f>DATE(2021,9,27)</f>
        <v>44466</v>
      </c>
      <c r="C44" t="s" s="51">
        <v>353</v>
      </c>
      <c r="D44" s="80">
        <v>33222826</v>
      </c>
      <c r="E44" s="79">
        <v>0.181</v>
      </c>
      <c r="F44" t="s" s="51">
        <v>385</v>
      </c>
      <c r="G44" t="s" s="58">
        <v>396</v>
      </c>
      <c r="H44" s="57"/>
      <c r="I44" s="59"/>
    </row>
    <row r="45" ht="38.25" customHeight="1">
      <c r="B45" s="55">
        <f>DATE(2021,9,27)</f>
        <v>44466</v>
      </c>
      <c r="C45" t="s" s="51">
        <v>354</v>
      </c>
      <c r="D45" s="80">
        <v>33222826</v>
      </c>
      <c r="E45" s="79">
        <v>0.181</v>
      </c>
      <c r="F45" t="s" s="51">
        <v>385</v>
      </c>
      <c r="G45" t="s" s="58">
        <v>396</v>
      </c>
      <c r="H45" s="57"/>
      <c r="I45" s="59"/>
    </row>
    <row r="46" ht="25.5" customHeight="1">
      <c r="B46" s="83"/>
      <c r="C46" t="s" s="53">
        <v>355</v>
      </c>
      <c r="D46" s="84">
        <f>SUM(D43:D45)</f>
        <v>177461342</v>
      </c>
      <c r="E46" s="85">
        <f>SUM(E43:E45)</f>
        <v>0.968</v>
      </c>
      <c r="F46" t="s" s="53">
        <v>386</v>
      </c>
      <c r="G46" t="s" s="86">
        <v>397</v>
      </c>
      <c r="H46" s="57"/>
      <c r="I46" s="59"/>
    </row>
    <row r="47" ht="38.25" customHeight="1">
      <c r="B47" s="55">
        <f>DATE(2023,12,31)</f>
        <v>45291</v>
      </c>
      <c r="C47" t="s" s="51">
        <v>352</v>
      </c>
      <c r="D47" s="80">
        <v>65261515</v>
      </c>
      <c r="E47" s="79">
        <v>0.269</v>
      </c>
      <c r="F47" t="s" s="51">
        <v>387</v>
      </c>
      <c r="G47" t="s" s="58">
        <v>398</v>
      </c>
      <c r="H47" s="57"/>
      <c r="I47" s="59"/>
    </row>
    <row r="48" ht="38.25" customHeight="1">
      <c r="B48" s="55">
        <f>DATE(2023,12,31)</f>
        <v>45291</v>
      </c>
      <c r="C48" t="s" s="51">
        <v>353</v>
      </c>
      <c r="D48" s="80">
        <v>25192059</v>
      </c>
      <c r="E48" s="79">
        <v>0.219</v>
      </c>
      <c r="F48" t="s" s="51">
        <v>387</v>
      </c>
      <c r="G48" t="s" s="58">
        <v>399</v>
      </c>
      <c r="H48" s="57"/>
      <c r="I48" s="59"/>
    </row>
    <row r="49" ht="38.25" customHeight="1">
      <c r="B49" s="55">
        <f>DATE(2023,12,31)</f>
        <v>45291</v>
      </c>
      <c r="C49" t="s" s="51">
        <v>354</v>
      </c>
      <c r="D49" s="80">
        <v>25192059</v>
      </c>
      <c r="E49" s="79">
        <v>0.104</v>
      </c>
      <c r="F49" t="s" s="51">
        <v>387</v>
      </c>
      <c r="G49" t="s" s="58">
        <v>400</v>
      </c>
      <c r="H49" s="57"/>
      <c r="I49" s="59"/>
    </row>
    <row r="50" ht="38.25" customHeight="1">
      <c r="B50" s="55">
        <f>DATE(2024,9,30)</f>
        <v>45565</v>
      </c>
      <c r="C50" t="s" s="51">
        <v>354</v>
      </c>
      <c r="D50" s="80">
        <v>6088609</v>
      </c>
      <c r="E50" s="79">
        <v>0.0246</v>
      </c>
      <c r="F50" t="s" s="51">
        <v>387</v>
      </c>
      <c r="G50" t="s" s="58">
        <v>401</v>
      </c>
      <c r="H50" s="57"/>
      <c r="I50" s="59"/>
    </row>
    <row r="51" ht="38.25" customHeight="1">
      <c r="B51" s="55">
        <f>DATE(2024,12,31)</f>
        <v>45657</v>
      </c>
      <c r="C51" t="s" s="51">
        <v>353</v>
      </c>
      <c r="D51" s="80">
        <v>7983533</v>
      </c>
      <c r="E51" s="79">
        <v>0.044</v>
      </c>
      <c r="F51" t="s" s="51">
        <v>387</v>
      </c>
      <c r="G51" t="s" s="58">
        <v>402</v>
      </c>
      <c r="H51" s="57"/>
      <c r="I51" s="59"/>
    </row>
    <row r="52" ht="38.25" customHeight="1">
      <c r="B52" s="55">
        <f>DATE(2024,12,31)</f>
        <v>45657</v>
      </c>
      <c r="C52" t="s" s="51">
        <v>352</v>
      </c>
      <c r="D52" s="80">
        <v>18958356</v>
      </c>
      <c r="E52" s="79">
        <v>0.0761</v>
      </c>
      <c r="F52" t="s" s="51">
        <v>387</v>
      </c>
      <c r="G52" t="s" s="58">
        <v>403</v>
      </c>
      <c r="H52" s="57"/>
      <c r="I52" s="59"/>
    </row>
    <row r="53" ht="38.25" customHeight="1">
      <c r="B53" s="55">
        <f>DATE(2025,6,30)</f>
        <v>45838</v>
      </c>
      <c r="C53" t="s" s="51">
        <v>352</v>
      </c>
      <c r="D53" s="80">
        <v>4820856</v>
      </c>
      <c r="E53" s="79">
        <v>0.016</v>
      </c>
      <c r="F53" t="s" s="51">
        <v>387</v>
      </c>
      <c r="G53" t="s" s="58">
        <v>404</v>
      </c>
      <c r="H53" s="57"/>
      <c r="I53" s="59"/>
    </row>
    <row r="54" ht="25.5" customHeight="1">
      <c r="B54" s="55">
        <f>DATE(2026,4,8)</f>
        <v>46120</v>
      </c>
      <c r="C54" t="s" s="51">
        <v>354</v>
      </c>
      <c r="D54" s="81"/>
      <c r="E54" s="79">
        <v>0.003</v>
      </c>
      <c r="F54" t="s" s="51">
        <v>388</v>
      </c>
      <c r="G54" t="s" s="58">
        <v>405</v>
      </c>
      <c r="H54" s="57"/>
      <c r="I54" s="59"/>
    </row>
    <row r="55" ht="25.5" customHeight="1">
      <c r="B55" s="55">
        <f>DATE(2026,4,8)</f>
        <v>46120</v>
      </c>
      <c r="C55" t="s" s="51">
        <v>353</v>
      </c>
      <c r="D55" s="81"/>
      <c r="E55" s="79">
        <v>0</v>
      </c>
      <c r="F55" t="s" s="51">
        <v>389</v>
      </c>
      <c r="G55" t="s" s="58">
        <v>405</v>
      </c>
      <c r="H55" s="57"/>
      <c r="I55" s="59"/>
    </row>
    <row r="56">
      <c r="B56" s="58"/>
      <c r="C56" s="58"/>
      <c r="D56" s="57"/>
      <c r="E56" s="57"/>
      <c r="F56" s="57"/>
      <c r="G56" s="58"/>
      <c r="H56" s="57"/>
      <c r="I56" s="59"/>
    </row>
    <row r="57" ht="16" customHeight="1">
      <c r="B57" t="s" s="66">
        <v>305</v>
      </c>
      <c r="C57" s="66"/>
      <c r="D57" s="67"/>
      <c r="E57" s="67"/>
      <c r="F57" s="67"/>
      <c r="G57" s="66"/>
      <c r="H57" s="67"/>
      <c r="I57" s="48"/>
    </row>
    <row r="58">
      <c r="B58" t="s" s="68">
        <v>212</v>
      </c>
      <c r="C58" t="s" s="68">
        <v>356</v>
      </c>
      <c r="D58" t="s" s="82">
        <v>373</v>
      </c>
      <c r="E58" t="s" s="82">
        <v>378</v>
      </c>
      <c r="F58" t="s" s="82">
        <v>390</v>
      </c>
      <c r="G58" t="s" s="68">
        <v>151</v>
      </c>
      <c r="H58" s="82"/>
      <c r="I58" s="70"/>
    </row>
    <row r="59">
      <c r="B59" s="55">
        <f>DATE(2023,3,13)</f>
        <v>44998</v>
      </c>
      <c r="C59" t="s" s="51">
        <v>352</v>
      </c>
      <c r="D59" s="80">
        <v>14950000</v>
      </c>
      <c r="E59" s="56">
        <v>15</v>
      </c>
      <c r="F59" s="87">
        <v>216775000</v>
      </c>
      <c r="G59" t="s" s="58">
        <v>406</v>
      </c>
      <c r="H59" s="57"/>
      <c r="I59" s="59"/>
    </row>
    <row r="60">
      <c r="B60" s="55">
        <f>DATE(2023,6,20)</f>
        <v>45097</v>
      </c>
      <c r="C60" t="s" s="51">
        <v>352</v>
      </c>
      <c r="D60" s="80">
        <v>10000000</v>
      </c>
      <c r="E60" s="56">
        <v>16.05</v>
      </c>
      <c r="F60" s="87">
        <v>159500000</v>
      </c>
      <c r="G60" t="s" s="58">
        <v>406</v>
      </c>
      <c r="H60" s="57"/>
      <c r="I60" s="59"/>
    </row>
    <row r="61">
      <c r="B61" s="55">
        <f>DATE(2023,11,9)</f>
        <v>45239</v>
      </c>
      <c r="C61" t="s" s="51">
        <v>352</v>
      </c>
      <c r="D61" s="80">
        <v>11245500</v>
      </c>
      <c r="E61" s="56">
        <v>17.31</v>
      </c>
      <c r="F61" s="87">
        <v>194659605</v>
      </c>
      <c r="G61" t="s" s="58">
        <v>406</v>
      </c>
      <c r="H61" s="57"/>
      <c r="I61" s="59"/>
    </row>
    <row r="62">
      <c r="B62" s="55">
        <f>DATE(2023,11,9)</f>
        <v>45239</v>
      </c>
      <c r="C62" t="s" s="51">
        <v>353</v>
      </c>
      <c r="D62" s="80">
        <v>4413545</v>
      </c>
      <c r="E62" s="56">
        <v>17.31</v>
      </c>
      <c r="F62" s="87">
        <v>76398463.95</v>
      </c>
      <c r="G62" t="s" s="58">
        <v>406</v>
      </c>
      <c r="H62" s="57"/>
      <c r="I62" s="59"/>
    </row>
    <row r="63">
      <c r="B63" s="55">
        <f>DATE(2023,11,9)</f>
        <v>45239</v>
      </c>
      <c r="C63" t="s" s="51">
        <v>354</v>
      </c>
      <c r="D63" s="80">
        <v>4340955</v>
      </c>
      <c r="E63" s="56">
        <v>17.31</v>
      </c>
      <c r="F63" s="87">
        <v>75141931.05</v>
      </c>
      <c r="G63" t="s" s="58">
        <v>406</v>
      </c>
      <c r="H63" s="57"/>
      <c r="I63" s="59"/>
    </row>
    <row r="64">
      <c r="B64" s="55">
        <f>DATE(2023,12,5)</f>
        <v>45265</v>
      </c>
      <c r="C64" t="s" s="51">
        <v>352</v>
      </c>
      <c r="D64" s="80">
        <v>9558675</v>
      </c>
      <c r="E64" s="56">
        <v>19.75</v>
      </c>
      <c r="F64" s="87">
        <v>188783831.3</v>
      </c>
      <c r="G64" t="s" s="58">
        <v>406</v>
      </c>
      <c r="H64" s="57"/>
      <c r="I64" s="59"/>
    </row>
    <row r="65">
      <c r="B65" s="55">
        <f>DATE(2023,12,5)</f>
        <v>45265</v>
      </c>
      <c r="C65" t="s" s="51">
        <v>353</v>
      </c>
      <c r="D65" s="80">
        <v>3751513</v>
      </c>
      <c r="E65" s="56">
        <v>19.75</v>
      </c>
      <c r="F65" s="87">
        <v>74092381.75</v>
      </c>
      <c r="G65" t="s" s="58">
        <v>406</v>
      </c>
      <c r="H65" s="57"/>
      <c r="I65" s="59"/>
    </row>
    <row r="66">
      <c r="B66" s="55">
        <f>DATE(2023,12,5)</f>
        <v>45265</v>
      </c>
      <c r="C66" t="s" s="51">
        <v>354</v>
      </c>
      <c r="D66" s="80">
        <v>3689812</v>
      </c>
      <c r="E66" s="56">
        <v>19.75</v>
      </c>
      <c r="F66" s="87">
        <v>72873787</v>
      </c>
      <c r="G66" t="s" s="58">
        <v>406</v>
      </c>
      <c r="H66" s="57"/>
      <c r="I66" s="59"/>
    </row>
    <row r="67">
      <c r="B67" s="55">
        <f>DATE(2024,3,11)</f>
        <v>45362</v>
      </c>
      <c r="C67" t="s" s="51">
        <v>352</v>
      </c>
      <c r="D67" s="80">
        <v>16250000</v>
      </c>
      <c r="E67" s="56">
        <v>16.9</v>
      </c>
      <c r="F67" s="87">
        <v>242625000</v>
      </c>
      <c r="G67" t="s" s="58">
        <v>406</v>
      </c>
      <c r="H67" s="57"/>
      <c r="I67" s="59"/>
    </row>
    <row r="68">
      <c r="B68" s="55">
        <f>DATE(2024,6,12)</f>
        <v>45455</v>
      </c>
      <c r="C68" t="s" s="51">
        <v>353</v>
      </c>
      <c r="D68" s="80">
        <v>5000000</v>
      </c>
      <c r="E68" s="56">
        <v>19.71</v>
      </c>
      <c r="F68" s="87">
        <v>98550000</v>
      </c>
      <c r="G68" t="s" s="58">
        <v>406</v>
      </c>
      <c r="H68" s="57"/>
      <c r="I68" s="59"/>
    </row>
    <row r="69">
      <c r="B69" s="55">
        <f>DATE(2024,6,12)</f>
        <v>45455</v>
      </c>
      <c r="C69" t="s" s="51">
        <v>354</v>
      </c>
      <c r="D69" s="80">
        <v>7000000</v>
      </c>
      <c r="E69" s="56">
        <v>19.71</v>
      </c>
      <c r="F69" s="87">
        <v>137970000</v>
      </c>
      <c r="G69" t="s" s="58">
        <v>406</v>
      </c>
      <c r="H69" s="57"/>
      <c r="I69" s="59"/>
    </row>
    <row r="70">
      <c r="B70" s="55">
        <f>DATE(2024,8,8)</f>
        <v>45512</v>
      </c>
      <c r="C70" t="s" s="51">
        <v>354</v>
      </c>
      <c r="D70" s="80">
        <v>9000000</v>
      </c>
      <c r="E70" s="56">
        <v>22.41</v>
      </c>
      <c r="F70" s="87">
        <v>201690000</v>
      </c>
      <c r="G70" t="s" s="58">
        <v>406</v>
      </c>
      <c r="H70" s="57"/>
      <c r="I70" s="59"/>
    </row>
    <row r="71">
      <c r="B71" s="55">
        <f>DATE(2024,11,13)</f>
        <v>45609</v>
      </c>
      <c r="C71" t="s" s="51">
        <v>352</v>
      </c>
      <c r="D71" s="80">
        <v>15539445</v>
      </c>
      <c r="E71" s="56">
        <v>29.11</v>
      </c>
      <c r="F71" s="87">
        <v>452353244</v>
      </c>
      <c r="G71" t="s" s="58">
        <v>406</v>
      </c>
      <c r="H71" s="57"/>
      <c r="I71" s="59"/>
    </row>
    <row r="72">
      <c r="B72" s="55">
        <f>DATE(2024,11,13)</f>
        <v>45609</v>
      </c>
      <c r="C72" t="s" s="51">
        <v>353</v>
      </c>
      <c r="D72" s="80">
        <v>6357105</v>
      </c>
      <c r="E72" s="56">
        <v>29.11</v>
      </c>
      <c r="F72" s="87">
        <v>185055326.55</v>
      </c>
      <c r="G72" t="s" s="58">
        <v>406</v>
      </c>
      <c r="H72" s="57"/>
      <c r="I72" s="59"/>
    </row>
    <row r="73">
      <c r="B73" s="55">
        <f>DATE(2024,11,13)</f>
        <v>45609</v>
      </c>
      <c r="C73" t="s" s="51">
        <v>354</v>
      </c>
      <c r="D73" s="80">
        <v>3103450</v>
      </c>
      <c r="E73" s="56">
        <v>29.11</v>
      </c>
      <c r="F73" s="87">
        <v>90341429.5</v>
      </c>
      <c r="G73" t="s" s="58">
        <v>406</v>
      </c>
      <c r="H73" s="57"/>
      <c r="I73" s="59"/>
    </row>
    <row r="74">
      <c r="B74" s="88"/>
      <c r="C74" t="s" s="54">
        <v>357</v>
      </c>
      <c r="D74" s="89">
        <f>SUMIF($C$59:$C$73,"Welsh Carson",D$59:D$73)</f>
        <v>77543620</v>
      </c>
      <c r="E74" s="90"/>
      <c r="F74" s="91">
        <f>SUMIF($C$59:$C$73,"Welsh Carson",F$59:F$73)</f>
        <v>1454696680.3</v>
      </c>
      <c r="G74" t="s" s="88">
        <v>397</v>
      </c>
      <c r="H74" s="57"/>
      <c r="I74" s="59"/>
    </row>
    <row r="75">
      <c r="B75" s="58"/>
      <c r="C75" t="s" s="51">
        <v>358</v>
      </c>
      <c r="D75" s="81">
        <f>SUMIF($C$59:$C$73,"Permira",D$59:D$73)</f>
        <v>19522163</v>
      </c>
      <c r="E75" s="57"/>
      <c r="F75" s="92">
        <f>SUMIF($C$59:$C$73,"Permira",F$59:F$73)</f>
        <v>434096172.25</v>
      </c>
      <c r="G75" t="s" s="58">
        <v>397</v>
      </c>
      <c r="H75" s="57"/>
      <c r="I75" s="59"/>
    </row>
    <row r="76">
      <c r="B76" s="58"/>
      <c r="C76" t="s" s="51">
        <v>359</v>
      </c>
      <c r="D76" s="81">
        <f>SUMIF($C$59:$C$73,"Warburg Pincus",D$59:D$73)</f>
        <v>27134217</v>
      </c>
      <c r="E76" s="57"/>
      <c r="F76" s="92">
        <f>SUMIF($C$59:$C$73,"Warburg Pincus",F$59:F$73)</f>
        <v>578017147.55</v>
      </c>
      <c r="G76" t="s" s="58">
        <v>397</v>
      </c>
      <c r="H76" s="57"/>
      <c r="I76" s="59"/>
    </row>
    <row r="77">
      <c r="B77" s="86"/>
      <c r="C77" t="s" s="53">
        <v>360</v>
      </c>
      <c r="D77" s="84">
        <f>SUM(D59:D73)</f>
        <v>124200000</v>
      </c>
      <c r="E77" s="93"/>
      <c r="F77" s="94">
        <f>SUM(F59:F73)</f>
        <v>2466810000.1000004</v>
      </c>
      <c r="G77" t="s" s="86">
        <v>397</v>
      </c>
      <c r="H77" s="57"/>
      <c r="I77" s="59"/>
    </row>
    <row r="78">
      <c r="B78" s="58"/>
      <c r="C78" s="57"/>
      <c r="D78" s="57"/>
      <c r="E78" s="57"/>
      <c r="F78" s="57"/>
      <c r="G78" s="58"/>
      <c r="H78" s="57"/>
      <c r="I78" s="59"/>
    </row>
    <row r="79" ht="16" customHeight="1">
      <c r="B79" t="s" s="66">
        <v>306</v>
      </c>
      <c r="C79" s="67"/>
      <c r="D79" s="67"/>
      <c r="E79" s="67"/>
      <c r="F79" s="67"/>
      <c r="G79" s="66"/>
      <c r="H79" s="67"/>
      <c r="I79" s="48"/>
    </row>
    <row r="80">
      <c r="B80" t="s" s="68">
        <v>307</v>
      </c>
      <c r="C80" s="82"/>
      <c r="D80" t="s" s="82">
        <v>374</v>
      </c>
      <c r="E80" t="s" s="82">
        <v>379</v>
      </c>
      <c r="F80" s="82"/>
      <c r="G80" t="s" s="68">
        <v>151</v>
      </c>
      <c r="H80" s="82"/>
      <c r="I80" s="70"/>
    </row>
    <row r="81">
      <c r="B81" t="s" s="58">
        <v>308</v>
      </c>
      <c r="C81" s="57"/>
      <c r="D81" s="80">
        <v>296712787</v>
      </c>
      <c r="E81" s="57"/>
      <c r="F81" s="57"/>
      <c r="G81" t="s" s="58">
        <v>407</v>
      </c>
      <c r="H81" s="57"/>
      <c r="I81" s="59"/>
    </row>
    <row r="82">
      <c r="B82" t="s" s="58">
        <v>309</v>
      </c>
      <c r="C82" s="57"/>
      <c r="D82" s="80">
        <v>26231892</v>
      </c>
      <c r="E82" s="78">
        <f>D82/$D$81</f>
        <v>0.08840836374200482</v>
      </c>
      <c r="F82" s="57"/>
      <c r="G82" t="s" s="58">
        <v>407</v>
      </c>
      <c r="H82" s="57"/>
      <c r="I82" s="59"/>
    </row>
    <row r="83">
      <c r="B83" t="s" s="58">
        <v>310</v>
      </c>
      <c r="C83" s="57"/>
      <c r="D83" s="80">
        <v>4183447</v>
      </c>
      <c r="E83" s="78">
        <f>D83/$D$81</f>
        <v>0.014099314836741431</v>
      </c>
      <c r="F83" s="57"/>
      <c r="G83" t="s" s="58">
        <v>407</v>
      </c>
      <c r="H83" s="57"/>
      <c r="I83" s="59"/>
    </row>
    <row r="84">
      <c r="B84" t="s" s="58">
        <v>311</v>
      </c>
      <c r="C84" s="57"/>
      <c r="D84" s="80">
        <v>1179445</v>
      </c>
      <c r="E84" s="78">
        <f>D84/$D$81</f>
        <v>0.003975039336609379</v>
      </c>
      <c r="F84" s="57"/>
      <c r="G84" t="s" s="58">
        <v>407</v>
      </c>
      <c r="H84" s="57"/>
      <c r="I84" s="59"/>
    </row>
    <row r="85">
      <c r="B85" t="s" s="58">
        <v>312</v>
      </c>
      <c r="C85" s="57"/>
      <c r="D85" s="80">
        <v>710109</v>
      </c>
      <c r="E85" s="78">
        <f>D85/$D$81</f>
        <v>0.00239325378316102</v>
      </c>
      <c r="F85" s="57"/>
      <c r="G85" t="s" s="58">
        <v>407</v>
      </c>
      <c r="H85" s="57"/>
      <c r="I85" s="59"/>
    </row>
    <row r="86">
      <c r="B86" t="s" s="58">
        <v>313</v>
      </c>
      <c r="C86" s="57"/>
      <c r="D86" s="80">
        <v>973642</v>
      </c>
      <c r="E86" s="78">
        <f>D86/$D$81</f>
        <v>0.003281429188961782</v>
      </c>
      <c r="F86" s="57"/>
      <c r="G86" t="s" s="58">
        <v>407</v>
      </c>
      <c r="H86" s="57"/>
      <c r="I86" s="59"/>
    </row>
    <row r="87">
      <c r="B87" t="s" s="58">
        <v>314</v>
      </c>
      <c r="C87" s="57"/>
      <c r="D87" s="80">
        <v>581418</v>
      </c>
      <c r="E87" s="78">
        <f>D87/$D$81</f>
        <v>0.001959531322793985</v>
      </c>
      <c r="F87" s="57"/>
      <c r="G87" t="s" s="58">
        <v>407</v>
      </c>
      <c r="H87" s="57"/>
      <c r="I87" s="59"/>
    </row>
    <row r="88">
      <c r="B88" t="s" s="58">
        <v>315</v>
      </c>
      <c r="C88" s="57"/>
      <c r="D88" s="80">
        <v>531457</v>
      </c>
      <c r="E88" s="78">
        <f>D88/$D$81</f>
        <v>0.0017911496345454098</v>
      </c>
      <c r="F88" s="57"/>
      <c r="G88" t="s" s="58">
        <v>407</v>
      </c>
      <c r="H88" s="57"/>
      <c r="I88" s="59"/>
    </row>
    <row r="89">
      <c r="B89" t="s" s="58">
        <v>316</v>
      </c>
      <c r="C89" s="57"/>
      <c r="D89" s="80">
        <v>90281</v>
      </c>
      <c r="E89" s="78">
        <f>D89/$D$81</f>
        <v>0.0003042706750619413</v>
      </c>
      <c r="F89" s="57"/>
      <c r="G89" t="s" s="58">
        <v>407</v>
      </c>
      <c r="H89" s="57"/>
      <c r="I89" s="59"/>
    </row>
    <row r="90">
      <c r="B90" t="s" s="58">
        <v>317</v>
      </c>
      <c r="C90" s="57"/>
      <c r="D90" s="80">
        <v>0</v>
      </c>
      <c r="E90" s="78">
        <f>D90/$D$81</f>
        <v>0</v>
      </c>
      <c r="F90" s="57"/>
      <c r="G90" t="s" s="58">
        <v>407</v>
      </c>
      <c r="H90" s="57"/>
      <c r="I90" s="59"/>
    </row>
    <row r="91">
      <c r="B91" t="s" s="58">
        <v>318</v>
      </c>
      <c r="C91" s="57"/>
      <c r="D91" s="80">
        <v>271833</v>
      </c>
      <c r="E91" s="78">
        <f>D91/$D$81</f>
        <v>0.0009161485851299021</v>
      </c>
      <c r="F91" s="57"/>
      <c r="G91" t="s" s="58">
        <v>407</v>
      </c>
      <c r="H91" s="57"/>
      <c r="I91" s="59"/>
    </row>
    <row r="92">
      <c r="B92" t="s" s="58">
        <v>319</v>
      </c>
      <c r="C92" s="57"/>
      <c r="D92" s="80">
        <v>26584</v>
      </c>
      <c r="E92" s="78">
        <f>D92/$D$81</f>
        <v>0.0000895950601549235</v>
      </c>
      <c r="F92" s="57"/>
      <c r="G92" t="s" s="58">
        <v>407</v>
      </c>
      <c r="H92" s="57"/>
      <c r="I92" s="59"/>
    </row>
    <row r="93">
      <c r="B93" t="s" s="58">
        <v>320</v>
      </c>
      <c r="C93" s="57"/>
      <c r="D93" s="80">
        <v>633879</v>
      </c>
      <c r="E93" s="78">
        <f>D93/$D$81</f>
        <v>0.0021363386674670007</v>
      </c>
      <c r="F93" s="57"/>
      <c r="G93" t="s" s="58">
        <v>407</v>
      </c>
      <c r="H93" s="57"/>
      <c r="I93" s="59"/>
    </row>
    <row r="94">
      <c r="B94" t="s" s="58">
        <v>321</v>
      </c>
      <c r="C94" s="57"/>
      <c r="D94" s="80">
        <v>0</v>
      </c>
      <c r="E94" s="78">
        <f>D94/$D$81</f>
        <v>0</v>
      </c>
      <c r="F94" s="57"/>
      <c r="G94" t="s" s="58">
        <v>407</v>
      </c>
      <c r="H94" s="57"/>
      <c r="I94" s="59"/>
    </row>
    <row r="95">
      <c r="B95" t="s" s="58">
        <v>322</v>
      </c>
      <c r="C95" s="57"/>
      <c r="D95" s="80">
        <v>0</v>
      </c>
      <c r="E95" s="78">
        <f>D95/$D$81</f>
        <v>0</v>
      </c>
      <c r="F95" s="57"/>
      <c r="G95" t="s" s="58">
        <v>407</v>
      </c>
      <c r="H95" s="57"/>
      <c r="I95" s="59"/>
    </row>
    <row r="96">
      <c r="B96" t="s" s="58">
        <v>323</v>
      </c>
      <c r="C96" s="57"/>
      <c r="D96" s="80">
        <v>0</v>
      </c>
      <c r="E96" s="78">
        <f>D96/$D$81</f>
        <v>0</v>
      </c>
      <c r="F96" s="57"/>
      <c r="G96" t="s" s="58">
        <v>407</v>
      </c>
      <c r="H96" s="57"/>
      <c r="I96" s="59"/>
    </row>
    <row r="97">
      <c r="B97" t="s" s="86">
        <v>324</v>
      </c>
      <c r="C97" s="93"/>
      <c r="D97" s="95">
        <v>9182095</v>
      </c>
      <c r="E97" s="85">
        <f>D97/$D$81</f>
        <v>0.030946071090626776</v>
      </c>
      <c r="F97" s="93"/>
      <c r="G97" t="s" s="86">
        <v>407</v>
      </c>
      <c r="H97" s="57"/>
      <c r="I97" s="59"/>
    </row>
    <row r="98">
      <c r="B98" s="58"/>
      <c r="C98" s="57"/>
      <c r="D98" s="57"/>
      <c r="E98" s="57"/>
      <c r="F98" s="57"/>
      <c r="G98" s="58"/>
      <c r="H98" s="57"/>
      <c r="I98" s="59"/>
    </row>
    <row r="99" ht="16" customHeight="1">
      <c r="B99" t="s" s="66">
        <v>325</v>
      </c>
      <c r="C99" s="67"/>
      <c r="D99" s="67"/>
      <c r="E99" s="67"/>
      <c r="F99" s="67"/>
      <c r="G99" s="66"/>
      <c r="H99" s="67"/>
      <c r="I99" s="48"/>
    </row>
    <row r="100">
      <c r="B100" t="s" s="58">
        <v>326</v>
      </c>
      <c r="C100" s="57"/>
      <c r="D100" s="57"/>
      <c r="E100" s="57"/>
      <c r="F100" s="57"/>
      <c r="G100" t="s" s="58">
        <v>408</v>
      </c>
      <c r="H100" s="57"/>
      <c r="I100" s="59"/>
    </row>
    <row r="101">
      <c r="B101" t="s" s="58">
        <v>327</v>
      </c>
      <c r="C101" s="57"/>
      <c r="D101" s="57"/>
      <c r="E101" s="57"/>
      <c r="F101" s="57"/>
      <c r="G101" t="s" s="58">
        <v>408</v>
      </c>
      <c r="H101" s="57"/>
      <c r="I101" s="59"/>
    </row>
    <row r="102">
      <c r="B102" t="s" s="58">
        <v>328</v>
      </c>
      <c r="C102" s="57"/>
      <c r="D102" s="57"/>
      <c r="E102" s="57"/>
      <c r="F102" s="57"/>
      <c r="G102" t="s" s="58">
        <v>408</v>
      </c>
      <c r="H102" s="57"/>
      <c r="I102" s="59"/>
    </row>
    <row r="103">
      <c r="B103" t="s" s="58">
        <v>329</v>
      </c>
      <c r="C103" s="57"/>
      <c r="D103" s="57"/>
      <c r="E103" s="57"/>
      <c r="F103" s="57"/>
      <c r="G103" t="s" s="58">
        <v>408</v>
      </c>
      <c r="H103" s="57"/>
      <c r="I103" s="59"/>
    </row>
    <row r="104">
      <c r="B104" t="s" s="58">
        <v>330</v>
      </c>
      <c r="C104" s="57"/>
      <c r="D104" s="57"/>
      <c r="E104" s="57"/>
      <c r="F104" s="57"/>
      <c r="G104" t="s" s="58">
        <v>409</v>
      </c>
      <c r="H104" s="57"/>
      <c r="I104" s="59"/>
    </row>
    <row r="105">
      <c r="B105" t="s" s="58">
        <v>331</v>
      </c>
      <c r="C105" s="57"/>
      <c r="D105" s="57"/>
      <c r="E105" s="57"/>
      <c r="F105" s="57"/>
      <c r="G105" t="s" s="58">
        <v>410</v>
      </c>
      <c r="H105" s="57"/>
      <c r="I105" s="59"/>
    </row>
    <row r="106">
      <c r="B106" s="58"/>
      <c r="C106" s="57"/>
      <c r="D106" s="57"/>
      <c r="E106" s="57"/>
      <c r="F106" s="57"/>
      <c r="G106" s="58"/>
      <c r="H106" s="57"/>
      <c r="I106" s="59"/>
    </row>
    <row r="107" ht="16" customHeight="1">
      <c r="B107" t="s" s="66">
        <v>332</v>
      </c>
      <c r="C107" s="67"/>
      <c r="D107" s="67"/>
      <c r="E107" s="67"/>
      <c r="F107" s="67"/>
      <c r="G107" s="66"/>
      <c r="H107" s="67"/>
      <c r="I107" s="48"/>
    </row>
    <row r="108">
      <c r="B108" t="s" s="68">
        <v>333</v>
      </c>
      <c r="C108" s="82"/>
      <c r="D108" t="s" s="82">
        <v>375</v>
      </c>
      <c r="E108" t="s" s="82">
        <v>103</v>
      </c>
      <c r="F108" s="82"/>
      <c r="G108" t="s" s="68">
        <v>151</v>
      </c>
      <c r="H108" s="82"/>
      <c r="I108" s="70"/>
    </row>
    <row r="109">
      <c r="B109" t="s" s="58">
        <v>334</v>
      </c>
      <c r="C109" s="57"/>
      <c r="D109" s="56">
        <v>24.55</v>
      </c>
      <c r="E109" t="s" s="58">
        <v>376</v>
      </c>
      <c r="F109" s="57"/>
      <c r="G109" t="s" s="58">
        <v>274</v>
      </c>
      <c r="H109" s="57"/>
      <c r="I109" s="59"/>
    </row>
    <row r="110">
      <c r="B110" t="s" s="58">
        <v>335</v>
      </c>
      <c r="C110" s="57"/>
      <c r="D110" s="96">
        <v>111.67</v>
      </c>
      <c r="E110" t="s" s="58">
        <v>104</v>
      </c>
      <c r="F110" s="57"/>
      <c r="G110" t="s" s="58">
        <v>275</v>
      </c>
      <c r="H110" s="57"/>
      <c r="I110" s="59"/>
    </row>
    <row r="111">
      <c r="B111" t="s" s="58">
        <v>336</v>
      </c>
      <c r="C111" s="57"/>
      <c r="D111" s="96">
        <v>241.95</v>
      </c>
      <c r="E111" t="s" s="58">
        <v>104</v>
      </c>
      <c r="F111" s="57"/>
      <c r="G111" t="s" s="58">
        <v>275</v>
      </c>
      <c r="H111" s="57"/>
      <c r="I111" s="59"/>
    </row>
    <row r="112">
      <c r="B112" t="s" s="58">
        <v>337</v>
      </c>
      <c r="C112" s="57"/>
      <c r="D112" s="96">
        <v>521.13</v>
      </c>
      <c r="E112" t="s" s="58">
        <v>104</v>
      </c>
      <c r="F112" s="57"/>
      <c r="G112" t="s" s="58">
        <v>275</v>
      </c>
      <c r="H112" s="57"/>
      <c r="I112" s="59"/>
    </row>
    <row r="113">
      <c r="B113" t="s" s="58">
        <v>338</v>
      </c>
      <c r="C113" s="57"/>
      <c r="D113" s="97">
        <f>D112/D111</f>
        <v>2.1538747675139494</v>
      </c>
      <c r="E113" t="s" s="58">
        <v>380</v>
      </c>
      <c r="F113" s="57"/>
      <c r="G113" t="s" s="58">
        <v>397</v>
      </c>
      <c r="H113" s="57"/>
      <c r="I113" s="59"/>
    </row>
    <row r="114">
      <c r="B114" t="s" s="58">
        <v>339</v>
      </c>
      <c r="C114" s="57"/>
      <c r="D114" s="80">
        <v>44</v>
      </c>
      <c r="E114" t="s" s="58">
        <v>244</v>
      </c>
      <c r="F114" s="57"/>
      <c r="G114" t="s" s="58">
        <v>276</v>
      </c>
      <c r="H114" s="57"/>
      <c r="I114" s="59"/>
    </row>
    <row r="115">
      <c r="B115" t="s" s="58">
        <v>340</v>
      </c>
      <c r="C115" s="57"/>
      <c r="D115" s="80">
        <v>205143338</v>
      </c>
      <c r="E115" t="s" s="58">
        <v>245</v>
      </c>
      <c r="F115" s="57"/>
      <c r="G115" t="s" s="58">
        <v>278</v>
      </c>
      <c r="H115" s="57"/>
      <c r="I115" s="59"/>
    </row>
    <row r="116">
      <c r="B116" t="s" s="58">
        <v>341</v>
      </c>
      <c r="C116" s="57"/>
      <c r="D116" s="80">
        <v>1387769</v>
      </c>
      <c r="E116" t="s" s="58">
        <v>245</v>
      </c>
      <c r="F116" s="57"/>
      <c r="G116" t="s" s="58">
        <v>278</v>
      </c>
      <c r="H116" s="57"/>
      <c r="I116" s="59"/>
    </row>
    <row r="117">
      <c r="B117" t="s" s="58">
        <v>342</v>
      </c>
      <c r="C117" s="57"/>
      <c r="D117" s="80">
        <v>200228312</v>
      </c>
      <c r="E117" t="s" s="58">
        <v>245</v>
      </c>
      <c r="F117" s="57"/>
      <c r="G117" t="s" s="58">
        <v>278</v>
      </c>
      <c r="H117" s="57"/>
      <c r="I117" s="59"/>
    </row>
    <row r="118">
      <c r="B118" t="s" s="58">
        <v>343</v>
      </c>
      <c r="C118" s="57"/>
      <c r="D118" s="80">
        <v>1387769</v>
      </c>
      <c r="E118" t="s" s="58">
        <v>245</v>
      </c>
      <c r="F118" s="57"/>
      <c r="G118" t="s" s="58">
        <v>278</v>
      </c>
      <c r="H118" s="57"/>
      <c r="I118" s="59"/>
    </row>
    <row r="119">
      <c r="B119" t="s" s="58">
        <v>344</v>
      </c>
      <c r="C119" s="57"/>
      <c r="D119" s="79">
        <v>0.706</v>
      </c>
      <c r="E119" t="s" s="58">
        <v>381</v>
      </c>
      <c r="F119" s="57"/>
      <c r="G119" t="s" s="58">
        <v>278</v>
      </c>
      <c r="H119" s="57"/>
      <c r="I119" s="59"/>
    </row>
    <row r="120">
      <c r="B120" t="s" s="58">
        <v>345</v>
      </c>
      <c r="C120" s="57"/>
      <c r="D120" s="78">
        <f>D117/(D117+D118)</f>
        <v>0.9931167742517523</v>
      </c>
      <c r="E120" t="s" s="58">
        <v>382</v>
      </c>
      <c r="F120" s="57"/>
      <c r="G120" t="s" s="58">
        <v>397</v>
      </c>
      <c r="H120" s="57"/>
      <c r="I120" s="59"/>
    </row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2bd5882d3a9ad2336036e6e052b4c8c25b800b73e3244556450c4b08eeb2a9d9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2026-10-22T23:51:30Z</dcterms:created>
  <dcterms:modified xsi:type="dcterms:W3CDTF">2026-10-22T23:51:30Z</dcterms:modified>
  <cp:category/>
  <cp:contentStatus/>
</cp:coreProperties>
</file>